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54" i="1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<sst xmlns="http://schemas.openxmlformats.org/spreadsheetml/2006/main" count="3029" uniqueCount="640">
  <si>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</si>
  <si>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</si>
  <si>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</si>
  <si>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</si>
  <si>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</si>
  <si>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</si>
  <si>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</si>
  <si>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</si>
  <si>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</si>
  <si>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</si>
  <si>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</si>
  <si>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</si>
  <si>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</si>
  <si>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</si>
  <si>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</si>
  <si>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</si>
  <si>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</si>
  <si>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</si>
  <si>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</si>
  <si>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</si>
  <si>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</si>
  <si>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</si>
  <si>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</si>
  <si>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</si>
  <si>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</si>
  <si>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</si>
  <si>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</si>
  <si>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</si>
  <si>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</si>
  <si>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</si>
  <si>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</si>
  <si>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</si>
  <si>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</si>
  <si>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</si>
  <si>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</si>
  <si>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</si>
  <si>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</si>
  <si>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</si>
  <si>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</si>
  <si>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</si>
  <si>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</si>
  <si>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</si>
  <si>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</si>
  <si>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</si>
  <si>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</si>
  <si>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</si>
  <si>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</si>
  <si>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</si>
  <si>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</si>
  <si>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</si>
  <si>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</si>
  <si>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</si>
  <si>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</si>
  <si>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</si>
  <si>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</si>
  <si>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</si>
  <si>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</si>
  <si>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</si>
  <si>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</si>
  <si>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</si>
  <si>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</si>
  <si>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</si>
  <si>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</si>
  <si>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</si>
  <si>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</si>
  <si>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</si>
  <si>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</si>
  <si>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</si>
  <si>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</si>
  <si>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</si>
  <si>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</si>
  <si>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</si>
  <si>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</si>
  <si>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</si>
  <si>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CAPET</t>
  </si>
  <si>
    <t>CAPE TOWN</t>
  </si>
  <si>
    <t xml:space="preserve">TRANSUNION                         </t>
  </si>
  <si>
    <t xml:space="preserve">                                   </t>
  </si>
  <si>
    <t>JOHAN</t>
  </si>
  <si>
    <t>JOHANNESBURG</t>
  </si>
  <si>
    <t>ON1</t>
  </si>
  <si>
    <t>JO-ANNE SIEBRITS</t>
  </si>
  <si>
    <t>OLIGIA MELANIE</t>
  </si>
  <si>
    <t>SIBONGISENI</t>
  </si>
  <si>
    <t>yes</t>
  </si>
  <si>
    <t>PARCEL</t>
  </si>
  <si>
    <t>no</t>
  </si>
  <si>
    <t>preto</t>
  </si>
  <si>
    <t>PRETORIA</t>
  </si>
  <si>
    <t xml:space="preserve">TOYOMARK                           </t>
  </si>
  <si>
    <t>RD</t>
  </si>
  <si>
    <t>RIAAN</t>
  </si>
  <si>
    <t>NA</t>
  </si>
  <si>
    <t>riaan</t>
  </si>
  <si>
    <t>RDR</t>
  </si>
  <si>
    <t>AMANZ</t>
  </si>
  <si>
    <t>AMANZIMTOTI</t>
  </si>
  <si>
    <t xml:space="preserve">HYUNDAI                            </t>
  </si>
  <si>
    <t>MIKE</t>
  </si>
  <si>
    <t>SHARON</t>
  </si>
  <si>
    <t>rd1</t>
  </si>
  <si>
    <t>DURBA</t>
  </si>
  <si>
    <t>DURBAN</t>
  </si>
  <si>
    <t xml:space="preserve">MOOPERS VW                         </t>
  </si>
  <si>
    <t>DARE</t>
  </si>
  <si>
    <t>LEE ANNE</t>
  </si>
  <si>
    <t>KLERK</t>
  </si>
  <si>
    <t>KLERKSDORP</t>
  </si>
  <si>
    <t xml:space="preserve">AUTO JUNCTION                      </t>
  </si>
  <si>
    <t>PIERRE COETZEE</t>
  </si>
  <si>
    <t>BANN</t>
  </si>
  <si>
    <t>POD received from cell 0734621457 M</t>
  </si>
  <si>
    <t>RD1</t>
  </si>
  <si>
    <t>EAST</t>
  </si>
  <si>
    <t>EAST LONDON</t>
  </si>
  <si>
    <t xml:space="preserve">AON SOUTH AFRICA PTY LTD           </t>
  </si>
  <si>
    <t>COLA BVAN DER MERWE</t>
  </si>
  <si>
    <t>Lola</t>
  </si>
  <si>
    <t>POD received from cell 0716163149 M</t>
  </si>
  <si>
    <t>rd2</t>
  </si>
  <si>
    <t xml:space="preserve">FNB INSURANCE                      </t>
  </si>
  <si>
    <t>PAUL VAN COLLER</t>
  </si>
  <si>
    <t>NORMAN</t>
  </si>
  <si>
    <t>RDL</t>
  </si>
  <si>
    <t>GEORG</t>
  </si>
  <si>
    <t>GEORGE</t>
  </si>
  <si>
    <t xml:space="preserve">IMPIRIAL GEORGE                    </t>
  </si>
  <si>
    <t>HESTER</t>
  </si>
  <si>
    <t>RD3</t>
  </si>
  <si>
    <t>BLOE1</t>
  </si>
  <si>
    <t>BLOEMFONTEIN</t>
  </si>
  <si>
    <t xml:space="preserve">HUMAN AUTO BLOEMFONTEIN            </t>
  </si>
  <si>
    <t>HANNES WESSES</t>
  </si>
  <si>
    <t>christelle</t>
  </si>
  <si>
    <t>capet</t>
  </si>
  <si>
    <t xml:space="preserve">W P MOTORS                         </t>
  </si>
  <si>
    <t>AMANDA</t>
  </si>
  <si>
    <t>RD2</t>
  </si>
  <si>
    <t>VELDR</t>
  </si>
  <si>
    <t>VELDRIFT</t>
  </si>
  <si>
    <t xml:space="preserve">GREG CUNTON ASSESSUNG              </t>
  </si>
  <si>
    <t>LYDIA CUNTON</t>
  </si>
  <si>
    <t>ILLEG</t>
  </si>
  <si>
    <t>PONGO</t>
  </si>
  <si>
    <t>PONGOLA</t>
  </si>
  <si>
    <t xml:space="preserve">PONGOLA TOYOTA                     </t>
  </si>
  <si>
    <t>RIDWAAN</t>
  </si>
  <si>
    <t>signature</t>
  </si>
  <si>
    <t>Late linehaul</t>
  </si>
  <si>
    <t>tap</t>
  </si>
  <si>
    <t xml:space="preserve">AGENBAG MOTORS                     </t>
  </si>
  <si>
    <t>MARCELLE VAN DER MESCHT</t>
  </si>
  <si>
    <t>MARCELLE</t>
  </si>
  <si>
    <t>PIET1</t>
  </si>
  <si>
    <t>PIETERMARITZBURG</t>
  </si>
  <si>
    <t xml:space="preserve">BARLOWORLD AUDI PIETERMARITZBU     </t>
  </si>
  <si>
    <t>JAN SMUTS</t>
  </si>
  <si>
    <t>cherlotte</t>
  </si>
  <si>
    <t>RDX</t>
  </si>
  <si>
    <t>VEREE</t>
  </si>
  <si>
    <t>VEREENIGING</t>
  </si>
  <si>
    <t xml:space="preserve">TOP SPEED MOTORS                   </t>
  </si>
  <si>
    <t>RONELLIE BASSON</t>
  </si>
  <si>
    <t>TANYA</t>
  </si>
  <si>
    <t xml:space="preserve">LYNN SCHRUEDIER BMW                </t>
  </si>
  <si>
    <t>GARTH VAN TUNDER</t>
  </si>
  <si>
    <t>Andri Botha</t>
  </si>
  <si>
    <t>POD received from cell 0848511605 M</t>
  </si>
  <si>
    <t>ZEERU</t>
  </si>
  <si>
    <t>ZEERUST</t>
  </si>
  <si>
    <t xml:space="preserve">VOLIC MOTORS                       </t>
  </si>
  <si>
    <t>JUUUNAID RAGIE</t>
  </si>
  <si>
    <t>MA RAGIE</t>
  </si>
  <si>
    <t>RDY</t>
  </si>
  <si>
    <t>MOSSE</t>
  </si>
  <si>
    <t>MOSSEL BAY</t>
  </si>
  <si>
    <t xml:space="preserve">RONNIES AUTO                       </t>
  </si>
  <si>
    <t>LIZETTE</t>
  </si>
  <si>
    <t>W Meyer</t>
  </si>
  <si>
    <t>POD received from cell 0810462520 M</t>
  </si>
  <si>
    <t>RD4</t>
  </si>
  <si>
    <t>MARGA</t>
  </si>
  <si>
    <t>MARGATE</t>
  </si>
  <si>
    <t xml:space="preserve">SANARTH                            </t>
  </si>
  <si>
    <t>ETTIRME KRUGER</t>
  </si>
  <si>
    <t>illeg</t>
  </si>
  <si>
    <t>Outlying delivery location</t>
  </si>
  <si>
    <t>col</t>
  </si>
  <si>
    <t xml:space="preserve">SMART WHEELS                       </t>
  </si>
  <si>
    <t>SHARIFA MOTAMED</t>
  </si>
  <si>
    <t>shakeera</t>
  </si>
  <si>
    <t>HUMAN</t>
  </si>
  <si>
    <t>HUMANSDORP</t>
  </si>
  <si>
    <t xml:space="preserve">HUMANSDORP TOYOTA                  </t>
  </si>
  <si>
    <t>LEONE DU PLOOY</t>
  </si>
  <si>
    <t>ILELG</t>
  </si>
  <si>
    <t>PIERRE CORTZE</t>
  </si>
  <si>
    <t>PIERRE</t>
  </si>
  <si>
    <t xml:space="preserve">GOLDEN VEHICLE ASSESSING           </t>
  </si>
  <si>
    <t>VIC JONES</t>
  </si>
  <si>
    <t>EMPAN</t>
  </si>
  <si>
    <t>EMPANGENI</t>
  </si>
  <si>
    <t xml:space="preserve">KZN MR CAR                         </t>
  </si>
  <si>
    <t>KUMAR SINGH</t>
  </si>
  <si>
    <t>kumar</t>
  </si>
  <si>
    <t>STAND</t>
  </si>
  <si>
    <t>STANDERTON</t>
  </si>
  <si>
    <t xml:space="preserve">MARGRI MOTORS                      </t>
  </si>
  <si>
    <t>HENNIE MAGRI</t>
  </si>
  <si>
    <t>KATHLEEN</t>
  </si>
  <si>
    <t>UMZUM</t>
  </si>
  <si>
    <t>UMZUMBE</t>
  </si>
  <si>
    <t xml:space="preserve">TURNERS ASSESSING SERVICES         </t>
  </si>
  <si>
    <t>YVONNE TURNER</t>
  </si>
  <si>
    <t>turner</t>
  </si>
  <si>
    <t xml:space="preserve">LES MICHAELIS INSURANCE            </t>
  </si>
  <si>
    <t>JANET MOTSHOENENG</t>
  </si>
  <si>
    <t>EMERALD</t>
  </si>
  <si>
    <t>UMTAT</t>
  </si>
  <si>
    <t>UMTATA</t>
  </si>
  <si>
    <t xml:space="preserve">MEYERS MOTORS                      </t>
  </si>
  <si>
    <t>THULI BOXANGO</t>
  </si>
  <si>
    <t>THULI</t>
  </si>
  <si>
    <t>UMHLA</t>
  </si>
  <si>
    <t>UMHLANGA ROCKS</t>
  </si>
  <si>
    <t xml:space="preserve">SYMERGY INSURANCE BROKEN           </t>
  </si>
  <si>
    <t>MERUSHA SIRIPAL</t>
  </si>
  <si>
    <t>NERISHA</t>
  </si>
  <si>
    <t xml:space="preserve">AVIS CAR SALES                     </t>
  </si>
  <si>
    <t>IMRAAN PARK</t>
  </si>
  <si>
    <t>nelsp</t>
  </si>
  <si>
    <t>NELSPRUIT</t>
  </si>
  <si>
    <t xml:space="preserve">BUDGET AUTO                        </t>
  </si>
  <si>
    <t>HAMMES LLOYD</t>
  </si>
  <si>
    <t>hannes</t>
  </si>
  <si>
    <t xml:space="preserve">AVIS CAR SALES KING SHAKA INT      </t>
  </si>
  <si>
    <t>SALES MANAGER</t>
  </si>
  <si>
    <t>TONGA</t>
  </si>
  <si>
    <t>TONGAAT</t>
  </si>
  <si>
    <t>WAIF HUSSEIN</t>
  </si>
  <si>
    <t xml:space="preserve">C MENTZ ASSESSING SERVICES         </t>
  </si>
  <si>
    <t>PETRUS ALLEN</t>
  </si>
  <si>
    <t>peto</t>
  </si>
  <si>
    <t>UPING</t>
  </si>
  <si>
    <t>UPINGTON</t>
  </si>
  <si>
    <t xml:space="preserve">TWO TONE TRADING                   </t>
  </si>
  <si>
    <t>CORNER WILLENSE</t>
  </si>
  <si>
    <t>ELZAAN</t>
  </si>
  <si>
    <t xml:space="preserve">PARK MOTORS                        </t>
  </si>
  <si>
    <t>DAVID PARODE</t>
  </si>
  <si>
    <t>SIGNATURE</t>
  </si>
  <si>
    <t>NEWCA</t>
  </si>
  <si>
    <t>NEWCASTLE</t>
  </si>
  <si>
    <t xml:space="preserve">FED AUTO                           </t>
  </si>
  <si>
    <t>PRINCE NGCOBO</t>
  </si>
  <si>
    <t>PRECOIUS</t>
  </si>
  <si>
    <t xml:space="preserve">SAME DAY ASSESSING SERVICES        </t>
  </si>
  <si>
    <t>FRANS HENMING</t>
  </si>
  <si>
    <t xml:space="preserve">AVISCAR SALES                      </t>
  </si>
  <si>
    <t>SAMANTHA TEGNER</t>
  </si>
  <si>
    <t>PORT3</t>
  </si>
  <si>
    <t>PORT ELIZABETH</t>
  </si>
  <si>
    <t xml:space="preserve">SEAMAN S REMAULT                   </t>
  </si>
  <si>
    <t>WENDY SMITH</t>
  </si>
  <si>
    <t xml:space="preserve">chante                        </t>
  </si>
  <si>
    <t xml:space="preserve">POD received from cell 0844243445 M     </t>
  </si>
  <si>
    <t>KIMBE</t>
  </si>
  <si>
    <t>KIMBERLEY</t>
  </si>
  <si>
    <t xml:space="preserve">CENTRAL SOUTH AFRICA ASSESSORS     </t>
  </si>
  <si>
    <t>AMANDA DE LA REY</t>
  </si>
  <si>
    <t>NKOSI MZIMELA</t>
  </si>
  <si>
    <t>nkosi</t>
  </si>
  <si>
    <t>PINET</t>
  </si>
  <si>
    <t>PINETOWN</t>
  </si>
  <si>
    <t>AK EBRAHIM</t>
  </si>
  <si>
    <t>keshmitha</t>
  </si>
  <si>
    <t>MMABA</t>
  </si>
  <si>
    <t>MMABATHO</t>
  </si>
  <si>
    <t xml:space="preserve">BUND MOTORS WORLD                  </t>
  </si>
  <si>
    <t>MATAMMED AYOB</t>
  </si>
  <si>
    <t>SIGNED</t>
  </si>
  <si>
    <t xml:space="preserve">CO HARRISON ASSESSORS              </t>
  </si>
  <si>
    <t>TONY HARRISON</t>
  </si>
  <si>
    <t>Driver late</t>
  </si>
  <si>
    <t>cha</t>
  </si>
  <si>
    <t xml:space="preserve">TAVCOR                             </t>
  </si>
  <si>
    <t>MANDY</t>
  </si>
  <si>
    <t>ILLEGH</t>
  </si>
  <si>
    <t xml:space="preserve">SOLVERFIN MOTORS CC                </t>
  </si>
  <si>
    <t>ON2</t>
  </si>
  <si>
    <t>JENNIFER</t>
  </si>
  <si>
    <t xml:space="preserve">CARS V US                          </t>
  </si>
  <si>
    <t>JENNIFA</t>
  </si>
  <si>
    <t>BOKSB</t>
  </si>
  <si>
    <t>BOKSBURG</t>
  </si>
  <si>
    <t xml:space="preserve">ESTRAGON INVESTMENTS               </t>
  </si>
  <si>
    <t>SHELBY</t>
  </si>
  <si>
    <t>SHANNON</t>
  </si>
  <si>
    <t>Linda</t>
  </si>
  <si>
    <t>POD received from cell 0847700528 M</t>
  </si>
  <si>
    <t>WELKO</t>
  </si>
  <si>
    <t>WELKOM</t>
  </si>
  <si>
    <t xml:space="preserve">ORANJE TOYOTA                      </t>
  </si>
  <si>
    <t>MARALIZE</t>
  </si>
  <si>
    <t>MARELIZE</t>
  </si>
  <si>
    <t xml:space="preserve">JANJIRA CAR SALES                  </t>
  </si>
  <si>
    <t>FEROZA</t>
  </si>
  <si>
    <t>tom</t>
  </si>
  <si>
    <t>POD received from cell 0763378994 M</t>
  </si>
  <si>
    <t>KEMPT</t>
  </si>
  <si>
    <t>KEMPTON PARK</t>
  </si>
  <si>
    <t xml:space="preserve">GINDRA MOTORS                      </t>
  </si>
  <si>
    <t>GINA</t>
  </si>
  <si>
    <t>LOLLY</t>
  </si>
  <si>
    <t>amt</t>
  </si>
  <si>
    <t>POTCH</t>
  </si>
  <si>
    <t>POTCHEFSTROOM</t>
  </si>
  <si>
    <t xml:space="preserve">F+R MOTORS                         </t>
  </si>
  <si>
    <t>FAEEZ</t>
  </si>
  <si>
    <t>SAMY</t>
  </si>
  <si>
    <t xml:space="preserve">RAJBALLY AJAY                      </t>
  </si>
  <si>
    <t>ROWRNA</t>
  </si>
  <si>
    <t>allison</t>
  </si>
  <si>
    <t xml:space="preserve">SUPPREME AUTO                      </t>
  </si>
  <si>
    <t>ANTOINETTE</t>
  </si>
  <si>
    <t>SHANTEL</t>
  </si>
  <si>
    <t xml:space="preserve">BRONKOOP INSURANCE BROTHERS        </t>
  </si>
  <si>
    <t>SHIRLEY</t>
  </si>
  <si>
    <t>Mandi</t>
  </si>
  <si>
    <t>POD received from cell 0782274968 M</t>
  </si>
  <si>
    <t xml:space="preserve">FIRST CAR RENTAL                   </t>
  </si>
  <si>
    <t>RUSSEL</t>
  </si>
  <si>
    <t>AYANDA</t>
  </si>
  <si>
    <t xml:space="preserve">SENWES INSURANCE BROKERS           </t>
  </si>
  <si>
    <t>BRENDA</t>
  </si>
  <si>
    <t>VRED1</t>
  </si>
  <si>
    <t>VREDE</t>
  </si>
  <si>
    <t xml:space="preserve">HUGO + HUGO TOYOTA                 </t>
  </si>
  <si>
    <t>DEWALD</t>
  </si>
  <si>
    <t>FORWARD</t>
  </si>
  <si>
    <t>UMBOG</t>
  </si>
  <si>
    <t>UMBOGINTWINI</t>
  </si>
  <si>
    <t xml:space="preserve">JOHN PARKER AND SALES CC           </t>
  </si>
  <si>
    <t>JOHN</t>
  </si>
  <si>
    <t>j parker</t>
  </si>
  <si>
    <t xml:space="preserve">BASTERN CAPE MOTORS                </t>
  </si>
  <si>
    <t>NEIL</t>
  </si>
  <si>
    <t>neil</t>
  </si>
  <si>
    <t>POD received from cell 0844243445 M</t>
  </si>
  <si>
    <t>ERMEL</t>
  </si>
  <si>
    <t>ERMELO</t>
  </si>
  <si>
    <t xml:space="preserve">AUTO LINK                          </t>
  </si>
  <si>
    <t>FAROUK</t>
  </si>
  <si>
    <t>NGO</t>
  </si>
  <si>
    <t>PORT4</t>
  </si>
  <si>
    <t>PORT SHEPSTONE</t>
  </si>
  <si>
    <t xml:space="preserve">THOMPSON NISSAN                    </t>
  </si>
  <si>
    <t>DIRREN</t>
  </si>
  <si>
    <t>s naicker</t>
  </si>
  <si>
    <t>BREDA</t>
  </si>
  <si>
    <t>BREDASDORP</t>
  </si>
  <si>
    <t xml:space="preserve">RONA TOYOTA BREDANDORP             </t>
  </si>
  <si>
    <t>DANIEL</t>
  </si>
  <si>
    <t>Iaan</t>
  </si>
  <si>
    <t>POD received from cell 0622790428 M</t>
  </si>
  <si>
    <t xml:space="preserve">NATAL AUTOSALES                    </t>
  </si>
  <si>
    <t>KERRY</t>
  </si>
  <si>
    <t xml:space="preserve">CAR CITY                           </t>
  </si>
  <si>
    <t>MARIE</t>
  </si>
  <si>
    <t>AB EDWING</t>
  </si>
  <si>
    <t>PAARL</t>
  </si>
  <si>
    <t>CHARL</t>
  </si>
  <si>
    <t>ELLIS</t>
  </si>
  <si>
    <t xml:space="preserve">MAP AUTO PARTS                     </t>
  </si>
  <si>
    <t>CASSIM</t>
  </si>
  <si>
    <t>MDOE</t>
  </si>
  <si>
    <t xml:space="preserve">PRETORWN TRUST CO OP               </t>
  </si>
  <si>
    <t>SHILTON</t>
  </si>
  <si>
    <t xml:space="preserve">AMIEN +ASSOCIATES CC               </t>
  </si>
  <si>
    <t>MR AMIEN</t>
  </si>
  <si>
    <t>RUSTE</t>
  </si>
  <si>
    <t>RUSTENBURG</t>
  </si>
  <si>
    <t xml:space="preserve">SSS ASSESSORS                      </t>
  </si>
  <si>
    <t>LYNN</t>
  </si>
  <si>
    <t>STEFAN</t>
  </si>
  <si>
    <t>RDD</t>
  </si>
  <si>
    <t xml:space="preserve">WILLIE COETZEE ASSESSING           </t>
  </si>
  <si>
    <t>WILLIE</t>
  </si>
  <si>
    <t>SYBIL</t>
  </si>
  <si>
    <t>SWELL</t>
  </si>
  <si>
    <t>SWELLENDAM</t>
  </si>
  <si>
    <t xml:space="preserve">HOEKS TOYOTA                       </t>
  </si>
  <si>
    <t>BRENDA VD MERWE</t>
  </si>
  <si>
    <t>POD received from cell 0732462079 M</t>
  </si>
  <si>
    <t>BOTS1</t>
  </si>
  <si>
    <t>BOTSWANA (GABARONE)</t>
  </si>
  <si>
    <t xml:space="preserve">FRANCISTOWN TOYOTA                 </t>
  </si>
  <si>
    <t>ICD</t>
  </si>
  <si>
    <t>JANNIES</t>
  </si>
  <si>
    <t>c slunuu</t>
  </si>
  <si>
    <t>Missed cutoff</t>
  </si>
  <si>
    <t>stm</t>
  </si>
  <si>
    <t>IFL / FUE</t>
  </si>
  <si>
    <t>GABO</t>
  </si>
  <si>
    <t>DOCS</t>
  </si>
  <si>
    <t>SPRI3</t>
  </si>
  <si>
    <t>SPRINGS</t>
  </si>
  <si>
    <t xml:space="preserve">HENK PIENAAR                       </t>
  </si>
  <si>
    <t>MRS PIENAAR</t>
  </si>
  <si>
    <t>ILLEGE</t>
  </si>
  <si>
    <t xml:space="preserve">MIA SULTAN AND ASSOCIATES          </t>
  </si>
  <si>
    <t>MOHAMMED IMRAAN</t>
  </si>
  <si>
    <t>mohammed</t>
  </si>
  <si>
    <t xml:space="preserve">UPINGTON TOYOTA                    </t>
  </si>
  <si>
    <t>RIEL CREEJE</t>
  </si>
  <si>
    <t>SIMONE</t>
  </si>
  <si>
    <t xml:space="preserve">NOORDKAAP MAKELAARD                </t>
  </si>
  <si>
    <t>.</t>
  </si>
  <si>
    <t>D DUSS</t>
  </si>
  <si>
    <t xml:space="preserve">DADA MOTORS                        </t>
  </si>
  <si>
    <t>DADA</t>
  </si>
  <si>
    <t>WORCE</t>
  </si>
  <si>
    <t>WORCESTER</t>
  </si>
  <si>
    <t xml:space="preserve">WYNLAND AUTO                       </t>
  </si>
  <si>
    <t>JACO VAN ZYL</t>
  </si>
  <si>
    <t>WJ VAN ZYL</t>
  </si>
  <si>
    <t>POD received from cell 0723786860 M</t>
  </si>
  <si>
    <t xml:space="preserve">SIZA NIKA TRADING                  </t>
  </si>
  <si>
    <t>YAKOOB MOOLIA</t>
  </si>
  <si>
    <t>hava</t>
  </si>
  <si>
    <t xml:space="preserve">AUDENBERG TOYOTA                   </t>
  </si>
  <si>
    <t>ESHERALDA GELDEHUYS</t>
  </si>
  <si>
    <t>KINRO</t>
  </si>
  <si>
    <t>KINROSS</t>
  </si>
  <si>
    <t xml:space="preserve">KINROSS MOTORS                     </t>
  </si>
  <si>
    <t>MARIETTE VEL</t>
  </si>
  <si>
    <t>M NEL</t>
  </si>
  <si>
    <t xml:space="preserve">SALVAGE CAR DEALERS CAPE           </t>
  </si>
  <si>
    <t>DEIDRE VAN MEKERK</t>
  </si>
  <si>
    <t>DEBBIE</t>
  </si>
  <si>
    <t>BETHL</t>
  </si>
  <si>
    <t>BETHLEHEM</t>
  </si>
  <si>
    <t xml:space="preserve">SKYNET                             </t>
  </si>
  <si>
    <t>VRED3</t>
  </si>
  <si>
    <t>VREDENBURG</t>
  </si>
  <si>
    <t xml:space="preserve">HUGO   HUGO TOYOTA                 </t>
  </si>
  <si>
    <t>E VAN TONDER</t>
  </si>
  <si>
    <t>POD received from cell 0783505655 M</t>
  </si>
  <si>
    <t xml:space="preserve">HECTOR WILLIS BROKER               </t>
  </si>
  <si>
    <t>HECTOR WILLIS</t>
  </si>
  <si>
    <t>Lynne</t>
  </si>
  <si>
    <t>SWAZI</t>
  </si>
  <si>
    <t>SWAZILAND (MAIN)</t>
  </si>
  <si>
    <t xml:space="preserve">LEITES TOYOTA                      </t>
  </si>
  <si>
    <t>CYNTHIA DU POINT</t>
  </si>
  <si>
    <t>?</t>
  </si>
  <si>
    <t>SWAZ</t>
  </si>
  <si>
    <t xml:space="preserve">SEESING MOTORS                     </t>
  </si>
  <si>
    <t>BELLA</t>
  </si>
  <si>
    <t xml:space="preserve">KFN INSURANCE                      </t>
  </si>
  <si>
    <t>JACK</t>
  </si>
  <si>
    <t>lisa</t>
  </si>
  <si>
    <t xml:space="preserve">UIF CONSULTING                     </t>
  </si>
  <si>
    <t>LAURIKA</t>
  </si>
  <si>
    <t>DALENE</t>
  </si>
  <si>
    <t xml:space="preserve">BARGAIN AUTO SA                    </t>
  </si>
  <si>
    <t>NICOLE</t>
  </si>
  <si>
    <t>nicole</t>
  </si>
  <si>
    <t xml:space="preserve">MAFIKENG TOYOTA                    </t>
  </si>
  <si>
    <t>CHRISTA</t>
  </si>
  <si>
    <t>C WAIT</t>
  </si>
  <si>
    <t xml:space="preserve">AMG UMHLANGA                       </t>
  </si>
  <si>
    <t>VICTOR</t>
  </si>
  <si>
    <t>DENISHA</t>
  </si>
  <si>
    <t>NABOO</t>
  </si>
  <si>
    <t>NABOOMSPRUIT</t>
  </si>
  <si>
    <t xml:space="preserve">MORDEN AUTO                        </t>
  </si>
  <si>
    <t>GLETE VENTER</t>
  </si>
  <si>
    <t>A VENTER</t>
  </si>
  <si>
    <t>SIBUSISO</t>
  </si>
  <si>
    <t>QUEEN</t>
  </si>
  <si>
    <t>QUEENSTOWN</t>
  </si>
  <si>
    <t xml:space="preserve">MARK WILSON MOTORS                 </t>
  </si>
  <si>
    <t>JANINE</t>
  </si>
  <si>
    <t>WABO</t>
  </si>
  <si>
    <t>RICHA</t>
  </si>
  <si>
    <t>RICHARDS BAY</t>
  </si>
  <si>
    <t xml:space="preserve">TANGAWIZI MOTORS                   </t>
  </si>
  <si>
    <t>STEVE</t>
  </si>
  <si>
    <t xml:space="preserve">YOLANDI                       </t>
  </si>
  <si>
    <t xml:space="preserve">                                        </t>
  </si>
  <si>
    <t>NAMIB</t>
  </si>
  <si>
    <t>NAMIBIA (WINDHOEK)</t>
  </si>
  <si>
    <t xml:space="preserve">US EMBASSOY WINDHOEK               </t>
  </si>
  <si>
    <t>MR HE MAATJES</t>
  </si>
  <si>
    <t>MARTEN</t>
  </si>
  <si>
    <t>NAMI</t>
  </si>
  <si>
    <t>ZAIFA SCHLEGEL</t>
  </si>
  <si>
    <t>N SHAIK</t>
  </si>
  <si>
    <t>ESTCO</t>
  </si>
  <si>
    <t>ESTCOURT</t>
  </si>
  <si>
    <t xml:space="preserve">BROKERSHAS DELTA                   </t>
  </si>
  <si>
    <t>SHAMILA</t>
  </si>
  <si>
    <t>..</t>
  </si>
  <si>
    <t>jimmy</t>
  </si>
  <si>
    <t xml:space="preserve">SENTRA MOTORS                      </t>
  </si>
  <si>
    <t>MR FOSTER</t>
  </si>
  <si>
    <t>maria</t>
  </si>
  <si>
    <t>ROODE</t>
  </si>
  <si>
    <t>ROODEPOORT</t>
  </si>
  <si>
    <t xml:space="preserve">GAVO PHAALIES                      </t>
  </si>
  <si>
    <t>GAVO</t>
  </si>
  <si>
    <t>J PHAAL</t>
  </si>
  <si>
    <t>PIET2</t>
  </si>
  <si>
    <t>PIETERSBURG</t>
  </si>
  <si>
    <t xml:space="preserve">PRESTIGE ASSESSORS POLOKWANE       </t>
  </si>
  <si>
    <t>YVONNE DE CLERK</t>
  </si>
  <si>
    <t>ELLIG</t>
  </si>
  <si>
    <t>ALIWA</t>
  </si>
  <si>
    <t>ALIWAL NORTH</t>
  </si>
  <si>
    <t xml:space="preserve">HERNA BRIDGE GARAGE                </t>
  </si>
  <si>
    <t>CINDY</t>
  </si>
  <si>
    <t xml:space="preserve">BREROOP INSURANCE BROKERS          </t>
  </si>
  <si>
    <t>SHIRLEY MULLER</t>
  </si>
  <si>
    <t>mandi</t>
  </si>
  <si>
    <t xml:space="preserve">SCOTT AUTO                         </t>
  </si>
  <si>
    <t>MANSKE ROOS</t>
  </si>
  <si>
    <t>LAUREN</t>
  </si>
  <si>
    <t>POD received from cell 0583032828 M</t>
  </si>
  <si>
    <t>PIET</t>
  </si>
  <si>
    <t>PIET RETIEF</t>
  </si>
  <si>
    <t xml:space="preserve">BROKOOP INSURANCE BROKERS          </t>
  </si>
  <si>
    <t>TOETTE NORTJIE</t>
  </si>
  <si>
    <t>CE FARR</t>
  </si>
  <si>
    <t xml:space="preserve">CLASSIC ASSESSMENT                 </t>
  </si>
  <si>
    <t>CLARISSE</t>
  </si>
  <si>
    <t>ELW</t>
  </si>
  <si>
    <t>POD received from cell 0607491365 M</t>
  </si>
  <si>
    <t xml:space="preserve">US EMBASSY                         </t>
  </si>
  <si>
    <t>ICP</t>
  </si>
  <si>
    <t>MR HE PLAATJIES</t>
  </si>
  <si>
    <t>SOFIA</t>
  </si>
  <si>
    <t>FUE / IFL / Ndc</t>
  </si>
  <si>
    <t>WYNAND</t>
  </si>
  <si>
    <t xml:space="preserve">LES MICHAELS INSURANCE COUS        </t>
  </si>
  <si>
    <t>JANET</t>
  </si>
  <si>
    <t>Enerald</t>
  </si>
  <si>
    <t>POD received from cell 0736172858 M</t>
  </si>
  <si>
    <t xml:space="preserve">SYRERYN INSURANCE BROKERS          </t>
  </si>
  <si>
    <t>NERUSHA</t>
  </si>
  <si>
    <t>nkosinathi</t>
  </si>
  <si>
    <t>A GLOVER</t>
  </si>
  <si>
    <t xml:space="preserve">LYNN SCHROEDER BMW                 </t>
  </si>
  <si>
    <t>GATH VAN TONDER</t>
  </si>
  <si>
    <t>Marinda</t>
  </si>
  <si>
    <t>ELLISRAS</t>
  </si>
  <si>
    <t xml:space="preserve">AFRI INVESTMENTS                   </t>
  </si>
  <si>
    <t>ANDRE</t>
  </si>
  <si>
    <t>LEA</t>
  </si>
  <si>
    <t xml:space="preserve">M.I.A SALTAN   ASS                 </t>
  </si>
  <si>
    <t>MOHAMMED</t>
  </si>
  <si>
    <t xml:space="preserve">WILLIE COETZEE ASSESSINA           </t>
  </si>
  <si>
    <t>Returned to sender on waybill</t>
  </si>
  <si>
    <t>Returned to sender on waybill number R00</t>
  </si>
  <si>
    <t xml:space="preserve">HERTZOG BRIDGE GARAGE              </t>
  </si>
  <si>
    <t>gibbon</t>
  </si>
  <si>
    <t>marie</t>
  </si>
  <si>
    <t xml:space="preserve">CAP SUTOS                          </t>
  </si>
  <si>
    <t>UNARL</t>
  </si>
  <si>
    <t xml:space="preserve">NTOMBI                        </t>
  </si>
  <si>
    <t xml:space="preserve">WIGNLAND AUTO                      </t>
  </si>
  <si>
    <t>VAN ZYL</t>
  </si>
  <si>
    <t xml:space="preserve">HECTOR WILLS INS.BROKERS           </t>
  </si>
  <si>
    <t>HECTOR</t>
  </si>
  <si>
    <t xml:space="preserve">ARMEN   ASSOCIATES                 </t>
  </si>
  <si>
    <t>handricks</t>
  </si>
  <si>
    <t xml:space="preserve">BONDS MOTOR WORLD                  </t>
  </si>
  <si>
    <t xml:space="preserve">MOHAMMED                      </t>
  </si>
  <si>
    <t xml:space="preserve">A2T INSURANCE ADMINISTRATION       </t>
  </si>
  <si>
    <t>BASIL</t>
  </si>
  <si>
    <t xml:space="preserve">VOLKS MOTORS                       </t>
  </si>
  <si>
    <t>JUNAID</t>
  </si>
  <si>
    <t xml:space="preserve">GREG GUNTON ASSESSING              </t>
  </si>
  <si>
    <t>LUDIA GUNTON</t>
  </si>
  <si>
    <t>L GUNTONS</t>
  </si>
  <si>
    <t>IAN SMITH</t>
  </si>
  <si>
    <t xml:space="preserve">ALPINE MOTORS                      </t>
  </si>
  <si>
    <t>TANEEL</t>
  </si>
  <si>
    <t>george</t>
  </si>
  <si>
    <t>STRAN</t>
  </si>
  <si>
    <t>STRAND</t>
  </si>
  <si>
    <t>DAVID</t>
  </si>
  <si>
    <t>Consignee not available)</t>
  </si>
  <si>
    <t>POD received from cell 0731150018 M</t>
  </si>
  <si>
    <t xml:space="preserve">HENK PIENAAR                  </t>
  </si>
  <si>
    <t xml:space="preserve">LEITES TOYOTS                      </t>
  </si>
  <si>
    <t>NAMI2</t>
  </si>
  <si>
    <t>NAMIBIA (OUTLYING)</t>
  </si>
  <si>
    <t xml:space="preserve">CROSS ROADS CAR SALES              </t>
  </si>
  <si>
    <t>OUT / FUE / IFL / Ndc</t>
  </si>
  <si>
    <t>NAMO</t>
  </si>
  <si>
    <t>BENON</t>
  </si>
  <si>
    <t>BENONI</t>
  </si>
  <si>
    <t xml:space="preserve">TAYLOR MOTORS                      </t>
  </si>
  <si>
    <t>DONOVAN</t>
  </si>
  <si>
    <t>039 682 4246</t>
  </si>
  <si>
    <t xml:space="preserve">COMMERCIAL ASSET FINACE            </t>
  </si>
  <si>
    <t>CHARLOTTE</t>
  </si>
  <si>
    <t xml:space="preserve">NGIPHILE                      </t>
  </si>
  <si>
    <t xml:space="preserve">ROTUMAN MOTORS                     </t>
  </si>
  <si>
    <t>CHARLOTE</t>
  </si>
  <si>
    <t>VORSTER</t>
  </si>
  <si>
    <t xml:space="preserve">HUMAN AUTO KIMBERLEY               </t>
  </si>
  <si>
    <t>POD received from cell 0761435511 M</t>
  </si>
  <si>
    <t xml:space="preserve">SEMTRA MOTORS                      </t>
  </si>
  <si>
    <t>LILY FOSTER</t>
  </si>
  <si>
    <t xml:space="preserve">COMMERCIAL ASSETS FINACE           </t>
  </si>
  <si>
    <t>SUE PILLAY</t>
  </si>
  <si>
    <t>Prayojna</t>
  </si>
  <si>
    <t xml:space="preserve">ASSET ABSA VEHIVLE                 </t>
  </si>
  <si>
    <t>VILJOAY JANNIAH</t>
  </si>
  <si>
    <t>phumla</t>
  </si>
  <si>
    <t>HEID2</t>
  </si>
  <si>
    <t>HEIDELBERG (TVL)</t>
  </si>
  <si>
    <t xml:space="preserve">AUTOREN TOYOTA                     </t>
  </si>
  <si>
    <t>JACKIE</t>
  </si>
  <si>
    <t>JACOB</t>
  </si>
  <si>
    <t xml:space="preserve">AVIS BUDGET RENT A CAR             </t>
  </si>
  <si>
    <t>FREDDIE</t>
  </si>
  <si>
    <t xml:space="preserve">AVIS                               </t>
  </si>
  <si>
    <t>SAMANTHA</t>
  </si>
  <si>
    <t xml:space="preserve">AVIS BALLITO                       </t>
  </si>
  <si>
    <t>WASIF</t>
  </si>
  <si>
    <t>NKOSI</t>
  </si>
  <si>
    <t xml:space="preserve">AVIS KING SHAKA AIRPORT            </t>
  </si>
  <si>
    <t>SHUVEK</t>
  </si>
  <si>
    <t xml:space="preserve">AUDI                               </t>
  </si>
  <si>
    <t>JUAN</t>
  </si>
  <si>
    <t>IMRAIN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</si>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</sst>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56"/>
  <sheetViews>
    <sheetView tabSelected="1" topLeftCell="A136" workbookViewId="0">
      <selection sqref="A1:IV1"/>
    </sheetView>
  </sheetViews>
  <sheetFormatPr defaultRowHeight="15"/>
  <cols>
    <col min="1" max="1" width="7.42578125" style="2" bestFit="1" customWidth="1"/>
    <col min="2" max="2" width="35.7109375" style="2" bestFit="1" customWidth="1"/>
    <col min="3" max="3" width="5.28515625" style="2" bestFit="1" customWidth="1"/>
    <col min="4" max="4" width="10.140625" style="2" bestFit="1" customWidth="1"/>
    <col min="5" max="5" width="14.28515625" style="2" bestFit="1" customWidth="1"/>
    <col min="6" max="6" width="10.42578125" style="2" bestFit="1" customWidth="1"/>
    <col min="7" max="7" width="7" style="2" bestFit="1" customWidth="1"/>
    <col min="8" max="8" width="7.140625" style="2" bestFit="1" customWidth="1"/>
    <col min="9" max="9" width="15.5703125" style="2" bestFit="1" customWidth="1"/>
    <col min="10" max="10" width="30.140625" style="2" bestFit="1" customWidth="1"/>
    <col min="11" max="11" width="16.140625" style="2" bestFit="1" customWidth="1"/>
    <col min="12" max="12" width="8.140625" style="2" bestFit="1" customWidth="1"/>
    <col min="13" max="13" width="23.7109375" style="2" bestFit="1" customWidth="1"/>
    <col min="14" max="14" width="36.7109375" style="2" bestFit="1" customWidth="1"/>
    <col min="15" max="15" width="4.85546875" style="2" bestFit="1" customWidth="1"/>
    <col min="16" max="16" width="18.42578125" style="2" bestFit="1" customWidth="1"/>
    <col min="17" max="17" width="4.28515625" style="2" bestFit="1" customWidth="1"/>
    <col min="18" max="18" width="4.5703125" style="2" bestFit="1" customWidth="1"/>
    <col min="19" max="19" width="5.140625" style="2" bestFit="1" customWidth="1"/>
    <col min="20" max="22" width="4.5703125" style="2" bestFit="1" customWidth="1"/>
    <col min="23" max="23" width="4.28515625" style="2" bestFit="1" customWidth="1"/>
    <col min="24" max="24" width="4.5703125" style="2" bestFit="1" customWidth="1"/>
    <col min="25" max="25" width="4.42578125" style="2" bestFit="1" customWidth="1"/>
    <col min="26" max="26" width="4.5703125" style="2" bestFit="1" customWidth="1"/>
    <col min="27" max="27" width="4" style="2" bestFit="1" customWidth="1"/>
    <col min="28" max="28" width="4.5703125" style="2" bestFit="1" customWidth="1"/>
    <col min="29" max="29" width="4.28515625" style="2" bestFit="1" customWidth="1"/>
    <col min="30" max="32" width="4.5703125" style="2" bestFit="1" customWidth="1"/>
    <col min="33" max="33" width="4.42578125" style="2" bestFit="1" customWidth="1"/>
    <col min="34" max="34" width="4.5703125" style="2" bestFit="1" customWidth="1"/>
    <col min="35" max="35" width="4.85546875" style="2" bestFit="1" customWidth="1"/>
    <col min="36" max="36" width="4.5703125" style="2" bestFit="1" customWidth="1"/>
    <col min="37" max="37" width="4.28515625" style="2" bestFit="1" customWidth="1"/>
    <col min="38" max="38" width="4.5703125" style="2" bestFit="1" customWidth="1"/>
    <col min="39" max="39" width="8" style="2" bestFit="1" customWidth="1"/>
    <col min="40" max="42" width="4.5703125" style="2" bestFit="1" customWidth="1"/>
    <col min="43" max="43" width="5" style="2" bestFit="1" customWidth="1"/>
    <col min="44" max="44" width="4.5703125" style="2" bestFit="1" customWidth="1"/>
    <col min="45" max="45" width="8" style="2" bestFit="1" customWidth="1"/>
    <col min="46" max="46" width="4.5703125" style="2" bestFit="1" customWidth="1"/>
    <col min="47" max="47" width="4.28515625" style="2" bestFit="1" customWidth="1"/>
    <col min="48" max="48" width="4.5703125" style="2" bestFit="1" customWidth="1"/>
    <col min="49" max="49" width="4" style="2" bestFit="1" customWidth="1"/>
    <col min="50" max="50" width="4.5703125" style="2" bestFit="1" customWidth="1"/>
    <col min="51" max="51" width="3.85546875" style="2" bestFit="1" customWidth="1"/>
    <col min="52" max="52" width="4.5703125" style="2" bestFit="1" customWidth="1"/>
    <col min="53" max="53" width="4.85546875" style="2" bestFit="1" customWidth="1"/>
    <col min="54" max="54" width="4.5703125" style="2" bestFit="1" customWidth="1"/>
    <col min="55" max="55" width="7" style="2" bestFit="1" customWidth="1"/>
    <col min="56" max="56" width="4.5703125" style="2" bestFit="1" customWidth="1"/>
    <col min="57" max="57" width="4" style="2" bestFit="1" customWidth="1"/>
    <col min="58" max="58" width="4.5703125" style="2" bestFit="1" customWidth="1"/>
    <col min="59" max="59" width="13.7109375" style="2" bestFit="1" customWidth="1"/>
    <col min="60" max="60" width="6.85546875" style="2" bestFit="1" customWidth="1"/>
    <col min="61" max="61" width="6.7109375" style="2" bestFit="1" customWidth="1"/>
    <col min="62" max="62" width="7.28515625" style="2" bestFit="1" customWidth="1"/>
    <col min="63" max="63" width="6.28515625" style="2" bestFit="1" customWidth="1"/>
    <col min="64" max="64" width="9" style="2" bestFit="1" customWidth="1"/>
    <col min="65" max="65" width="8" style="2" bestFit="1" customWidth="1"/>
    <col min="66" max="66" width="9" style="2" bestFit="1" customWidth="1"/>
    <col min="67" max="67" width="9.140625" style="2"/>
    <col min="68" max="68" width="18.42578125" style="2" bestFit="1" customWidth="1"/>
    <col min="69" max="69" width="26.42578125" style="2" bestFit="1" customWidth="1"/>
    <col min="70" max="70" width="15.42578125" style="2" bestFit="1" customWidth="1"/>
    <col min="71" max="71" width="10.42578125" style="2" bestFit="1" customWidth="1"/>
    <col min="72" max="72" width="9.7109375" style="2" bestFit="1" customWidth="1"/>
    <col min="73" max="73" width="28.28515625" style="2" bestFit="1" customWidth="1"/>
    <col min="74" max="74" width="8.5703125" style="2" bestFit="1" customWidth="1"/>
    <col min="75" max="75" width="24.28515625" style="2" bestFit="1" customWidth="1"/>
    <col min="76" max="76" width="16.140625" style="2" bestFit="1" customWidth="1"/>
    <col min="77" max="77" width="13.85546875" style="2" bestFit="1" customWidth="1"/>
    <col min="78" max="78" width="19.28515625" style="2" bestFit="1" customWidth="1"/>
    <col min="79" max="79" width="39.7109375" style="2" bestFit="1" customWidth="1"/>
    <col min="80" max="80" width="9" style="2" bestFit="1" customWidth="1"/>
    <col min="81" max="81" width="23.7109375" style="2" bestFit="1" customWidth="1"/>
    <col min="82" max="82" width="16" style="2" bestFit="1" customWidth="1"/>
    <col min="83" max="83" width="22.28515625" style="2" bestFit="1" customWidth="1"/>
    <col min="84" max="84" width="14" style="2" bestFit="1" customWidth="1"/>
    <col min="85" max="85" width="6.42578125" style="2" bestFit="1" customWidth="1"/>
    <col min="86" max="86" width="13.85546875" style="2" bestFit="1" customWidth="1"/>
    <col min="87" max="87" width="11.140625" style="2" bestFit="1" customWidth="1"/>
    <col min="88" max="88" width="12" style="2" bestFit="1" customWidth="1"/>
    <col min="89" max="89" width="5" style="2" bestFit="1" customWidth="1"/>
    <col min="90" max="90" width="13.28515625" style="2" bestFit="1" customWidth="1"/>
    <col min="91" max="91" width="18.28515625" style="2" bestFit="1" customWidth="1"/>
    <col min="92" max="16384" width="9.140625" style="2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E2" s="2" t="str">
        <f>"019910551101"</f>
        <v>019910551101</v>
      </c>
      <c r="F2" s="3">
        <v>42857</v>
      </c>
      <c r="G2" s="2">
        <v>201711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"5360                          "</f>
        <v xml:space="preserve">5360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4.29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41.73</v>
      </c>
      <c r="BM2" s="2">
        <v>5.84</v>
      </c>
      <c r="BN2" s="2">
        <v>47.57</v>
      </c>
      <c r="BO2" s="2">
        <v>47.57</v>
      </c>
      <c r="BQ2" s="2" t="s">
        <v>81</v>
      </c>
      <c r="BR2" s="2" t="s">
        <v>82</v>
      </c>
      <c r="BS2" s="3">
        <v>42858</v>
      </c>
      <c r="BT2" s="4">
        <v>0.44375000000000003</v>
      </c>
      <c r="BU2" s="2" t="s">
        <v>83</v>
      </c>
      <c r="BV2" s="2" t="s">
        <v>84</v>
      </c>
      <c r="BY2" s="2">
        <v>1200</v>
      </c>
      <c r="BZ2" s="2" t="s">
        <v>27</v>
      </c>
      <c r="CC2" s="2" t="s">
        <v>79</v>
      </c>
      <c r="CD2" s="2">
        <v>2196</v>
      </c>
      <c r="CE2" s="2" t="s">
        <v>85</v>
      </c>
      <c r="CF2" s="3">
        <v>42859</v>
      </c>
      <c r="CI2" s="2">
        <v>1</v>
      </c>
      <c r="CJ2" s="2">
        <v>1</v>
      </c>
      <c r="CK2" s="2">
        <v>21</v>
      </c>
      <c r="CL2" s="2" t="s">
        <v>86</v>
      </c>
    </row>
    <row r="3" spans="1:91">
      <c r="A3" s="2" t="s">
        <v>71</v>
      </c>
      <c r="B3" s="2" t="s">
        <v>72</v>
      </c>
      <c r="C3" s="2" t="s">
        <v>73</v>
      </c>
      <c r="E3" s="2" t="str">
        <f>"009936171035"</f>
        <v>009936171035</v>
      </c>
      <c r="F3" s="3">
        <v>42858</v>
      </c>
      <c r="G3" s="2">
        <v>201711</v>
      </c>
      <c r="H3" s="2" t="s">
        <v>78</v>
      </c>
      <c r="I3" s="2" t="s">
        <v>79</v>
      </c>
      <c r="J3" s="2" t="s">
        <v>76</v>
      </c>
      <c r="K3" s="2" t="s">
        <v>77</v>
      </c>
      <c r="L3" s="2" t="s">
        <v>87</v>
      </c>
      <c r="M3" s="2" t="s">
        <v>88</v>
      </c>
      <c r="N3" s="2" t="s">
        <v>89</v>
      </c>
      <c r="O3" s="2" t="s">
        <v>90</v>
      </c>
      <c r="P3" s="2" t="str">
        <f t="shared" ref="P3:P8" si="0"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8.01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0.6</v>
      </c>
      <c r="BJ3" s="2">
        <v>1.2</v>
      </c>
      <c r="BK3" s="2">
        <v>2</v>
      </c>
      <c r="BL3" s="2">
        <v>77.36</v>
      </c>
      <c r="BM3" s="2">
        <v>10.83</v>
      </c>
      <c r="BN3" s="2">
        <v>88.19</v>
      </c>
      <c r="BO3" s="2">
        <v>88.19</v>
      </c>
      <c r="BQ3" s="2" t="s">
        <v>91</v>
      </c>
      <c r="BR3" s="2" t="s">
        <v>92</v>
      </c>
      <c r="BS3" s="3">
        <v>42859</v>
      </c>
      <c r="BT3" s="4">
        <v>0.56944444444444442</v>
      </c>
      <c r="BU3" s="2" t="s">
        <v>93</v>
      </c>
      <c r="BY3" s="2">
        <v>6000</v>
      </c>
      <c r="CC3" s="2" t="s">
        <v>88</v>
      </c>
      <c r="CD3" s="2">
        <v>151</v>
      </c>
      <c r="CE3" s="2" t="s">
        <v>85</v>
      </c>
      <c r="CF3" s="3">
        <v>42860</v>
      </c>
      <c r="CI3" s="2">
        <v>0</v>
      </c>
      <c r="CJ3" s="2">
        <v>0</v>
      </c>
      <c r="CK3" s="2" t="s">
        <v>94</v>
      </c>
      <c r="CL3" s="2" t="s">
        <v>86</v>
      </c>
    </row>
    <row r="4" spans="1:91">
      <c r="A4" s="2" t="s">
        <v>71</v>
      </c>
      <c r="B4" s="2" t="s">
        <v>72</v>
      </c>
      <c r="C4" s="2" t="s">
        <v>73</v>
      </c>
      <c r="E4" s="2" t="str">
        <f>"009936325457"</f>
        <v>009936325457</v>
      </c>
      <c r="F4" s="3">
        <v>42857</v>
      </c>
      <c r="G4" s="2">
        <v>201711</v>
      </c>
      <c r="H4" s="2" t="s">
        <v>78</v>
      </c>
      <c r="I4" s="2" t="s">
        <v>79</v>
      </c>
      <c r="J4" s="2" t="s">
        <v>76</v>
      </c>
      <c r="K4" s="2" t="s">
        <v>77</v>
      </c>
      <c r="L4" s="2" t="s">
        <v>95</v>
      </c>
      <c r="M4" s="2" t="s">
        <v>96</v>
      </c>
      <c r="N4" s="2" t="s">
        <v>97</v>
      </c>
      <c r="O4" s="2" t="s">
        <v>90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6.03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1.5</v>
      </c>
      <c r="BJ4" s="2">
        <v>1.1000000000000001</v>
      </c>
      <c r="BK4" s="2">
        <v>2</v>
      </c>
      <c r="BL4" s="2">
        <v>63.68</v>
      </c>
      <c r="BM4" s="2">
        <v>8.92</v>
      </c>
      <c r="BN4" s="2">
        <v>72.599999999999994</v>
      </c>
      <c r="BO4" s="2">
        <v>72.599999999999994</v>
      </c>
      <c r="BQ4" s="2" t="s">
        <v>98</v>
      </c>
      <c r="BR4" s="2" t="s">
        <v>92</v>
      </c>
      <c r="BS4" s="3">
        <v>42858</v>
      </c>
      <c r="BT4" s="4">
        <v>0.42499999999999999</v>
      </c>
      <c r="BU4" s="2" t="s">
        <v>99</v>
      </c>
      <c r="BV4" s="2" t="s">
        <v>84</v>
      </c>
      <c r="BY4" s="2">
        <v>5721.47</v>
      </c>
      <c r="CC4" s="2" t="s">
        <v>96</v>
      </c>
      <c r="CD4" s="2">
        <v>4126</v>
      </c>
      <c r="CE4" s="2" t="s">
        <v>85</v>
      </c>
      <c r="CF4" s="3">
        <v>42859</v>
      </c>
      <c r="CI4" s="2">
        <v>1</v>
      </c>
      <c r="CJ4" s="2">
        <v>1</v>
      </c>
      <c r="CK4" s="2" t="s">
        <v>100</v>
      </c>
      <c r="CL4" s="2" t="s">
        <v>86</v>
      </c>
    </row>
    <row r="5" spans="1:91">
      <c r="A5" s="2" t="s">
        <v>71</v>
      </c>
      <c r="B5" s="2" t="s">
        <v>72</v>
      </c>
      <c r="C5" s="2" t="s">
        <v>73</v>
      </c>
      <c r="E5" s="2" t="str">
        <f>"009936325474"</f>
        <v>009936325474</v>
      </c>
      <c r="F5" s="3">
        <v>42857</v>
      </c>
      <c r="G5" s="2">
        <v>201711</v>
      </c>
      <c r="H5" s="2" t="s">
        <v>78</v>
      </c>
      <c r="I5" s="2" t="s">
        <v>79</v>
      </c>
      <c r="J5" s="2" t="s">
        <v>76</v>
      </c>
      <c r="K5" s="2" t="s">
        <v>77</v>
      </c>
      <c r="L5" s="2" t="s">
        <v>101</v>
      </c>
      <c r="M5" s="2" t="s">
        <v>102</v>
      </c>
      <c r="N5" s="2" t="s">
        <v>103</v>
      </c>
      <c r="O5" s="2" t="s">
        <v>90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6.03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0.5</v>
      </c>
      <c r="BJ5" s="2">
        <v>0.2</v>
      </c>
      <c r="BK5" s="2">
        <v>1</v>
      </c>
      <c r="BL5" s="2">
        <v>63.68</v>
      </c>
      <c r="BM5" s="2">
        <v>8.92</v>
      </c>
      <c r="BN5" s="2">
        <v>72.599999999999994</v>
      </c>
      <c r="BO5" s="2">
        <v>72.599999999999994</v>
      </c>
      <c r="BQ5" s="2" t="s">
        <v>104</v>
      </c>
      <c r="BR5" s="2" t="s">
        <v>92</v>
      </c>
      <c r="BS5" s="3">
        <v>42858</v>
      </c>
      <c r="BT5" s="4">
        <v>0.33402777777777781</v>
      </c>
      <c r="BU5" s="2" t="s">
        <v>105</v>
      </c>
      <c r="BV5" s="2" t="s">
        <v>84</v>
      </c>
      <c r="BY5" s="2">
        <v>1200</v>
      </c>
      <c r="CC5" s="2" t="s">
        <v>102</v>
      </c>
      <c r="CD5" s="2">
        <v>4000</v>
      </c>
      <c r="CE5" s="2" t="s">
        <v>85</v>
      </c>
      <c r="CF5" s="3">
        <v>42859</v>
      </c>
      <c r="CI5" s="2">
        <v>1</v>
      </c>
      <c r="CJ5" s="2">
        <v>1</v>
      </c>
      <c r="CK5" s="2" t="s">
        <v>100</v>
      </c>
      <c r="CL5" s="2" t="s">
        <v>86</v>
      </c>
    </row>
    <row r="6" spans="1:91">
      <c r="A6" s="2" t="s">
        <v>71</v>
      </c>
      <c r="B6" s="2" t="s">
        <v>72</v>
      </c>
      <c r="C6" s="2" t="s">
        <v>73</v>
      </c>
      <c r="E6" s="2" t="str">
        <f>"009936325447"</f>
        <v>009936325447</v>
      </c>
      <c r="F6" s="3">
        <v>42858</v>
      </c>
      <c r="G6" s="2">
        <v>201711</v>
      </c>
      <c r="H6" s="2" t="s">
        <v>78</v>
      </c>
      <c r="I6" s="2" t="s">
        <v>79</v>
      </c>
      <c r="J6" s="2" t="s">
        <v>76</v>
      </c>
      <c r="K6" s="2" t="s">
        <v>77</v>
      </c>
      <c r="L6" s="2" t="s">
        <v>106</v>
      </c>
      <c r="M6" s="2" t="s">
        <v>107</v>
      </c>
      <c r="N6" s="2" t="s">
        <v>108</v>
      </c>
      <c r="O6" s="2" t="s">
        <v>90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6.55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0.2</v>
      </c>
      <c r="BK6" s="2">
        <v>1</v>
      </c>
      <c r="BL6" s="2">
        <v>64.2</v>
      </c>
      <c r="BM6" s="2">
        <v>8.99</v>
      </c>
      <c r="BN6" s="2">
        <v>73.19</v>
      </c>
      <c r="BO6" s="2">
        <v>73.19</v>
      </c>
      <c r="BQ6" s="2" t="s">
        <v>109</v>
      </c>
      <c r="BR6" s="2" t="s">
        <v>92</v>
      </c>
      <c r="BS6" s="3">
        <v>42859</v>
      </c>
      <c r="BT6" s="4">
        <v>0.47569444444444442</v>
      </c>
      <c r="BU6" s="2" t="s">
        <v>110</v>
      </c>
      <c r="BV6" s="2" t="s">
        <v>84</v>
      </c>
      <c r="BY6" s="2">
        <v>1200</v>
      </c>
      <c r="CA6" s="2" t="s">
        <v>111</v>
      </c>
      <c r="CC6" s="2" t="s">
        <v>107</v>
      </c>
      <c r="CD6" s="2">
        <v>2570</v>
      </c>
      <c r="CE6" s="2" t="s">
        <v>85</v>
      </c>
      <c r="CF6" s="3">
        <v>42859</v>
      </c>
      <c r="CI6" s="2">
        <v>1</v>
      </c>
      <c r="CJ6" s="2">
        <v>1</v>
      </c>
      <c r="CK6" s="2" t="s">
        <v>112</v>
      </c>
      <c r="CL6" s="2" t="s">
        <v>86</v>
      </c>
    </row>
    <row r="7" spans="1:91">
      <c r="A7" s="2" t="s">
        <v>71</v>
      </c>
      <c r="B7" s="2" t="s">
        <v>72</v>
      </c>
      <c r="C7" s="2" t="s">
        <v>73</v>
      </c>
      <c r="E7" s="2" t="str">
        <f>"009936171036"</f>
        <v>009936171036</v>
      </c>
      <c r="F7" s="3">
        <v>42858</v>
      </c>
      <c r="G7" s="2">
        <v>201711</v>
      </c>
      <c r="H7" s="2" t="s">
        <v>78</v>
      </c>
      <c r="I7" s="2" t="s">
        <v>79</v>
      </c>
      <c r="J7" s="2" t="s">
        <v>76</v>
      </c>
      <c r="K7" s="2" t="s">
        <v>77</v>
      </c>
      <c r="L7" s="2" t="s">
        <v>113</v>
      </c>
      <c r="M7" s="2" t="s">
        <v>114</v>
      </c>
      <c r="N7" s="2" t="s">
        <v>115</v>
      </c>
      <c r="O7" s="2" t="s">
        <v>90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9.5299999999999994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2.2000000000000002</v>
      </c>
      <c r="BJ7" s="2">
        <v>1</v>
      </c>
      <c r="BK7" s="2">
        <v>3</v>
      </c>
      <c r="BL7" s="2">
        <v>91.17</v>
      </c>
      <c r="BM7" s="2">
        <v>12.76</v>
      </c>
      <c r="BN7" s="2">
        <v>103.93</v>
      </c>
      <c r="BO7" s="2">
        <v>103.93</v>
      </c>
      <c r="BQ7" s="2" t="s">
        <v>116</v>
      </c>
      <c r="BR7" s="2" t="s">
        <v>92</v>
      </c>
      <c r="BS7" s="3">
        <v>42859</v>
      </c>
      <c r="BT7" s="4">
        <v>0.55486111111111114</v>
      </c>
      <c r="BU7" s="2" t="s">
        <v>117</v>
      </c>
      <c r="BV7" s="2" t="s">
        <v>84</v>
      </c>
      <c r="BY7" s="2">
        <v>5017.82</v>
      </c>
      <c r="CA7" s="2" t="s">
        <v>118</v>
      </c>
      <c r="CC7" s="2" t="s">
        <v>114</v>
      </c>
      <c r="CD7" s="2">
        <v>5201</v>
      </c>
      <c r="CE7" s="2" t="s">
        <v>85</v>
      </c>
      <c r="CF7" s="3">
        <v>42859</v>
      </c>
      <c r="CI7" s="2">
        <v>2</v>
      </c>
      <c r="CJ7" s="2">
        <v>1</v>
      </c>
      <c r="CK7" s="2" t="s">
        <v>119</v>
      </c>
      <c r="CL7" s="2" t="s">
        <v>86</v>
      </c>
    </row>
    <row r="8" spans="1:91">
      <c r="A8" s="2" t="s">
        <v>71</v>
      </c>
      <c r="B8" s="2" t="s">
        <v>72</v>
      </c>
      <c r="C8" s="2" t="s">
        <v>73</v>
      </c>
      <c r="E8" s="2" t="str">
        <f>"009936325446"</f>
        <v>009936325446</v>
      </c>
      <c r="F8" s="3">
        <v>42859</v>
      </c>
      <c r="G8" s="2">
        <v>201711</v>
      </c>
      <c r="H8" s="2" t="s">
        <v>78</v>
      </c>
      <c r="I8" s="2" t="s">
        <v>79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120</v>
      </c>
      <c r="O8" s="2" t="s">
        <v>90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6.55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0.8</v>
      </c>
      <c r="BK8" s="2">
        <v>1</v>
      </c>
      <c r="BL8" s="2">
        <v>64.2</v>
      </c>
      <c r="BM8" s="2">
        <v>8.99</v>
      </c>
      <c r="BN8" s="2">
        <v>73.19</v>
      </c>
      <c r="BO8" s="2">
        <v>73.19</v>
      </c>
      <c r="BQ8" s="2" t="s">
        <v>121</v>
      </c>
      <c r="BR8" s="2" t="s">
        <v>92</v>
      </c>
      <c r="BS8" s="3">
        <v>42860</v>
      </c>
      <c r="BT8" s="4">
        <v>0.29166666666666669</v>
      </c>
      <c r="BU8" s="2" t="s">
        <v>122</v>
      </c>
      <c r="BV8" s="2" t="s">
        <v>84</v>
      </c>
      <c r="BY8" s="2">
        <v>3835.1</v>
      </c>
      <c r="CC8" s="2" t="s">
        <v>79</v>
      </c>
      <c r="CD8" s="2">
        <v>2000</v>
      </c>
      <c r="CE8" s="2" t="s">
        <v>85</v>
      </c>
      <c r="CF8" s="3">
        <v>42863</v>
      </c>
      <c r="CI8" s="2">
        <v>1</v>
      </c>
      <c r="CJ8" s="2">
        <v>1</v>
      </c>
      <c r="CK8" s="2" t="s">
        <v>123</v>
      </c>
      <c r="CL8" s="2" t="s">
        <v>86</v>
      </c>
    </row>
    <row r="9" spans="1:91">
      <c r="A9" s="2" t="s">
        <v>71</v>
      </c>
      <c r="B9" s="2" t="s">
        <v>72</v>
      </c>
      <c r="C9" s="2" t="s">
        <v>73</v>
      </c>
      <c r="E9" s="2" t="str">
        <f>"009936171039"</f>
        <v>009936171039</v>
      </c>
      <c r="F9" s="3">
        <v>42860</v>
      </c>
      <c r="G9" s="2">
        <v>201711</v>
      </c>
      <c r="H9" s="2" t="s">
        <v>78</v>
      </c>
      <c r="I9" s="2" t="s">
        <v>79</v>
      </c>
      <c r="J9" s="2" t="s">
        <v>76</v>
      </c>
      <c r="K9" s="2" t="s">
        <v>77</v>
      </c>
      <c r="L9" s="2" t="s">
        <v>124</v>
      </c>
      <c r="M9" s="2" t="s">
        <v>125</v>
      </c>
      <c r="N9" s="2" t="s">
        <v>126</v>
      </c>
      <c r="O9" s="2" t="s">
        <v>90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11.35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0.8</v>
      </c>
      <c r="BJ9" s="2">
        <v>1</v>
      </c>
      <c r="BK9" s="2">
        <v>1</v>
      </c>
      <c r="BL9" s="2">
        <v>107.61</v>
      </c>
      <c r="BM9" s="2">
        <v>15.07</v>
      </c>
      <c r="BN9" s="2">
        <v>122.68</v>
      </c>
      <c r="BO9" s="2">
        <v>122.68</v>
      </c>
      <c r="BQ9" s="2" t="s">
        <v>127</v>
      </c>
      <c r="BS9" s="3">
        <v>42863</v>
      </c>
      <c r="BT9" s="4">
        <v>0.4909722222222222</v>
      </c>
      <c r="BU9" s="2" t="s">
        <v>127</v>
      </c>
      <c r="BY9" s="2">
        <v>4825.32</v>
      </c>
      <c r="CC9" s="2" t="s">
        <v>125</v>
      </c>
      <c r="CD9" s="2">
        <v>6529</v>
      </c>
      <c r="CE9" s="2" t="s">
        <v>85</v>
      </c>
      <c r="CF9" s="3">
        <v>42864</v>
      </c>
      <c r="CI9" s="2">
        <v>0</v>
      </c>
      <c r="CJ9" s="2">
        <v>0</v>
      </c>
      <c r="CK9" s="2" t="s">
        <v>128</v>
      </c>
      <c r="CL9" s="2" t="s">
        <v>86</v>
      </c>
    </row>
    <row r="10" spans="1:91">
      <c r="A10" s="2" t="s">
        <v>71</v>
      </c>
      <c r="B10" s="2" t="s">
        <v>72</v>
      </c>
      <c r="C10" s="2" t="s">
        <v>73</v>
      </c>
      <c r="E10" s="2" t="str">
        <f>"009936171037"</f>
        <v>009936171037</v>
      </c>
      <c r="F10" s="3">
        <v>42863</v>
      </c>
      <c r="G10" s="2">
        <v>201711</v>
      </c>
      <c r="H10" s="2" t="s">
        <v>78</v>
      </c>
      <c r="I10" s="2" t="s">
        <v>79</v>
      </c>
      <c r="J10" s="2" t="s">
        <v>76</v>
      </c>
      <c r="K10" s="2" t="s">
        <v>77</v>
      </c>
      <c r="L10" s="2" t="s">
        <v>129</v>
      </c>
      <c r="M10" s="2" t="s">
        <v>130</v>
      </c>
      <c r="N10" s="2" t="s">
        <v>131</v>
      </c>
      <c r="O10" s="2" t="s">
        <v>90</v>
      </c>
      <c r="P10" s="2" t="str">
        <f t="shared" ref="P10:P73" si="1">"NA                            "</f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6.55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0.8</v>
      </c>
      <c r="BJ10" s="2">
        <v>1</v>
      </c>
      <c r="BK10" s="2">
        <v>1</v>
      </c>
      <c r="BL10" s="2">
        <v>64.2</v>
      </c>
      <c r="BM10" s="2">
        <v>8.99</v>
      </c>
      <c r="BN10" s="2">
        <v>73.19</v>
      </c>
      <c r="BO10" s="2">
        <v>73.19</v>
      </c>
      <c r="BQ10" s="2" t="s">
        <v>132</v>
      </c>
      <c r="BR10" s="2" t="s">
        <v>92</v>
      </c>
      <c r="BS10" s="3">
        <v>42864</v>
      </c>
      <c r="BT10" s="4">
        <v>0.37152777777777773</v>
      </c>
      <c r="BU10" s="2" t="s">
        <v>133</v>
      </c>
      <c r="BV10" s="2" t="s">
        <v>84</v>
      </c>
      <c r="BY10" s="2">
        <v>4789.32</v>
      </c>
      <c r="CC10" s="2" t="s">
        <v>130</v>
      </c>
      <c r="CD10" s="2">
        <v>9300</v>
      </c>
      <c r="CE10" s="2" t="s">
        <v>85</v>
      </c>
      <c r="CF10" s="3">
        <v>42865</v>
      </c>
      <c r="CI10" s="2">
        <v>1</v>
      </c>
      <c r="CJ10" s="2">
        <v>1</v>
      </c>
      <c r="CK10" s="2" t="s">
        <v>112</v>
      </c>
      <c r="CL10" s="2" t="s">
        <v>86</v>
      </c>
    </row>
    <row r="11" spans="1:91">
      <c r="A11" s="2" t="s">
        <v>71</v>
      </c>
      <c r="B11" s="2" t="s">
        <v>72</v>
      </c>
      <c r="C11" s="2" t="s">
        <v>73</v>
      </c>
      <c r="E11" s="2" t="str">
        <f>"009936325415"</f>
        <v>009936325415</v>
      </c>
      <c r="F11" s="3">
        <v>42864</v>
      </c>
      <c r="G11" s="2">
        <v>201711</v>
      </c>
      <c r="H11" s="2" t="s">
        <v>78</v>
      </c>
      <c r="I11" s="2" t="s">
        <v>79</v>
      </c>
      <c r="J11" s="2" t="s">
        <v>76</v>
      </c>
      <c r="K11" s="2" t="s">
        <v>77</v>
      </c>
      <c r="L11" s="2" t="s">
        <v>134</v>
      </c>
      <c r="M11" s="2" t="s">
        <v>75</v>
      </c>
      <c r="N11" s="2" t="s">
        <v>135</v>
      </c>
      <c r="O11" s="2" t="s">
        <v>90</v>
      </c>
      <c r="P11" s="2" t="str">
        <f t="shared" si="1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9.5299999999999994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0.5</v>
      </c>
      <c r="BJ11" s="2">
        <v>0.2</v>
      </c>
      <c r="BK11" s="2">
        <v>1</v>
      </c>
      <c r="BL11" s="2">
        <v>91.17</v>
      </c>
      <c r="BM11" s="2">
        <v>12.76</v>
      </c>
      <c r="BN11" s="2">
        <v>103.93</v>
      </c>
      <c r="BO11" s="2">
        <v>103.93</v>
      </c>
      <c r="BQ11" s="2" t="s">
        <v>136</v>
      </c>
      <c r="BR11" s="2" t="s">
        <v>92</v>
      </c>
      <c r="BS11" s="3">
        <v>42865</v>
      </c>
      <c r="BT11" s="4">
        <v>0.39652777777777781</v>
      </c>
      <c r="BU11" s="2" t="s">
        <v>136</v>
      </c>
      <c r="BV11" s="2" t="s">
        <v>84</v>
      </c>
      <c r="BY11" s="2">
        <v>1200</v>
      </c>
      <c r="CC11" s="2" t="s">
        <v>75</v>
      </c>
      <c r="CD11" s="2">
        <v>7530</v>
      </c>
      <c r="CE11" s="2" t="s">
        <v>85</v>
      </c>
      <c r="CF11" s="3">
        <v>42866</v>
      </c>
      <c r="CI11" s="2">
        <v>2</v>
      </c>
      <c r="CJ11" s="2">
        <v>1</v>
      </c>
      <c r="CK11" s="2" t="s">
        <v>137</v>
      </c>
      <c r="CL11" s="2" t="s">
        <v>86</v>
      </c>
    </row>
    <row r="12" spans="1:91">
      <c r="A12" s="2" t="s">
        <v>71</v>
      </c>
      <c r="B12" s="2" t="s">
        <v>72</v>
      </c>
      <c r="C12" s="2" t="s">
        <v>73</v>
      </c>
      <c r="E12" s="2" t="str">
        <f>"009936325437"</f>
        <v>009936325437</v>
      </c>
      <c r="F12" s="3">
        <v>42864</v>
      </c>
      <c r="G12" s="2">
        <v>201711</v>
      </c>
      <c r="H12" s="2" t="s">
        <v>78</v>
      </c>
      <c r="I12" s="2" t="s">
        <v>79</v>
      </c>
      <c r="J12" s="2" t="s">
        <v>76</v>
      </c>
      <c r="K12" s="2" t="s">
        <v>77</v>
      </c>
      <c r="L12" s="2" t="s">
        <v>138</v>
      </c>
      <c r="M12" s="2" t="s">
        <v>139</v>
      </c>
      <c r="N12" s="2" t="s">
        <v>140</v>
      </c>
      <c r="O12" s="2" t="s">
        <v>90</v>
      </c>
      <c r="P12" s="2" t="str">
        <f t="shared" si="1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11.35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0.2</v>
      </c>
      <c r="BK12" s="2">
        <v>1</v>
      </c>
      <c r="BL12" s="2">
        <v>107.61</v>
      </c>
      <c r="BM12" s="2">
        <v>15.07</v>
      </c>
      <c r="BN12" s="2">
        <v>122.68</v>
      </c>
      <c r="BO12" s="2">
        <v>122.68</v>
      </c>
      <c r="BQ12" s="2" t="s">
        <v>141</v>
      </c>
      <c r="BR12" s="2" t="s">
        <v>92</v>
      </c>
      <c r="BS12" s="3">
        <v>42866</v>
      </c>
      <c r="BT12" s="4">
        <v>0.625</v>
      </c>
      <c r="BU12" s="2" t="s">
        <v>142</v>
      </c>
      <c r="BV12" s="2" t="s">
        <v>84</v>
      </c>
      <c r="BY12" s="2">
        <v>1200</v>
      </c>
      <c r="CC12" s="2" t="s">
        <v>139</v>
      </c>
      <c r="CD12" s="2">
        <v>7365</v>
      </c>
      <c r="CE12" s="2" t="s">
        <v>85</v>
      </c>
      <c r="CF12" s="3">
        <v>42871</v>
      </c>
      <c r="CI12" s="2">
        <v>4</v>
      </c>
      <c r="CJ12" s="2">
        <v>2</v>
      </c>
      <c r="CK12" s="2" t="s">
        <v>128</v>
      </c>
      <c r="CL12" s="2" t="s">
        <v>86</v>
      </c>
    </row>
    <row r="13" spans="1:91">
      <c r="A13" s="2" t="s">
        <v>71</v>
      </c>
      <c r="B13" s="2" t="s">
        <v>72</v>
      </c>
      <c r="C13" s="2" t="s">
        <v>73</v>
      </c>
      <c r="E13" s="2" t="str">
        <f>"009936325441"</f>
        <v>009936325441</v>
      </c>
      <c r="F13" s="3">
        <v>42864</v>
      </c>
      <c r="G13" s="2">
        <v>201711</v>
      </c>
      <c r="H13" s="2" t="s">
        <v>78</v>
      </c>
      <c r="I13" s="2" t="s">
        <v>79</v>
      </c>
      <c r="J13" s="2" t="s">
        <v>76</v>
      </c>
      <c r="K13" s="2" t="s">
        <v>77</v>
      </c>
      <c r="L13" s="2" t="s">
        <v>143</v>
      </c>
      <c r="M13" s="2" t="s">
        <v>144</v>
      </c>
      <c r="N13" s="2" t="s">
        <v>145</v>
      </c>
      <c r="O13" s="2" t="s">
        <v>80</v>
      </c>
      <c r="P13" s="2" t="str">
        <f t="shared" si="1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9.02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0.5</v>
      </c>
      <c r="BL13" s="2">
        <v>81.56</v>
      </c>
      <c r="BM13" s="2">
        <v>11.42</v>
      </c>
      <c r="BN13" s="2">
        <v>92.98</v>
      </c>
      <c r="BO13" s="2">
        <v>92.98</v>
      </c>
      <c r="BQ13" s="2" t="s">
        <v>146</v>
      </c>
      <c r="BR13" s="2" t="s">
        <v>92</v>
      </c>
      <c r="BS13" s="3">
        <v>42866</v>
      </c>
      <c r="BT13" s="4">
        <v>0.4513888888888889</v>
      </c>
      <c r="BU13" s="2" t="s">
        <v>147</v>
      </c>
      <c r="BV13" s="2" t="s">
        <v>86</v>
      </c>
      <c r="BW13" s="2" t="s">
        <v>148</v>
      </c>
      <c r="BX13" s="2" t="s">
        <v>149</v>
      </c>
      <c r="BY13" s="2">
        <v>1200</v>
      </c>
      <c r="BZ13" s="2" t="s">
        <v>27</v>
      </c>
      <c r="CC13" s="2" t="s">
        <v>144</v>
      </c>
      <c r="CD13" s="2">
        <v>3170</v>
      </c>
      <c r="CE13" s="2" t="s">
        <v>85</v>
      </c>
      <c r="CF13" s="3">
        <v>42870</v>
      </c>
      <c r="CI13" s="2">
        <v>1</v>
      </c>
      <c r="CJ13" s="2">
        <v>2</v>
      </c>
      <c r="CK13" s="2">
        <v>23</v>
      </c>
      <c r="CL13" s="2" t="s">
        <v>86</v>
      </c>
    </row>
    <row r="14" spans="1:91">
      <c r="A14" s="2" t="s">
        <v>71</v>
      </c>
      <c r="B14" s="2" t="s">
        <v>72</v>
      </c>
      <c r="C14" s="2" t="s">
        <v>73</v>
      </c>
      <c r="E14" s="2" t="str">
        <f>"009936171045"</f>
        <v>009936171045</v>
      </c>
      <c r="F14" s="3">
        <v>42864</v>
      </c>
      <c r="G14" s="2">
        <v>201711</v>
      </c>
      <c r="H14" s="2" t="s">
        <v>78</v>
      </c>
      <c r="I14" s="2" t="s">
        <v>79</v>
      </c>
      <c r="J14" s="2" t="s">
        <v>76</v>
      </c>
      <c r="K14" s="2" t="s">
        <v>77</v>
      </c>
      <c r="L14" s="2" t="s">
        <v>106</v>
      </c>
      <c r="M14" s="2" t="s">
        <v>107</v>
      </c>
      <c r="N14" s="2" t="s">
        <v>150</v>
      </c>
      <c r="O14" s="2" t="s">
        <v>90</v>
      </c>
      <c r="P14" s="2" t="str">
        <f t="shared" si="1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6.55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6</v>
      </c>
      <c r="BJ14" s="2">
        <v>0.5</v>
      </c>
      <c r="BK14" s="2">
        <v>6</v>
      </c>
      <c r="BL14" s="2">
        <v>64.2</v>
      </c>
      <c r="BM14" s="2">
        <v>8.99</v>
      </c>
      <c r="BN14" s="2">
        <v>73.19</v>
      </c>
      <c r="BO14" s="2">
        <v>73.19</v>
      </c>
      <c r="BQ14" s="2" t="s">
        <v>151</v>
      </c>
      <c r="BR14" s="2" t="s">
        <v>92</v>
      </c>
      <c r="BS14" s="3">
        <v>42865</v>
      </c>
      <c r="BT14" s="4">
        <v>0.47361111111111115</v>
      </c>
      <c r="BU14" s="2" t="s">
        <v>152</v>
      </c>
      <c r="BV14" s="2" t="s">
        <v>84</v>
      </c>
      <c r="BY14" s="2">
        <v>2400</v>
      </c>
      <c r="CA14" s="2" t="s">
        <v>111</v>
      </c>
      <c r="CC14" s="2" t="s">
        <v>107</v>
      </c>
      <c r="CD14" s="2">
        <v>2570</v>
      </c>
      <c r="CE14" s="2" t="s">
        <v>85</v>
      </c>
      <c r="CF14" s="3">
        <v>42865</v>
      </c>
      <c r="CI14" s="2">
        <v>1</v>
      </c>
      <c r="CJ14" s="2">
        <v>1</v>
      </c>
      <c r="CK14" s="2" t="s">
        <v>112</v>
      </c>
      <c r="CL14" s="2" t="s">
        <v>86</v>
      </c>
    </row>
    <row r="15" spans="1:91">
      <c r="A15" s="2" t="s">
        <v>71</v>
      </c>
      <c r="B15" s="2" t="s">
        <v>72</v>
      </c>
      <c r="C15" s="2" t="s">
        <v>73</v>
      </c>
      <c r="E15" s="2" t="str">
        <f>"009936171038"</f>
        <v>009936171038</v>
      </c>
      <c r="F15" s="3">
        <v>42863</v>
      </c>
      <c r="G15" s="2">
        <v>201711</v>
      </c>
      <c r="H15" s="2" t="s">
        <v>78</v>
      </c>
      <c r="I15" s="2" t="s">
        <v>79</v>
      </c>
      <c r="J15" s="2" t="s">
        <v>76</v>
      </c>
      <c r="K15" s="2" t="s">
        <v>77</v>
      </c>
      <c r="L15" s="2" t="s">
        <v>153</v>
      </c>
      <c r="M15" s="2" t="s">
        <v>154</v>
      </c>
      <c r="N15" s="2" t="s">
        <v>155</v>
      </c>
      <c r="O15" s="2" t="s">
        <v>90</v>
      </c>
      <c r="P15" s="2" t="str">
        <f t="shared" si="1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9.4600000000000009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1.1000000000000001</v>
      </c>
      <c r="BJ15" s="2">
        <v>1</v>
      </c>
      <c r="BK15" s="2">
        <v>2</v>
      </c>
      <c r="BL15" s="2">
        <v>90.51</v>
      </c>
      <c r="BM15" s="2">
        <v>12.67</v>
      </c>
      <c r="BN15" s="2">
        <v>103.18</v>
      </c>
      <c r="BO15" s="2">
        <v>103.18</v>
      </c>
      <c r="BQ15" s="2" t="s">
        <v>156</v>
      </c>
      <c r="BR15" s="2" t="s">
        <v>92</v>
      </c>
      <c r="BS15" s="3">
        <v>42864</v>
      </c>
      <c r="BT15" s="4">
        <v>0.39166666666666666</v>
      </c>
      <c r="BU15" s="2" t="s">
        <v>157</v>
      </c>
      <c r="BV15" s="2" t="s">
        <v>84</v>
      </c>
      <c r="BY15" s="2">
        <v>5143.25</v>
      </c>
      <c r="CC15" s="2" t="s">
        <v>154</v>
      </c>
      <c r="CD15" s="2">
        <v>3200</v>
      </c>
      <c r="CE15" s="2" t="s">
        <v>85</v>
      </c>
      <c r="CF15" s="3">
        <v>42865</v>
      </c>
      <c r="CI15" s="2">
        <v>1</v>
      </c>
      <c r="CJ15" s="2">
        <v>1</v>
      </c>
      <c r="CK15" s="2" t="s">
        <v>158</v>
      </c>
      <c r="CL15" s="2" t="s">
        <v>86</v>
      </c>
    </row>
    <row r="16" spans="1:91">
      <c r="A16" s="2" t="s">
        <v>71</v>
      </c>
      <c r="B16" s="2" t="s">
        <v>72</v>
      </c>
      <c r="C16" s="2" t="s">
        <v>73</v>
      </c>
      <c r="E16" s="2" t="str">
        <f>"009936325427"</f>
        <v>009936325427</v>
      </c>
      <c r="F16" s="3">
        <v>42864</v>
      </c>
      <c r="G16" s="2">
        <v>201711</v>
      </c>
      <c r="H16" s="2" t="s">
        <v>78</v>
      </c>
      <c r="I16" s="2" t="s">
        <v>79</v>
      </c>
      <c r="J16" s="2" t="s">
        <v>76</v>
      </c>
      <c r="K16" s="2" t="s">
        <v>77</v>
      </c>
      <c r="L16" s="2" t="s">
        <v>159</v>
      </c>
      <c r="M16" s="2" t="s">
        <v>160</v>
      </c>
      <c r="N16" s="2" t="s">
        <v>161</v>
      </c>
      <c r="O16" s="2" t="s">
        <v>90</v>
      </c>
      <c r="P16" s="2" t="str">
        <f t="shared" si="1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8.01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0.5</v>
      </c>
      <c r="BJ16" s="2">
        <v>0.2</v>
      </c>
      <c r="BK16" s="2">
        <v>1</v>
      </c>
      <c r="BL16" s="2">
        <v>77.36</v>
      </c>
      <c r="BM16" s="2">
        <v>10.83</v>
      </c>
      <c r="BN16" s="2">
        <v>88.19</v>
      </c>
      <c r="BO16" s="2">
        <v>88.19</v>
      </c>
      <c r="BQ16" s="2" t="s">
        <v>162</v>
      </c>
      <c r="BR16" s="2" t="s">
        <v>92</v>
      </c>
      <c r="BS16" s="3">
        <v>42865</v>
      </c>
      <c r="BT16" s="4">
        <v>0.39652777777777781</v>
      </c>
      <c r="BU16" s="2" t="s">
        <v>163</v>
      </c>
      <c r="BV16" s="2" t="s">
        <v>84</v>
      </c>
      <c r="BY16" s="2">
        <v>1200</v>
      </c>
      <c r="CC16" s="2" t="s">
        <v>160</v>
      </c>
      <c r="CD16" s="2">
        <v>1930</v>
      </c>
      <c r="CE16" s="2" t="s">
        <v>85</v>
      </c>
      <c r="CF16" s="3">
        <v>42867</v>
      </c>
      <c r="CI16" s="2">
        <v>1</v>
      </c>
      <c r="CJ16" s="2">
        <v>1</v>
      </c>
      <c r="CK16" s="2" t="s">
        <v>94</v>
      </c>
      <c r="CL16" s="2" t="s">
        <v>86</v>
      </c>
    </row>
    <row r="17" spans="1:90">
      <c r="A17" s="2" t="s">
        <v>71</v>
      </c>
      <c r="B17" s="2" t="s">
        <v>72</v>
      </c>
      <c r="C17" s="2" t="s">
        <v>73</v>
      </c>
      <c r="E17" s="2" t="str">
        <f>"009936325430"</f>
        <v>009936325430</v>
      </c>
      <c r="F17" s="3">
        <v>42864</v>
      </c>
      <c r="G17" s="2">
        <v>201711</v>
      </c>
      <c r="H17" s="2" t="s">
        <v>78</v>
      </c>
      <c r="I17" s="2" t="s">
        <v>79</v>
      </c>
      <c r="J17" s="2" t="s">
        <v>76</v>
      </c>
      <c r="K17" s="2" t="s">
        <v>77</v>
      </c>
      <c r="L17" s="2" t="s">
        <v>124</v>
      </c>
      <c r="M17" s="2" t="s">
        <v>125</v>
      </c>
      <c r="N17" s="2" t="s">
        <v>164</v>
      </c>
      <c r="O17" s="2" t="s">
        <v>90</v>
      </c>
      <c r="P17" s="2" t="str">
        <f t="shared" si="1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11.35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3.2</v>
      </c>
      <c r="BJ17" s="2">
        <v>1.8</v>
      </c>
      <c r="BK17" s="2">
        <v>4</v>
      </c>
      <c r="BL17" s="2">
        <v>107.61</v>
      </c>
      <c r="BM17" s="2">
        <v>15.07</v>
      </c>
      <c r="BN17" s="2">
        <v>122.68</v>
      </c>
      <c r="BO17" s="2">
        <v>122.68</v>
      </c>
      <c r="BQ17" s="2" t="s">
        <v>165</v>
      </c>
      <c r="BR17" s="2" t="s">
        <v>92</v>
      </c>
      <c r="BS17" s="3">
        <v>42865</v>
      </c>
      <c r="BT17" s="4">
        <v>0.4375</v>
      </c>
      <c r="BU17" s="2" t="s">
        <v>166</v>
      </c>
      <c r="BY17" s="2">
        <v>8993.69</v>
      </c>
      <c r="CA17" s="2" t="s">
        <v>167</v>
      </c>
      <c r="CC17" s="2" t="s">
        <v>125</v>
      </c>
      <c r="CD17" s="2">
        <v>6529</v>
      </c>
      <c r="CE17" s="2" t="s">
        <v>85</v>
      </c>
      <c r="CF17" s="3">
        <v>42865</v>
      </c>
      <c r="CI17" s="2">
        <v>0</v>
      </c>
      <c r="CJ17" s="2">
        <v>0</v>
      </c>
      <c r="CK17" s="2" t="s">
        <v>128</v>
      </c>
      <c r="CL17" s="2" t="s">
        <v>86</v>
      </c>
    </row>
    <row r="18" spans="1:90">
      <c r="A18" s="2" t="s">
        <v>71</v>
      </c>
      <c r="B18" s="2" t="s">
        <v>72</v>
      </c>
      <c r="C18" s="2" t="s">
        <v>73</v>
      </c>
      <c r="E18" s="2" t="str">
        <f>"009936325423"</f>
        <v>009936325423</v>
      </c>
      <c r="F18" s="3">
        <v>42864</v>
      </c>
      <c r="G18" s="2">
        <v>201711</v>
      </c>
      <c r="H18" s="2" t="s">
        <v>78</v>
      </c>
      <c r="I18" s="2" t="s">
        <v>79</v>
      </c>
      <c r="J18" s="2" t="s">
        <v>76</v>
      </c>
      <c r="K18" s="2" t="s">
        <v>77</v>
      </c>
      <c r="L18" s="2" t="s">
        <v>168</v>
      </c>
      <c r="M18" s="2" t="s">
        <v>169</v>
      </c>
      <c r="N18" s="2" t="s">
        <v>170</v>
      </c>
      <c r="O18" s="2" t="s">
        <v>90</v>
      </c>
      <c r="P18" s="2" t="str">
        <f t="shared" si="1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11.35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1</v>
      </c>
      <c r="BL18" s="2">
        <v>107.61</v>
      </c>
      <c r="BM18" s="2">
        <v>15.07</v>
      </c>
      <c r="BN18" s="2">
        <v>122.68</v>
      </c>
      <c r="BO18" s="2">
        <v>122.68</v>
      </c>
      <c r="BQ18" s="2" t="s">
        <v>171</v>
      </c>
      <c r="BR18" s="2" t="s">
        <v>92</v>
      </c>
      <c r="BS18" s="3">
        <v>42865</v>
      </c>
      <c r="BT18" s="4">
        <v>0.47430555555555554</v>
      </c>
      <c r="BU18" s="2" t="s">
        <v>172</v>
      </c>
      <c r="BV18" s="2" t="s">
        <v>84</v>
      </c>
      <c r="BY18" s="2">
        <v>1200</v>
      </c>
      <c r="CC18" s="2" t="s">
        <v>169</v>
      </c>
      <c r="CD18" s="2">
        <v>2865</v>
      </c>
      <c r="CE18" s="2" t="s">
        <v>85</v>
      </c>
      <c r="CF18" s="3">
        <v>42866</v>
      </c>
      <c r="CI18" s="2">
        <v>2</v>
      </c>
      <c r="CJ18" s="2">
        <v>1</v>
      </c>
      <c r="CK18" s="2" t="s">
        <v>173</v>
      </c>
      <c r="CL18" s="2" t="s">
        <v>86</v>
      </c>
    </row>
    <row r="19" spans="1:90">
      <c r="A19" s="2" t="s">
        <v>71</v>
      </c>
      <c r="B19" s="2" t="s">
        <v>72</v>
      </c>
      <c r="C19" s="2" t="s">
        <v>73</v>
      </c>
      <c r="E19" s="2" t="str">
        <f>"009936325426"</f>
        <v>009936325426</v>
      </c>
      <c r="F19" s="3">
        <v>42864</v>
      </c>
      <c r="G19" s="2">
        <v>201711</v>
      </c>
      <c r="H19" s="2" t="s">
        <v>78</v>
      </c>
      <c r="I19" s="2" t="s">
        <v>79</v>
      </c>
      <c r="J19" s="2" t="s">
        <v>76</v>
      </c>
      <c r="K19" s="2" t="s">
        <v>77</v>
      </c>
      <c r="L19" s="2" t="s">
        <v>174</v>
      </c>
      <c r="M19" s="2" t="s">
        <v>175</v>
      </c>
      <c r="N19" s="2" t="s">
        <v>176</v>
      </c>
      <c r="O19" s="2" t="s">
        <v>90</v>
      </c>
      <c r="P19" s="2" t="str">
        <f t="shared" si="1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13.1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1</v>
      </c>
      <c r="BL19" s="2">
        <v>123.4</v>
      </c>
      <c r="BM19" s="2">
        <v>17.28</v>
      </c>
      <c r="BN19" s="2">
        <v>140.68</v>
      </c>
      <c r="BO19" s="2">
        <v>140.68</v>
      </c>
      <c r="BQ19" s="2" t="s">
        <v>177</v>
      </c>
      <c r="BR19" s="2" t="s">
        <v>92</v>
      </c>
      <c r="BS19" s="3">
        <v>42865</v>
      </c>
      <c r="BT19" s="4">
        <v>0.43402777777777773</v>
      </c>
      <c r="BU19" s="2" t="s">
        <v>178</v>
      </c>
      <c r="BY19" s="2">
        <v>1200</v>
      </c>
      <c r="CA19" s="2" t="s">
        <v>179</v>
      </c>
      <c r="CC19" s="2" t="s">
        <v>175</v>
      </c>
      <c r="CD19" s="2">
        <v>6500</v>
      </c>
      <c r="CE19" s="2" t="s">
        <v>85</v>
      </c>
      <c r="CF19" s="3">
        <v>42865</v>
      </c>
      <c r="CI19" s="2">
        <v>0</v>
      </c>
      <c r="CJ19" s="2">
        <v>0</v>
      </c>
      <c r="CK19" s="2" t="s">
        <v>180</v>
      </c>
      <c r="CL19" s="2" t="s">
        <v>86</v>
      </c>
    </row>
    <row r="20" spans="1:90">
      <c r="A20" s="2" t="s">
        <v>71</v>
      </c>
      <c r="B20" s="2" t="s">
        <v>72</v>
      </c>
      <c r="C20" s="2" t="s">
        <v>73</v>
      </c>
      <c r="E20" s="2" t="str">
        <f>"009936325428"</f>
        <v>009936325428</v>
      </c>
      <c r="F20" s="3">
        <v>42864</v>
      </c>
      <c r="G20" s="2">
        <v>201711</v>
      </c>
      <c r="H20" s="2" t="s">
        <v>78</v>
      </c>
      <c r="I20" s="2" t="s">
        <v>79</v>
      </c>
      <c r="J20" s="2" t="s">
        <v>76</v>
      </c>
      <c r="K20" s="2" t="s">
        <v>77</v>
      </c>
      <c r="L20" s="2" t="s">
        <v>181</v>
      </c>
      <c r="M20" s="2" t="s">
        <v>182</v>
      </c>
      <c r="N20" s="2" t="s">
        <v>183</v>
      </c>
      <c r="O20" s="2" t="s">
        <v>90</v>
      </c>
      <c r="P20" s="2" t="str">
        <f t="shared" si="1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11.35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0.7</v>
      </c>
      <c r="BJ20" s="2">
        <v>0.7</v>
      </c>
      <c r="BK20" s="2">
        <v>1</v>
      </c>
      <c r="BL20" s="2">
        <v>107.61</v>
      </c>
      <c r="BM20" s="2">
        <v>15.07</v>
      </c>
      <c r="BN20" s="2">
        <v>122.68</v>
      </c>
      <c r="BO20" s="2">
        <v>122.68</v>
      </c>
      <c r="BQ20" s="2" t="s">
        <v>184</v>
      </c>
      <c r="BR20" s="2" t="s">
        <v>92</v>
      </c>
      <c r="BS20" s="3">
        <v>42866</v>
      </c>
      <c r="BT20" s="4">
        <v>0.43055555555555558</v>
      </c>
      <c r="BU20" s="2" t="s">
        <v>185</v>
      </c>
      <c r="BV20" s="2" t="s">
        <v>86</v>
      </c>
      <c r="BW20" s="2" t="s">
        <v>186</v>
      </c>
      <c r="BX20" s="2" t="s">
        <v>187</v>
      </c>
      <c r="BY20" s="2">
        <v>3348.86</v>
      </c>
      <c r="CC20" s="2" t="s">
        <v>182</v>
      </c>
      <c r="CD20" s="2">
        <v>4265</v>
      </c>
      <c r="CE20" s="2" t="s">
        <v>85</v>
      </c>
      <c r="CF20" s="3">
        <v>42870</v>
      </c>
      <c r="CI20" s="2">
        <v>1</v>
      </c>
      <c r="CJ20" s="2">
        <v>2</v>
      </c>
      <c r="CK20" s="2" t="s">
        <v>128</v>
      </c>
      <c r="CL20" s="2" t="s">
        <v>86</v>
      </c>
    </row>
    <row r="21" spans="1:90">
      <c r="A21" s="2" t="s">
        <v>71</v>
      </c>
      <c r="B21" s="2" t="s">
        <v>72</v>
      </c>
      <c r="C21" s="2" t="s">
        <v>73</v>
      </c>
      <c r="E21" s="2" t="str">
        <f>"009936325422"</f>
        <v>009936325422</v>
      </c>
      <c r="F21" s="3">
        <v>42864</v>
      </c>
      <c r="G21" s="2">
        <v>201711</v>
      </c>
      <c r="H21" s="2" t="s">
        <v>78</v>
      </c>
      <c r="I21" s="2" t="s">
        <v>79</v>
      </c>
      <c r="J21" s="2" t="s">
        <v>76</v>
      </c>
      <c r="K21" s="2" t="s">
        <v>77</v>
      </c>
      <c r="L21" s="2" t="s">
        <v>87</v>
      </c>
      <c r="M21" s="2" t="s">
        <v>88</v>
      </c>
      <c r="N21" s="2" t="s">
        <v>188</v>
      </c>
      <c r="O21" s="2" t="s">
        <v>90</v>
      </c>
      <c r="P21" s="2" t="str">
        <f t="shared" si="1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8.01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0.2</v>
      </c>
      <c r="BK21" s="2">
        <v>1</v>
      </c>
      <c r="BL21" s="2">
        <v>77.36</v>
      </c>
      <c r="BM21" s="2">
        <v>10.83</v>
      </c>
      <c r="BN21" s="2">
        <v>88.19</v>
      </c>
      <c r="BO21" s="2">
        <v>88.19</v>
      </c>
      <c r="BQ21" s="2" t="s">
        <v>189</v>
      </c>
      <c r="BR21" s="2" t="s">
        <v>92</v>
      </c>
      <c r="BS21" s="3">
        <v>42865</v>
      </c>
      <c r="BT21" s="4">
        <v>0.40972222222222227</v>
      </c>
      <c r="BU21" s="2" t="s">
        <v>190</v>
      </c>
      <c r="BY21" s="2">
        <v>1200</v>
      </c>
      <c r="CC21" s="2" t="s">
        <v>88</v>
      </c>
      <c r="CD21" s="2">
        <v>1</v>
      </c>
      <c r="CE21" s="2" t="s">
        <v>85</v>
      </c>
      <c r="CF21" s="3">
        <v>42867</v>
      </c>
      <c r="CI21" s="2">
        <v>0</v>
      </c>
      <c r="CJ21" s="2">
        <v>0</v>
      </c>
      <c r="CK21" s="2" t="s">
        <v>94</v>
      </c>
      <c r="CL21" s="2" t="s">
        <v>86</v>
      </c>
    </row>
    <row r="22" spans="1:90">
      <c r="A22" s="2" t="s">
        <v>71</v>
      </c>
      <c r="B22" s="2" t="s">
        <v>72</v>
      </c>
      <c r="C22" s="2" t="s">
        <v>73</v>
      </c>
      <c r="E22" s="2" t="str">
        <f>"009936325444"</f>
        <v>009936325444</v>
      </c>
      <c r="F22" s="3">
        <v>42864</v>
      </c>
      <c r="G22" s="2">
        <v>201711</v>
      </c>
      <c r="H22" s="2" t="s">
        <v>78</v>
      </c>
      <c r="I22" s="2" t="s">
        <v>79</v>
      </c>
      <c r="J22" s="2" t="s">
        <v>76</v>
      </c>
      <c r="K22" s="2" t="s">
        <v>77</v>
      </c>
      <c r="L22" s="2" t="s">
        <v>191</v>
      </c>
      <c r="M22" s="2" t="s">
        <v>192</v>
      </c>
      <c r="N22" s="2" t="s">
        <v>193</v>
      </c>
      <c r="O22" s="2" t="s">
        <v>90</v>
      </c>
      <c r="P22" s="2" t="str">
        <f t="shared" si="1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11.35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2.4</v>
      </c>
      <c r="BK22" s="2">
        <v>3</v>
      </c>
      <c r="BL22" s="2">
        <v>107.61</v>
      </c>
      <c r="BM22" s="2">
        <v>15.07</v>
      </c>
      <c r="BN22" s="2">
        <v>122.68</v>
      </c>
      <c r="BO22" s="2">
        <v>122.68</v>
      </c>
      <c r="BQ22" s="2" t="s">
        <v>194</v>
      </c>
      <c r="BR22" s="2" t="s">
        <v>92</v>
      </c>
      <c r="BS22" s="3">
        <v>42864</v>
      </c>
      <c r="BT22" s="4">
        <v>0.54166666666666663</v>
      </c>
      <c r="BU22" s="2" t="s">
        <v>195</v>
      </c>
      <c r="BV22" s="2" t="s">
        <v>84</v>
      </c>
      <c r="BY22" s="2">
        <v>11982.08</v>
      </c>
      <c r="CC22" s="2" t="s">
        <v>192</v>
      </c>
      <c r="CD22" s="2">
        <v>6300</v>
      </c>
      <c r="CE22" s="2" t="s">
        <v>85</v>
      </c>
      <c r="CF22" s="3">
        <v>42866</v>
      </c>
      <c r="CI22" s="2">
        <v>3</v>
      </c>
      <c r="CJ22" s="2">
        <v>0</v>
      </c>
      <c r="CK22" s="2" t="s">
        <v>128</v>
      </c>
      <c r="CL22" s="2" t="s">
        <v>86</v>
      </c>
    </row>
    <row r="23" spans="1:90">
      <c r="A23" s="2" t="s">
        <v>71</v>
      </c>
      <c r="B23" s="2" t="s">
        <v>72</v>
      </c>
      <c r="C23" s="2" t="s">
        <v>73</v>
      </c>
      <c r="E23" s="2" t="str">
        <f>"009936325434"</f>
        <v>009936325434</v>
      </c>
      <c r="F23" s="3">
        <v>42864</v>
      </c>
      <c r="G23" s="2">
        <v>201711</v>
      </c>
      <c r="H23" s="2" t="s">
        <v>78</v>
      </c>
      <c r="I23" s="2" t="s">
        <v>79</v>
      </c>
      <c r="J23" s="2" t="s">
        <v>76</v>
      </c>
      <c r="K23" s="2" t="s">
        <v>77</v>
      </c>
      <c r="L23" s="2" t="s">
        <v>106</v>
      </c>
      <c r="M23" s="2" t="s">
        <v>107</v>
      </c>
      <c r="N23" s="2" t="s">
        <v>108</v>
      </c>
      <c r="O23" s="2" t="s">
        <v>90</v>
      </c>
      <c r="P23" s="2" t="str">
        <f t="shared" si="1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6.55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0.2</v>
      </c>
      <c r="BK23" s="2">
        <v>1</v>
      </c>
      <c r="BL23" s="2">
        <v>64.2</v>
      </c>
      <c r="BM23" s="2">
        <v>8.99</v>
      </c>
      <c r="BN23" s="2">
        <v>73.19</v>
      </c>
      <c r="BO23" s="2">
        <v>73.19</v>
      </c>
      <c r="BQ23" s="2" t="s">
        <v>196</v>
      </c>
      <c r="BR23" s="2" t="s">
        <v>92</v>
      </c>
      <c r="BS23" s="3">
        <v>42865</v>
      </c>
      <c r="BT23" s="4">
        <v>0.51388888888888895</v>
      </c>
      <c r="BU23" s="2" t="s">
        <v>197</v>
      </c>
      <c r="BV23" s="2" t="s">
        <v>84</v>
      </c>
      <c r="BY23" s="2">
        <v>1200</v>
      </c>
      <c r="CA23" s="2" t="s">
        <v>111</v>
      </c>
      <c r="CC23" s="2" t="s">
        <v>107</v>
      </c>
      <c r="CD23" s="2">
        <v>2570</v>
      </c>
      <c r="CE23" s="2" t="s">
        <v>85</v>
      </c>
      <c r="CF23" s="3">
        <v>42865</v>
      </c>
      <c r="CI23" s="2">
        <v>1</v>
      </c>
      <c r="CJ23" s="2">
        <v>1</v>
      </c>
      <c r="CK23" s="2" t="s">
        <v>112</v>
      </c>
      <c r="CL23" s="2" t="s">
        <v>86</v>
      </c>
    </row>
    <row r="24" spans="1:90">
      <c r="A24" s="2" t="s">
        <v>71</v>
      </c>
      <c r="B24" s="2" t="s">
        <v>72</v>
      </c>
      <c r="C24" s="2" t="s">
        <v>73</v>
      </c>
      <c r="E24" s="2" t="str">
        <f>"009936325424"</f>
        <v>009936325424</v>
      </c>
      <c r="F24" s="3">
        <v>42864</v>
      </c>
      <c r="G24" s="2">
        <v>201711</v>
      </c>
      <c r="H24" s="2" t="s">
        <v>78</v>
      </c>
      <c r="I24" s="2" t="s">
        <v>79</v>
      </c>
      <c r="J24" s="2" t="s">
        <v>76</v>
      </c>
      <c r="K24" s="2" t="s">
        <v>77</v>
      </c>
      <c r="L24" s="2" t="s">
        <v>101</v>
      </c>
      <c r="M24" s="2" t="s">
        <v>102</v>
      </c>
      <c r="N24" s="2" t="s">
        <v>198</v>
      </c>
      <c r="O24" s="2" t="s">
        <v>90</v>
      </c>
      <c r="P24" s="2" t="str">
        <f t="shared" si="1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6.55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0.8</v>
      </c>
      <c r="BJ24" s="2">
        <v>1.9</v>
      </c>
      <c r="BK24" s="2">
        <v>2</v>
      </c>
      <c r="BL24" s="2">
        <v>64.2</v>
      </c>
      <c r="BM24" s="2">
        <v>8.99</v>
      </c>
      <c r="BN24" s="2">
        <v>73.19</v>
      </c>
      <c r="BO24" s="2">
        <v>73.19</v>
      </c>
      <c r="BQ24" s="2" t="s">
        <v>199</v>
      </c>
      <c r="BR24" s="2" t="s">
        <v>92</v>
      </c>
      <c r="BS24" s="3">
        <v>42865</v>
      </c>
      <c r="BT24" s="4">
        <v>0.43611111111111112</v>
      </c>
      <c r="BU24" s="2" t="s">
        <v>185</v>
      </c>
      <c r="BV24" s="2" t="s">
        <v>84</v>
      </c>
      <c r="BY24" s="2">
        <v>9446.91</v>
      </c>
      <c r="CC24" s="2" t="s">
        <v>102</v>
      </c>
      <c r="CD24" s="2">
        <v>4000</v>
      </c>
      <c r="CE24" s="2" t="s">
        <v>85</v>
      </c>
      <c r="CF24" s="3">
        <v>42866</v>
      </c>
      <c r="CI24" s="2">
        <v>1</v>
      </c>
      <c r="CJ24" s="2">
        <v>1</v>
      </c>
      <c r="CK24" s="2" t="s">
        <v>100</v>
      </c>
      <c r="CL24" s="2" t="s">
        <v>86</v>
      </c>
    </row>
    <row r="25" spans="1:90">
      <c r="A25" s="2" t="s">
        <v>71</v>
      </c>
      <c r="B25" s="2" t="s">
        <v>72</v>
      </c>
      <c r="C25" s="2" t="s">
        <v>73</v>
      </c>
      <c r="E25" s="2" t="str">
        <f>"009936325439"</f>
        <v>009936325439</v>
      </c>
      <c r="F25" s="3">
        <v>42864</v>
      </c>
      <c r="G25" s="2">
        <v>201711</v>
      </c>
      <c r="H25" s="2" t="s">
        <v>78</v>
      </c>
      <c r="I25" s="2" t="s">
        <v>79</v>
      </c>
      <c r="J25" s="2" t="s">
        <v>76</v>
      </c>
      <c r="K25" s="2" t="s">
        <v>77</v>
      </c>
      <c r="L25" s="2" t="s">
        <v>200</v>
      </c>
      <c r="M25" s="2" t="s">
        <v>201</v>
      </c>
      <c r="N25" s="2" t="s">
        <v>202</v>
      </c>
      <c r="O25" s="2" t="s">
        <v>90</v>
      </c>
      <c r="P25" s="2" t="str">
        <f t="shared" si="1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9.5299999999999994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0.5</v>
      </c>
      <c r="BJ25" s="2">
        <v>0.2</v>
      </c>
      <c r="BK25" s="2">
        <v>1</v>
      </c>
      <c r="BL25" s="2">
        <v>91.17</v>
      </c>
      <c r="BM25" s="2">
        <v>12.76</v>
      </c>
      <c r="BN25" s="2">
        <v>103.93</v>
      </c>
      <c r="BO25" s="2">
        <v>103.93</v>
      </c>
      <c r="BQ25" s="2" t="s">
        <v>203</v>
      </c>
      <c r="BR25" s="2" t="s">
        <v>92</v>
      </c>
      <c r="BS25" s="3">
        <v>42865</v>
      </c>
      <c r="BT25" s="4">
        <v>0.43541666666666662</v>
      </c>
      <c r="BU25" s="2" t="s">
        <v>204</v>
      </c>
      <c r="BV25" s="2" t="s">
        <v>84</v>
      </c>
      <c r="BY25" s="2">
        <v>1200</v>
      </c>
      <c r="CC25" s="2" t="s">
        <v>201</v>
      </c>
      <c r="CD25" s="2">
        <v>3880</v>
      </c>
      <c r="CE25" s="2" t="s">
        <v>85</v>
      </c>
      <c r="CF25" s="3">
        <v>42867</v>
      </c>
      <c r="CI25" s="2">
        <v>2</v>
      </c>
      <c r="CJ25" s="2">
        <v>1</v>
      </c>
      <c r="CK25" s="2" t="s">
        <v>119</v>
      </c>
      <c r="CL25" s="2" t="s">
        <v>86</v>
      </c>
    </row>
    <row r="26" spans="1:90">
      <c r="A26" s="2" t="s">
        <v>71</v>
      </c>
      <c r="B26" s="2" t="s">
        <v>72</v>
      </c>
      <c r="C26" s="2" t="s">
        <v>73</v>
      </c>
      <c r="E26" s="2" t="str">
        <f>"009936325416"</f>
        <v>009936325416</v>
      </c>
      <c r="F26" s="3">
        <v>42864</v>
      </c>
      <c r="G26" s="2">
        <v>201711</v>
      </c>
      <c r="H26" s="2" t="s">
        <v>78</v>
      </c>
      <c r="I26" s="2" t="s">
        <v>79</v>
      </c>
      <c r="J26" s="2" t="s">
        <v>76</v>
      </c>
      <c r="K26" s="2" t="s">
        <v>77</v>
      </c>
      <c r="L26" s="2" t="s">
        <v>205</v>
      </c>
      <c r="M26" s="2" t="s">
        <v>206</v>
      </c>
      <c r="N26" s="2" t="s">
        <v>207</v>
      </c>
      <c r="O26" s="2" t="s">
        <v>90</v>
      </c>
      <c r="P26" s="2" t="str">
        <f t="shared" si="1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9.5299999999999994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1</v>
      </c>
      <c r="BL26" s="2">
        <v>91.17</v>
      </c>
      <c r="BM26" s="2">
        <v>12.76</v>
      </c>
      <c r="BN26" s="2">
        <v>103.93</v>
      </c>
      <c r="BO26" s="2">
        <v>103.93</v>
      </c>
      <c r="BQ26" s="2" t="s">
        <v>208</v>
      </c>
      <c r="BR26" s="2" t="s">
        <v>92</v>
      </c>
      <c r="BS26" s="3">
        <v>42865</v>
      </c>
      <c r="BT26" s="4">
        <v>0.61736111111111114</v>
      </c>
      <c r="BU26" s="2" t="s">
        <v>209</v>
      </c>
      <c r="BV26" s="2" t="s">
        <v>84</v>
      </c>
      <c r="BY26" s="2">
        <v>1200</v>
      </c>
      <c r="CC26" s="2" t="s">
        <v>206</v>
      </c>
      <c r="CD26" s="2">
        <v>2430</v>
      </c>
      <c r="CE26" s="2" t="s">
        <v>85</v>
      </c>
      <c r="CF26" s="3">
        <v>42867</v>
      </c>
      <c r="CI26" s="2">
        <v>1</v>
      </c>
      <c r="CJ26" s="2">
        <v>1</v>
      </c>
      <c r="CK26" s="2" t="s">
        <v>137</v>
      </c>
      <c r="CL26" s="2" t="s">
        <v>86</v>
      </c>
    </row>
    <row r="27" spans="1:90">
      <c r="A27" s="2" t="s">
        <v>71</v>
      </c>
      <c r="B27" s="2" t="s">
        <v>72</v>
      </c>
      <c r="C27" s="2" t="s">
        <v>73</v>
      </c>
      <c r="E27" s="2" t="str">
        <f>"009936325420"</f>
        <v>009936325420</v>
      </c>
      <c r="F27" s="3">
        <v>42864</v>
      </c>
      <c r="G27" s="2">
        <v>201711</v>
      </c>
      <c r="H27" s="2" t="s">
        <v>78</v>
      </c>
      <c r="I27" s="2" t="s">
        <v>79</v>
      </c>
      <c r="J27" s="2" t="s">
        <v>76</v>
      </c>
      <c r="K27" s="2" t="s">
        <v>77</v>
      </c>
      <c r="L27" s="2" t="s">
        <v>210</v>
      </c>
      <c r="M27" s="2" t="s">
        <v>211</v>
      </c>
      <c r="N27" s="2" t="s">
        <v>212</v>
      </c>
      <c r="O27" s="2" t="s">
        <v>90</v>
      </c>
      <c r="P27" s="2" t="str">
        <f t="shared" si="1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9.5299999999999994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0.5</v>
      </c>
      <c r="BJ27" s="2">
        <v>0.2</v>
      </c>
      <c r="BK27" s="2">
        <v>1</v>
      </c>
      <c r="BL27" s="2">
        <v>91.17</v>
      </c>
      <c r="BM27" s="2">
        <v>12.76</v>
      </c>
      <c r="BN27" s="2">
        <v>103.93</v>
      </c>
      <c r="BO27" s="2">
        <v>103.93</v>
      </c>
      <c r="BQ27" s="2" t="s">
        <v>213</v>
      </c>
      <c r="BR27" s="2" t="s">
        <v>92</v>
      </c>
      <c r="BS27" s="3">
        <v>42865</v>
      </c>
      <c r="BT27" s="4">
        <v>0.375</v>
      </c>
      <c r="BU27" s="2" t="s">
        <v>214</v>
      </c>
      <c r="BV27" s="2" t="s">
        <v>84</v>
      </c>
      <c r="BY27" s="2">
        <v>1200</v>
      </c>
      <c r="CC27" s="2" t="s">
        <v>211</v>
      </c>
      <c r="CD27" s="2">
        <v>4220</v>
      </c>
      <c r="CE27" s="2" t="s">
        <v>85</v>
      </c>
      <c r="CF27" s="3">
        <v>42866</v>
      </c>
      <c r="CI27" s="2">
        <v>1</v>
      </c>
      <c r="CJ27" s="2">
        <v>1</v>
      </c>
      <c r="CK27" s="2" t="s">
        <v>119</v>
      </c>
      <c r="CL27" s="2" t="s">
        <v>86</v>
      </c>
    </row>
    <row r="28" spans="1:90">
      <c r="A28" s="2" t="s">
        <v>71</v>
      </c>
      <c r="B28" s="2" t="s">
        <v>72</v>
      </c>
      <c r="C28" s="2" t="s">
        <v>73</v>
      </c>
      <c r="E28" s="2" t="str">
        <f>"009936325436"</f>
        <v>009936325436</v>
      </c>
      <c r="F28" s="3">
        <v>42864</v>
      </c>
      <c r="G28" s="2">
        <v>201711</v>
      </c>
      <c r="H28" s="2" t="s">
        <v>78</v>
      </c>
      <c r="I28" s="2" t="s">
        <v>79</v>
      </c>
      <c r="J28" s="2" t="s">
        <v>76</v>
      </c>
      <c r="K28" s="2" t="s">
        <v>77</v>
      </c>
      <c r="L28" s="2" t="s">
        <v>78</v>
      </c>
      <c r="M28" s="2" t="s">
        <v>79</v>
      </c>
      <c r="N28" s="2" t="s">
        <v>215</v>
      </c>
      <c r="O28" s="2" t="s">
        <v>90</v>
      </c>
      <c r="P28" s="2" t="str">
        <f t="shared" si="1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6.55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0.2</v>
      </c>
      <c r="BK28" s="2">
        <v>1</v>
      </c>
      <c r="BL28" s="2">
        <v>64.2</v>
      </c>
      <c r="BM28" s="2">
        <v>8.99</v>
      </c>
      <c r="BN28" s="2">
        <v>73.19</v>
      </c>
      <c r="BO28" s="2">
        <v>73.19</v>
      </c>
      <c r="BQ28" s="2" t="s">
        <v>216</v>
      </c>
      <c r="BR28" s="2" t="s">
        <v>92</v>
      </c>
      <c r="BS28" s="3">
        <v>42865</v>
      </c>
      <c r="BT28" s="4">
        <v>0.42222222222222222</v>
      </c>
      <c r="BU28" s="2" t="s">
        <v>217</v>
      </c>
      <c r="BV28" s="2" t="s">
        <v>84</v>
      </c>
      <c r="BY28" s="2">
        <v>1200</v>
      </c>
      <c r="CC28" s="2" t="s">
        <v>79</v>
      </c>
      <c r="CD28" s="2">
        <v>2007</v>
      </c>
      <c r="CE28" s="2" t="s">
        <v>85</v>
      </c>
      <c r="CF28" s="3">
        <v>42867</v>
      </c>
      <c r="CI28" s="2">
        <v>1</v>
      </c>
      <c r="CJ28" s="2">
        <v>1</v>
      </c>
      <c r="CK28" s="2" t="s">
        <v>123</v>
      </c>
      <c r="CL28" s="2" t="s">
        <v>86</v>
      </c>
    </row>
    <row r="29" spans="1:90">
      <c r="A29" s="2" t="s">
        <v>71</v>
      </c>
      <c r="B29" s="2" t="s">
        <v>72</v>
      </c>
      <c r="C29" s="2" t="s">
        <v>73</v>
      </c>
      <c r="E29" s="2" t="str">
        <f>"009936325433"</f>
        <v>009936325433</v>
      </c>
      <c r="F29" s="3">
        <v>42864</v>
      </c>
      <c r="G29" s="2">
        <v>201711</v>
      </c>
      <c r="H29" s="2" t="s">
        <v>78</v>
      </c>
      <c r="I29" s="2" t="s">
        <v>79</v>
      </c>
      <c r="J29" s="2" t="s">
        <v>76</v>
      </c>
      <c r="K29" s="2" t="s">
        <v>77</v>
      </c>
      <c r="L29" s="2" t="s">
        <v>218</v>
      </c>
      <c r="M29" s="2" t="s">
        <v>219</v>
      </c>
      <c r="N29" s="2" t="s">
        <v>220</v>
      </c>
      <c r="O29" s="2" t="s">
        <v>90</v>
      </c>
      <c r="P29" s="2" t="str">
        <f t="shared" si="1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13.1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123.4</v>
      </c>
      <c r="BM29" s="2">
        <v>17.28</v>
      </c>
      <c r="BN29" s="2">
        <v>140.68</v>
      </c>
      <c r="BO29" s="2">
        <v>140.68</v>
      </c>
      <c r="BQ29" s="2" t="s">
        <v>221</v>
      </c>
      <c r="BR29" s="2" t="s">
        <v>92</v>
      </c>
      <c r="BS29" s="3">
        <v>42867</v>
      </c>
      <c r="BT29" s="4">
        <v>0.65347222222222223</v>
      </c>
      <c r="BU29" s="2" t="s">
        <v>222</v>
      </c>
      <c r="BV29" s="2" t="s">
        <v>84</v>
      </c>
      <c r="BY29" s="2">
        <v>1200</v>
      </c>
      <c r="CC29" s="2" t="s">
        <v>219</v>
      </c>
      <c r="CD29" s="2">
        <v>5099</v>
      </c>
      <c r="CE29" s="2" t="s">
        <v>85</v>
      </c>
      <c r="CF29" s="3">
        <v>42871</v>
      </c>
      <c r="CI29" s="2">
        <v>4</v>
      </c>
      <c r="CJ29" s="2">
        <v>3</v>
      </c>
      <c r="CK29" s="2" t="s">
        <v>180</v>
      </c>
      <c r="CL29" s="2" t="s">
        <v>86</v>
      </c>
    </row>
    <row r="30" spans="1:90">
      <c r="A30" s="2" t="s">
        <v>71</v>
      </c>
      <c r="B30" s="2" t="s">
        <v>72</v>
      </c>
      <c r="C30" s="2" t="s">
        <v>73</v>
      </c>
      <c r="E30" s="2" t="str">
        <f>"009936325443"</f>
        <v>009936325443</v>
      </c>
      <c r="F30" s="3">
        <v>42864</v>
      </c>
      <c r="G30" s="2">
        <v>201711</v>
      </c>
      <c r="H30" s="2" t="s">
        <v>78</v>
      </c>
      <c r="I30" s="2" t="s">
        <v>79</v>
      </c>
      <c r="J30" s="2" t="s">
        <v>76</v>
      </c>
      <c r="K30" s="2" t="s">
        <v>77</v>
      </c>
      <c r="L30" s="2" t="s">
        <v>223</v>
      </c>
      <c r="M30" s="2" t="s">
        <v>224</v>
      </c>
      <c r="N30" s="2" t="s">
        <v>225</v>
      </c>
      <c r="O30" s="2" t="s">
        <v>90</v>
      </c>
      <c r="P30" s="2" t="str">
        <f t="shared" si="1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6.55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0.5</v>
      </c>
      <c r="BJ30" s="2">
        <v>0.2</v>
      </c>
      <c r="BK30" s="2">
        <v>1</v>
      </c>
      <c r="BL30" s="2">
        <v>64.2</v>
      </c>
      <c r="BM30" s="2">
        <v>8.99</v>
      </c>
      <c r="BN30" s="2">
        <v>73.19</v>
      </c>
      <c r="BO30" s="2">
        <v>73.19</v>
      </c>
      <c r="BQ30" s="2" t="s">
        <v>226</v>
      </c>
      <c r="BR30" s="2" t="s">
        <v>92</v>
      </c>
      <c r="BS30" s="3">
        <v>42865</v>
      </c>
      <c r="BT30" s="4">
        <v>0.4236111111111111</v>
      </c>
      <c r="BU30" s="2" t="s">
        <v>227</v>
      </c>
      <c r="BV30" s="2" t="s">
        <v>84</v>
      </c>
      <c r="BY30" s="2">
        <v>1200</v>
      </c>
      <c r="CC30" s="2" t="s">
        <v>224</v>
      </c>
      <c r="CD30" s="2">
        <v>4320</v>
      </c>
      <c r="CE30" s="2" t="s">
        <v>85</v>
      </c>
      <c r="CF30" s="3">
        <v>42866</v>
      </c>
      <c r="CI30" s="2">
        <v>1</v>
      </c>
      <c r="CJ30" s="2">
        <v>1</v>
      </c>
      <c r="CK30" s="2" t="s">
        <v>100</v>
      </c>
      <c r="CL30" s="2" t="s">
        <v>86</v>
      </c>
    </row>
    <row r="31" spans="1:90">
      <c r="A31" s="2" t="s">
        <v>71</v>
      </c>
      <c r="B31" s="2" t="s">
        <v>72</v>
      </c>
      <c r="C31" s="2" t="s">
        <v>73</v>
      </c>
      <c r="E31" s="2" t="str">
        <f>"009936171042"</f>
        <v>009936171042</v>
      </c>
      <c r="F31" s="3">
        <v>42864</v>
      </c>
      <c r="G31" s="2">
        <v>201711</v>
      </c>
      <c r="H31" s="2" t="s">
        <v>78</v>
      </c>
      <c r="I31" s="2" t="s">
        <v>79</v>
      </c>
      <c r="J31" s="2" t="s">
        <v>76</v>
      </c>
      <c r="K31" s="2" t="s">
        <v>77</v>
      </c>
      <c r="L31" s="2" t="s">
        <v>223</v>
      </c>
      <c r="M31" s="2" t="s">
        <v>224</v>
      </c>
      <c r="N31" s="2" t="s">
        <v>228</v>
      </c>
      <c r="O31" s="2" t="s">
        <v>90</v>
      </c>
      <c r="P31" s="2" t="str">
        <f t="shared" si="1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6.55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0.8</v>
      </c>
      <c r="BJ31" s="2">
        <v>2.6</v>
      </c>
      <c r="BK31" s="2">
        <v>3</v>
      </c>
      <c r="BL31" s="2">
        <v>64.2</v>
      </c>
      <c r="BM31" s="2">
        <v>8.99</v>
      </c>
      <c r="BN31" s="2">
        <v>73.19</v>
      </c>
      <c r="BO31" s="2">
        <v>73.19</v>
      </c>
      <c r="BQ31" s="2" t="s">
        <v>229</v>
      </c>
      <c r="BR31" s="2" t="s">
        <v>92</v>
      </c>
      <c r="BS31" s="3">
        <v>42865</v>
      </c>
      <c r="BT31" s="4">
        <v>0.375</v>
      </c>
      <c r="BU31" s="2" t="s">
        <v>142</v>
      </c>
      <c r="BV31" s="2" t="s">
        <v>84</v>
      </c>
      <c r="BY31" s="2">
        <v>13147.16</v>
      </c>
      <c r="CC31" s="2" t="s">
        <v>224</v>
      </c>
      <c r="CD31" s="2">
        <v>4319</v>
      </c>
      <c r="CE31" s="2" t="s">
        <v>85</v>
      </c>
      <c r="CF31" s="3">
        <v>42866</v>
      </c>
      <c r="CI31" s="2">
        <v>1</v>
      </c>
      <c r="CJ31" s="2">
        <v>1</v>
      </c>
      <c r="CK31" s="2" t="s">
        <v>100</v>
      </c>
      <c r="CL31" s="2" t="s">
        <v>86</v>
      </c>
    </row>
    <row r="32" spans="1:90">
      <c r="A32" s="2" t="s">
        <v>71</v>
      </c>
      <c r="B32" s="2" t="s">
        <v>72</v>
      </c>
      <c r="C32" s="2" t="s">
        <v>73</v>
      </c>
      <c r="E32" s="2" t="str">
        <f>"009936325421"</f>
        <v>009936325421</v>
      </c>
      <c r="F32" s="3">
        <v>42864</v>
      </c>
      <c r="G32" s="2">
        <v>201711</v>
      </c>
      <c r="H32" s="2" t="s">
        <v>78</v>
      </c>
      <c r="I32" s="2" t="s">
        <v>79</v>
      </c>
      <c r="J32" s="2" t="s">
        <v>76</v>
      </c>
      <c r="K32" s="2" t="s">
        <v>77</v>
      </c>
      <c r="L32" s="2" t="s">
        <v>230</v>
      </c>
      <c r="M32" s="2" t="s">
        <v>231</v>
      </c>
      <c r="N32" s="2" t="s">
        <v>232</v>
      </c>
      <c r="O32" s="2" t="s">
        <v>90</v>
      </c>
      <c r="P32" s="2" t="str">
        <f t="shared" si="1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6.55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0.2</v>
      </c>
      <c r="BK32" s="2">
        <v>1</v>
      </c>
      <c r="BL32" s="2">
        <v>64.2</v>
      </c>
      <c r="BM32" s="2">
        <v>8.99</v>
      </c>
      <c r="BN32" s="2">
        <v>73.19</v>
      </c>
      <c r="BO32" s="2">
        <v>73.19</v>
      </c>
      <c r="BQ32" s="2" t="s">
        <v>233</v>
      </c>
      <c r="BR32" s="2" t="s">
        <v>92</v>
      </c>
      <c r="BS32" s="3">
        <v>42865</v>
      </c>
      <c r="BT32" s="4">
        <v>0.4375</v>
      </c>
      <c r="BU32" s="2" t="s">
        <v>234</v>
      </c>
      <c r="BV32" s="2" t="s">
        <v>84</v>
      </c>
      <c r="BY32" s="2">
        <v>1200</v>
      </c>
      <c r="CC32" s="2" t="s">
        <v>231</v>
      </c>
      <c r="CD32" s="2">
        <v>1200</v>
      </c>
      <c r="CE32" s="2" t="s">
        <v>85</v>
      </c>
      <c r="CF32" s="3">
        <v>42866</v>
      </c>
      <c r="CI32" s="2">
        <v>1</v>
      </c>
      <c r="CJ32" s="2">
        <v>1</v>
      </c>
      <c r="CK32" s="2" t="s">
        <v>112</v>
      </c>
      <c r="CL32" s="2" t="s">
        <v>86</v>
      </c>
    </row>
    <row r="33" spans="1:90">
      <c r="A33" s="2" t="s">
        <v>71</v>
      </c>
      <c r="B33" s="2" t="s">
        <v>72</v>
      </c>
      <c r="C33" s="2" t="s">
        <v>73</v>
      </c>
      <c r="E33" s="2" t="str">
        <f>"009936171046"</f>
        <v>009936171046</v>
      </c>
      <c r="F33" s="3">
        <v>42864</v>
      </c>
      <c r="G33" s="2">
        <v>201711</v>
      </c>
      <c r="H33" s="2" t="s">
        <v>78</v>
      </c>
      <c r="I33" s="2" t="s">
        <v>79</v>
      </c>
      <c r="J33" s="2" t="s">
        <v>76</v>
      </c>
      <c r="K33" s="2" t="s">
        <v>77</v>
      </c>
      <c r="L33" s="2" t="s">
        <v>101</v>
      </c>
      <c r="M33" s="2" t="s">
        <v>102</v>
      </c>
      <c r="N33" s="2" t="s">
        <v>235</v>
      </c>
      <c r="O33" s="2" t="s">
        <v>90</v>
      </c>
      <c r="P33" s="2" t="str">
        <f t="shared" si="1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6.55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</v>
      </c>
      <c r="BJ33" s="2">
        <v>0.5</v>
      </c>
      <c r="BK33" s="2">
        <v>1</v>
      </c>
      <c r="BL33" s="2">
        <v>64.2</v>
      </c>
      <c r="BM33" s="2">
        <v>8.99</v>
      </c>
      <c r="BN33" s="2">
        <v>73.19</v>
      </c>
      <c r="BO33" s="2">
        <v>73.19</v>
      </c>
      <c r="BQ33" s="2" t="s">
        <v>236</v>
      </c>
      <c r="BR33" s="2" t="s">
        <v>92</v>
      </c>
      <c r="BS33" s="3">
        <v>42865</v>
      </c>
      <c r="BT33" s="4">
        <v>0.46180555555555558</v>
      </c>
      <c r="BU33" s="2" t="s">
        <v>185</v>
      </c>
      <c r="BV33" s="2" t="s">
        <v>84</v>
      </c>
      <c r="BY33" s="2">
        <v>2400</v>
      </c>
      <c r="CC33" s="2" t="s">
        <v>102</v>
      </c>
      <c r="CD33" s="2">
        <v>4000</v>
      </c>
      <c r="CE33" s="2" t="s">
        <v>85</v>
      </c>
      <c r="CF33" s="3">
        <v>42866</v>
      </c>
      <c r="CI33" s="2">
        <v>1</v>
      </c>
      <c r="CJ33" s="2">
        <v>1</v>
      </c>
      <c r="CK33" s="2" t="s">
        <v>100</v>
      </c>
      <c r="CL33" s="2" t="s">
        <v>86</v>
      </c>
    </row>
    <row r="34" spans="1:90">
      <c r="A34" s="2" t="s">
        <v>71</v>
      </c>
      <c r="B34" s="2" t="s">
        <v>72</v>
      </c>
      <c r="C34" s="2" t="s">
        <v>73</v>
      </c>
      <c r="E34" s="2" t="str">
        <f>"009936171043"</f>
        <v>009936171043</v>
      </c>
      <c r="F34" s="3">
        <v>42864</v>
      </c>
      <c r="G34" s="2">
        <v>201711</v>
      </c>
      <c r="H34" s="2" t="s">
        <v>78</v>
      </c>
      <c r="I34" s="2" t="s">
        <v>79</v>
      </c>
      <c r="J34" s="2" t="s">
        <v>76</v>
      </c>
      <c r="K34" s="2" t="s">
        <v>77</v>
      </c>
      <c r="L34" s="2" t="s">
        <v>237</v>
      </c>
      <c r="M34" s="2" t="s">
        <v>238</v>
      </c>
      <c r="N34" s="2" t="s">
        <v>228</v>
      </c>
      <c r="O34" s="2" t="s">
        <v>90</v>
      </c>
      <c r="P34" s="2" t="str">
        <f t="shared" si="1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9.5299999999999994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0.8</v>
      </c>
      <c r="BJ34" s="2">
        <v>0.6</v>
      </c>
      <c r="BK34" s="2">
        <v>1</v>
      </c>
      <c r="BL34" s="2">
        <v>91.17</v>
      </c>
      <c r="BM34" s="2">
        <v>12.76</v>
      </c>
      <c r="BN34" s="2">
        <v>103.93</v>
      </c>
      <c r="BO34" s="2">
        <v>103.93</v>
      </c>
      <c r="BQ34" s="2" t="s">
        <v>239</v>
      </c>
      <c r="BR34" s="2" t="s">
        <v>92</v>
      </c>
      <c r="BS34" s="3">
        <v>42865</v>
      </c>
      <c r="BT34" s="4">
        <v>0.5</v>
      </c>
      <c r="BU34" s="2" t="s">
        <v>185</v>
      </c>
      <c r="BV34" s="2" t="s">
        <v>84</v>
      </c>
      <c r="BY34" s="2">
        <v>3089.22</v>
      </c>
      <c r="CC34" s="2" t="s">
        <v>238</v>
      </c>
      <c r="CD34" s="2">
        <v>4420</v>
      </c>
      <c r="CE34" s="2" t="s">
        <v>85</v>
      </c>
      <c r="CF34" s="3">
        <v>42866</v>
      </c>
      <c r="CI34" s="2">
        <v>1</v>
      </c>
      <c r="CJ34" s="2">
        <v>1</v>
      </c>
      <c r="CK34" s="2" t="s">
        <v>119</v>
      </c>
      <c r="CL34" s="2" t="s">
        <v>86</v>
      </c>
    </row>
    <row r="35" spans="1:90">
      <c r="A35" s="2" t="s">
        <v>71</v>
      </c>
      <c r="B35" s="2" t="s">
        <v>72</v>
      </c>
      <c r="C35" s="2" t="s">
        <v>73</v>
      </c>
      <c r="E35" s="2" t="str">
        <f>"009936325417"</f>
        <v>009936325417</v>
      </c>
      <c r="F35" s="3">
        <v>42864</v>
      </c>
      <c r="G35" s="2">
        <v>201711</v>
      </c>
      <c r="H35" s="2" t="s">
        <v>78</v>
      </c>
      <c r="I35" s="2" t="s">
        <v>79</v>
      </c>
      <c r="J35" s="2" t="s">
        <v>76</v>
      </c>
      <c r="K35" s="2" t="s">
        <v>77</v>
      </c>
      <c r="L35" s="2" t="s">
        <v>113</v>
      </c>
      <c r="M35" s="2" t="s">
        <v>114</v>
      </c>
      <c r="N35" s="2" t="s">
        <v>240</v>
      </c>
      <c r="O35" s="2" t="s">
        <v>90</v>
      </c>
      <c r="P35" s="2" t="str">
        <f t="shared" si="1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9.5299999999999994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0.8</v>
      </c>
      <c r="BJ35" s="2">
        <v>1</v>
      </c>
      <c r="BK35" s="2">
        <v>1</v>
      </c>
      <c r="BL35" s="2">
        <v>91.17</v>
      </c>
      <c r="BM35" s="2">
        <v>12.76</v>
      </c>
      <c r="BN35" s="2">
        <v>103.93</v>
      </c>
      <c r="BO35" s="2">
        <v>103.93</v>
      </c>
      <c r="BQ35" s="2" t="s">
        <v>241</v>
      </c>
      <c r="BR35" s="2" t="s">
        <v>92</v>
      </c>
      <c r="BS35" s="3">
        <v>42865</v>
      </c>
      <c r="BT35" s="4">
        <v>0.40763888888888888</v>
      </c>
      <c r="BU35" s="2" t="s">
        <v>242</v>
      </c>
      <c r="BV35" s="2" t="s">
        <v>84</v>
      </c>
      <c r="BY35" s="2">
        <v>5161.7299999999996</v>
      </c>
      <c r="CC35" s="2" t="s">
        <v>114</v>
      </c>
      <c r="CD35" s="2">
        <v>5200</v>
      </c>
      <c r="CE35" s="2" t="s">
        <v>85</v>
      </c>
      <c r="CF35" s="3">
        <v>42867</v>
      </c>
      <c r="CI35" s="2">
        <v>2</v>
      </c>
      <c r="CJ35" s="2">
        <v>1</v>
      </c>
      <c r="CK35" s="2" t="s">
        <v>119</v>
      </c>
      <c r="CL35" s="2" t="s">
        <v>86</v>
      </c>
    </row>
    <row r="36" spans="1:90">
      <c r="A36" s="2" t="s">
        <v>71</v>
      </c>
      <c r="B36" s="2" t="s">
        <v>72</v>
      </c>
      <c r="C36" s="2" t="s">
        <v>73</v>
      </c>
      <c r="E36" s="2" t="str">
        <f>"009936325429"</f>
        <v>009936325429</v>
      </c>
      <c r="F36" s="3">
        <v>42864</v>
      </c>
      <c r="G36" s="2">
        <v>201711</v>
      </c>
      <c r="H36" s="2" t="s">
        <v>78</v>
      </c>
      <c r="I36" s="2" t="s">
        <v>79</v>
      </c>
      <c r="J36" s="2" t="s">
        <v>76</v>
      </c>
      <c r="K36" s="2" t="s">
        <v>77</v>
      </c>
      <c r="L36" s="2" t="s">
        <v>243</v>
      </c>
      <c r="M36" s="2" t="s">
        <v>244</v>
      </c>
      <c r="N36" s="2" t="s">
        <v>245</v>
      </c>
      <c r="O36" s="2" t="s">
        <v>90</v>
      </c>
      <c r="P36" s="2" t="str">
        <f t="shared" si="1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11.35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0.2</v>
      </c>
      <c r="BK36" s="2">
        <v>1</v>
      </c>
      <c r="BL36" s="2">
        <v>107.61</v>
      </c>
      <c r="BM36" s="2">
        <v>15.07</v>
      </c>
      <c r="BN36" s="2">
        <v>122.68</v>
      </c>
      <c r="BO36" s="2">
        <v>122.68</v>
      </c>
      <c r="BQ36" s="2" t="s">
        <v>246</v>
      </c>
      <c r="BR36" s="2" t="s">
        <v>92</v>
      </c>
      <c r="BS36" s="3">
        <v>42865</v>
      </c>
      <c r="BT36" s="4">
        <v>0.45</v>
      </c>
      <c r="BU36" s="2" t="s">
        <v>247</v>
      </c>
      <c r="BV36" s="2" t="s">
        <v>84</v>
      </c>
      <c r="BY36" s="2">
        <v>1200</v>
      </c>
      <c r="CC36" s="2" t="s">
        <v>244</v>
      </c>
      <c r="CD36" s="2">
        <v>8800</v>
      </c>
      <c r="CE36" s="2" t="s">
        <v>85</v>
      </c>
      <c r="CF36" s="3">
        <v>42867</v>
      </c>
      <c r="CI36" s="2">
        <v>2</v>
      </c>
      <c r="CJ36" s="2">
        <v>1</v>
      </c>
      <c r="CK36" s="2" t="s">
        <v>173</v>
      </c>
      <c r="CL36" s="2" t="s">
        <v>86</v>
      </c>
    </row>
    <row r="37" spans="1:90">
      <c r="A37" s="2" t="s">
        <v>71</v>
      </c>
      <c r="B37" s="2" t="s">
        <v>72</v>
      </c>
      <c r="C37" s="2" t="s">
        <v>73</v>
      </c>
      <c r="E37" s="2" t="str">
        <f>"009936325442"</f>
        <v>009936325442</v>
      </c>
      <c r="F37" s="3">
        <v>42864</v>
      </c>
      <c r="G37" s="2">
        <v>201711</v>
      </c>
      <c r="H37" s="2" t="s">
        <v>78</v>
      </c>
      <c r="I37" s="2" t="s">
        <v>79</v>
      </c>
      <c r="J37" s="2" t="s">
        <v>76</v>
      </c>
      <c r="K37" s="2" t="s">
        <v>77</v>
      </c>
      <c r="L37" s="2" t="s">
        <v>159</v>
      </c>
      <c r="M37" s="2" t="s">
        <v>160</v>
      </c>
      <c r="N37" s="2" t="s">
        <v>248</v>
      </c>
      <c r="O37" s="2" t="s">
        <v>90</v>
      </c>
      <c r="P37" s="2" t="str">
        <f t="shared" si="1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8.01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0.5</v>
      </c>
      <c r="BK37" s="2">
        <v>1</v>
      </c>
      <c r="BL37" s="2">
        <v>77.36</v>
      </c>
      <c r="BM37" s="2">
        <v>10.83</v>
      </c>
      <c r="BN37" s="2">
        <v>88.19</v>
      </c>
      <c r="BO37" s="2">
        <v>88.19</v>
      </c>
      <c r="BQ37" s="2" t="s">
        <v>249</v>
      </c>
      <c r="BR37" s="2" t="s">
        <v>92</v>
      </c>
      <c r="BS37" s="3">
        <v>42865</v>
      </c>
      <c r="BT37" s="4">
        <v>0.45833333333333331</v>
      </c>
      <c r="BU37" s="2" t="s">
        <v>250</v>
      </c>
      <c r="BV37" s="2" t="s">
        <v>84</v>
      </c>
      <c r="BY37" s="2">
        <v>2400</v>
      </c>
      <c r="CC37" s="2" t="s">
        <v>160</v>
      </c>
      <c r="CD37" s="2">
        <v>1930</v>
      </c>
      <c r="CE37" s="2" t="s">
        <v>85</v>
      </c>
      <c r="CF37" s="3">
        <v>42867</v>
      </c>
      <c r="CI37" s="2">
        <v>1</v>
      </c>
      <c r="CJ37" s="2">
        <v>1</v>
      </c>
      <c r="CK37" s="2" t="s">
        <v>94</v>
      </c>
      <c r="CL37" s="2" t="s">
        <v>86</v>
      </c>
    </row>
    <row r="38" spans="1:90">
      <c r="A38" s="2" t="s">
        <v>71</v>
      </c>
      <c r="B38" s="2" t="s">
        <v>72</v>
      </c>
      <c r="C38" s="2" t="s">
        <v>73</v>
      </c>
      <c r="E38" s="2" t="str">
        <f>"009936325445"</f>
        <v>009936325445</v>
      </c>
      <c r="F38" s="3">
        <v>42864</v>
      </c>
      <c r="G38" s="2">
        <v>201711</v>
      </c>
      <c r="H38" s="2" t="s">
        <v>78</v>
      </c>
      <c r="I38" s="2" t="s">
        <v>79</v>
      </c>
      <c r="J38" s="2" t="s">
        <v>76</v>
      </c>
      <c r="K38" s="2" t="s">
        <v>77</v>
      </c>
      <c r="L38" s="2" t="s">
        <v>251</v>
      </c>
      <c r="M38" s="2" t="s">
        <v>252</v>
      </c>
      <c r="N38" s="2" t="s">
        <v>253</v>
      </c>
      <c r="O38" s="2" t="s">
        <v>90</v>
      </c>
      <c r="P38" s="2" t="str">
        <f t="shared" si="1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6.55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0.8</v>
      </c>
      <c r="BJ38" s="2">
        <v>0.8</v>
      </c>
      <c r="BK38" s="2">
        <v>1</v>
      </c>
      <c r="BL38" s="2">
        <v>64.2</v>
      </c>
      <c r="BM38" s="2">
        <v>8.99</v>
      </c>
      <c r="BN38" s="2">
        <v>73.19</v>
      </c>
      <c r="BO38" s="2">
        <v>73.19</v>
      </c>
      <c r="BQ38" s="2" t="s">
        <v>254</v>
      </c>
      <c r="BR38" s="2" t="s">
        <v>92</v>
      </c>
      <c r="BS38" s="3">
        <v>42865</v>
      </c>
      <c r="BT38" s="4">
        <v>0.45624999999999999</v>
      </c>
      <c r="BU38" s="2" t="s">
        <v>255</v>
      </c>
      <c r="BV38" s="2" t="s">
        <v>84</v>
      </c>
      <c r="BY38" s="2">
        <v>3962.05</v>
      </c>
      <c r="CC38" s="2" t="s">
        <v>252</v>
      </c>
      <c r="CD38" s="2">
        <v>2940</v>
      </c>
      <c r="CE38" s="2" t="s">
        <v>85</v>
      </c>
      <c r="CF38" s="3">
        <v>42867</v>
      </c>
      <c r="CI38" s="2">
        <v>1</v>
      </c>
      <c r="CJ38" s="2">
        <v>1</v>
      </c>
      <c r="CK38" s="2" t="s">
        <v>100</v>
      </c>
      <c r="CL38" s="2" t="s">
        <v>86</v>
      </c>
    </row>
    <row r="39" spans="1:90">
      <c r="A39" s="2" t="s">
        <v>71</v>
      </c>
      <c r="B39" s="2" t="s">
        <v>72</v>
      </c>
      <c r="C39" s="2" t="s">
        <v>73</v>
      </c>
      <c r="E39" s="2" t="str">
        <f>"009936325435"</f>
        <v>009936325435</v>
      </c>
      <c r="F39" s="3">
        <v>42864</v>
      </c>
      <c r="G39" s="2">
        <v>201711</v>
      </c>
      <c r="H39" s="2" t="s">
        <v>78</v>
      </c>
      <c r="I39" s="2" t="s">
        <v>79</v>
      </c>
      <c r="J39" s="2" t="s">
        <v>76</v>
      </c>
      <c r="K39" s="2" t="s">
        <v>77</v>
      </c>
      <c r="L39" s="2" t="s">
        <v>129</v>
      </c>
      <c r="M39" s="2" t="s">
        <v>130</v>
      </c>
      <c r="N39" s="2" t="s">
        <v>256</v>
      </c>
      <c r="O39" s="2" t="s">
        <v>90</v>
      </c>
      <c r="P39" s="2" t="str">
        <f t="shared" si="1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6.55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0.5</v>
      </c>
      <c r="BJ39" s="2">
        <v>0.2</v>
      </c>
      <c r="BK39" s="2">
        <v>1</v>
      </c>
      <c r="BL39" s="2">
        <v>64.2</v>
      </c>
      <c r="BM39" s="2">
        <v>8.99</v>
      </c>
      <c r="BN39" s="2">
        <v>73.19</v>
      </c>
      <c r="BO39" s="2">
        <v>73.19</v>
      </c>
      <c r="BQ39" s="2" t="s">
        <v>257</v>
      </c>
      <c r="BR39" s="2" t="s">
        <v>92</v>
      </c>
      <c r="BS39" s="3">
        <v>42865</v>
      </c>
      <c r="BT39" s="4">
        <v>0.42638888888888887</v>
      </c>
      <c r="BU39" s="2" t="s">
        <v>142</v>
      </c>
      <c r="BV39" s="2" t="s">
        <v>84</v>
      </c>
      <c r="BY39" s="2">
        <v>1200</v>
      </c>
      <c r="CC39" s="2" t="s">
        <v>130</v>
      </c>
      <c r="CD39" s="2">
        <v>9300</v>
      </c>
      <c r="CE39" s="2" t="s">
        <v>85</v>
      </c>
      <c r="CF39" s="3">
        <v>42866</v>
      </c>
      <c r="CI39" s="2">
        <v>1</v>
      </c>
      <c r="CJ39" s="2">
        <v>1</v>
      </c>
      <c r="CK39" s="2" t="s">
        <v>112</v>
      </c>
      <c r="CL39" s="2" t="s">
        <v>86</v>
      </c>
    </row>
    <row r="40" spans="1:90">
      <c r="A40" s="2" t="s">
        <v>71</v>
      </c>
      <c r="B40" s="2" t="s">
        <v>72</v>
      </c>
      <c r="C40" s="2" t="s">
        <v>73</v>
      </c>
      <c r="E40" s="2" t="str">
        <f>"009936171040"</f>
        <v>009936171040</v>
      </c>
      <c r="F40" s="3">
        <v>42864</v>
      </c>
      <c r="G40" s="2">
        <v>201711</v>
      </c>
      <c r="H40" s="2" t="s">
        <v>78</v>
      </c>
      <c r="I40" s="2" t="s">
        <v>79</v>
      </c>
      <c r="J40" s="2" t="s">
        <v>76</v>
      </c>
      <c r="K40" s="2" t="s">
        <v>77</v>
      </c>
      <c r="L40" s="2" t="s">
        <v>101</v>
      </c>
      <c r="M40" s="2" t="s">
        <v>102</v>
      </c>
      <c r="N40" s="2" t="s">
        <v>258</v>
      </c>
      <c r="O40" s="2" t="s">
        <v>90</v>
      </c>
      <c r="P40" s="2" t="str">
        <f t="shared" si="1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6.55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0.8</v>
      </c>
      <c r="BJ40" s="2">
        <v>0.9</v>
      </c>
      <c r="BK40" s="2">
        <v>1</v>
      </c>
      <c r="BL40" s="2">
        <v>64.2</v>
      </c>
      <c r="BM40" s="2">
        <v>8.99</v>
      </c>
      <c r="BN40" s="2">
        <v>73.19</v>
      </c>
      <c r="BO40" s="2">
        <v>73.19</v>
      </c>
      <c r="BQ40" s="2" t="s">
        <v>259</v>
      </c>
      <c r="BR40" s="2" t="s">
        <v>92</v>
      </c>
      <c r="BS40" s="3">
        <v>42865</v>
      </c>
      <c r="BT40" s="4">
        <v>0.30902777777777779</v>
      </c>
      <c r="BU40" s="2" t="s">
        <v>185</v>
      </c>
      <c r="BV40" s="2" t="s">
        <v>84</v>
      </c>
      <c r="BY40" s="2">
        <v>4700.2</v>
      </c>
      <c r="CC40" s="2" t="s">
        <v>102</v>
      </c>
      <c r="CD40" s="2">
        <v>4000</v>
      </c>
      <c r="CE40" s="2" t="s">
        <v>85</v>
      </c>
      <c r="CF40" s="3">
        <v>42866</v>
      </c>
      <c r="CI40" s="2">
        <v>1</v>
      </c>
      <c r="CJ40" s="2">
        <v>1</v>
      </c>
      <c r="CK40" s="2" t="s">
        <v>100</v>
      </c>
      <c r="CL40" s="2" t="s">
        <v>86</v>
      </c>
    </row>
    <row r="41" spans="1:90">
      <c r="A41" s="2" t="s">
        <v>71</v>
      </c>
      <c r="B41" s="2" t="s">
        <v>72</v>
      </c>
      <c r="C41" s="2" t="s">
        <v>73</v>
      </c>
      <c r="E41" s="2" t="str">
        <f>"009936325432"</f>
        <v>009936325432</v>
      </c>
      <c r="F41" s="3">
        <v>42864</v>
      </c>
      <c r="G41" s="2">
        <v>201711</v>
      </c>
      <c r="H41" s="2" t="s">
        <v>78</v>
      </c>
      <c r="I41" s="2" t="s">
        <v>79</v>
      </c>
      <c r="J41" s="2" t="s">
        <v>76</v>
      </c>
      <c r="K41" s="2" t="s">
        <v>77</v>
      </c>
      <c r="L41" s="2" t="s">
        <v>260</v>
      </c>
      <c r="M41" s="2" t="s">
        <v>261</v>
      </c>
      <c r="N41" s="2" t="s">
        <v>262</v>
      </c>
      <c r="O41" s="2" t="s">
        <v>90</v>
      </c>
      <c r="P41" s="2" t="str">
        <f t="shared" si="1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9.5299999999999994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0.8</v>
      </c>
      <c r="BJ41" s="2">
        <v>0.5</v>
      </c>
      <c r="BK41" s="2">
        <v>1</v>
      </c>
      <c r="BL41" s="2">
        <v>91.17</v>
      </c>
      <c r="BM41" s="2">
        <v>12.76</v>
      </c>
      <c r="BN41" s="2">
        <v>103.93</v>
      </c>
      <c r="BO41" s="2">
        <v>103.93</v>
      </c>
      <c r="BQ41" s="2" t="s">
        <v>263</v>
      </c>
      <c r="BR41" s="2" t="s">
        <v>92</v>
      </c>
      <c r="BS41" s="3">
        <v>42865</v>
      </c>
      <c r="BT41" s="4">
        <v>0.35000000000000003</v>
      </c>
      <c r="BU41" s="2" t="s">
        <v>264</v>
      </c>
      <c r="BV41" s="2" t="s">
        <v>84</v>
      </c>
      <c r="BY41" s="2">
        <v>2560.41</v>
      </c>
      <c r="CA41" s="2" t="s">
        <v>265</v>
      </c>
      <c r="CC41" s="2" t="s">
        <v>261</v>
      </c>
      <c r="CD41" s="2">
        <v>6001</v>
      </c>
      <c r="CE41" s="2" t="s">
        <v>85</v>
      </c>
      <c r="CF41" s="3">
        <v>42865</v>
      </c>
      <c r="CI41" s="2">
        <v>2</v>
      </c>
      <c r="CJ41" s="2">
        <v>1</v>
      </c>
      <c r="CK41" s="2" t="s">
        <v>137</v>
      </c>
      <c r="CL41" s="2" t="s">
        <v>86</v>
      </c>
    </row>
    <row r="42" spans="1:90">
      <c r="A42" s="2" t="s">
        <v>71</v>
      </c>
      <c r="B42" s="2" t="s">
        <v>72</v>
      </c>
      <c r="C42" s="2" t="s">
        <v>73</v>
      </c>
      <c r="E42" s="2" t="str">
        <f>"009936325440"</f>
        <v>009936325440</v>
      </c>
      <c r="F42" s="3">
        <v>42864</v>
      </c>
      <c r="G42" s="2">
        <v>201711</v>
      </c>
      <c r="H42" s="2" t="s">
        <v>78</v>
      </c>
      <c r="I42" s="2" t="s">
        <v>79</v>
      </c>
      <c r="J42" s="2" t="s">
        <v>76</v>
      </c>
      <c r="K42" s="2" t="s">
        <v>77</v>
      </c>
      <c r="L42" s="2" t="s">
        <v>266</v>
      </c>
      <c r="M42" s="2" t="s">
        <v>267</v>
      </c>
      <c r="N42" s="2" t="s">
        <v>268</v>
      </c>
      <c r="O42" s="2" t="s">
        <v>90</v>
      </c>
      <c r="P42" s="2" t="str">
        <f t="shared" si="1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6.55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0.4</v>
      </c>
      <c r="BJ42" s="2">
        <v>1.7</v>
      </c>
      <c r="BK42" s="2">
        <v>2</v>
      </c>
      <c r="BL42" s="2">
        <v>64.2</v>
      </c>
      <c r="BM42" s="2">
        <v>8.99</v>
      </c>
      <c r="BN42" s="2">
        <v>73.19</v>
      </c>
      <c r="BO42" s="2">
        <v>73.19</v>
      </c>
      <c r="BQ42" s="2" t="s">
        <v>136</v>
      </c>
      <c r="BR42" s="2" t="s">
        <v>92</v>
      </c>
      <c r="BS42" s="3">
        <v>42865</v>
      </c>
      <c r="BT42" s="4">
        <v>0.41666666666666669</v>
      </c>
      <c r="BU42" s="2" t="s">
        <v>269</v>
      </c>
      <c r="BV42" s="2" t="s">
        <v>84</v>
      </c>
      <c r="BY42" s="2">
        <v>8520.6200000000008</v>
      </c>
      <c r="CC42" s="2" t="s">
        <v>267</v>
      </c>
      <c r="CD42" s="2">
        <v>8300</v>
      </c>
      <c r="CE42" s="2" t="s">
        <v>85</v>
      </c>
      <c r="CF42" s="3">
        <v>42867</v>
      </c>
      <c r="CI42" s="2">
        <v>1</v>
      </c>
      <c r="CJ42" s="2">
        <v>1</v>
      </c>
      <c r="CK42" s="2" t="s">
        <v>112</v>
      </c>
      <c r="CL42" s="2" t="s">
        <v>86</v>
      </c>
    </row>
    <row r="43" spans="1:90">
      <c r="A43" s="2" t="s">
        <v>71</v>
      </c>
      <c r="B43" s="2" t="s">
        <v>72</v>
      </c>
      <c r="C43" s="2" t="s">
        <v>73</v>
      </c>
      <c r="E43" s="2" t="str">
        <f>"009936171044"</f>
        <v>009936171044</v>
      </c>
      <c r="F43" s="3">
        <v>42864</v>
      </c>
      <c r="G43" s="2">
        <v>201711</v>
      </c>
      <c r="H43" s="2" t="s">
        <v>78</v>
      </c>
      <c r="I43" s="2" t="s">
        <v>79</v>
      </c>
      <c r="J43" s="2" t="s">
        <v>76</v>
      </c>
      <c r="K43" s="2" t="s">
        <v>77</v>
      </c>
      <c r="L43" s="2" t="s">
        <v>153</v>
      </c>
      <c r="M43" s="2" t="s">
        <v>154</v>
      </c>
      <c r="N43" s="2" t="s">
        <v>228</v>
      </c>
      <c r="O43" s="2" t="s">
        <v>90</v>
      </c>
      <c r="P43" s="2" t="str">
        <f t="shared" si="1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9.4600000000000009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0.8</v>
      </c>
      <c r="BJ43" s="2">
        <v>2.1</v>
      </c>
      <c r="BK43" s="2">
        <v>3</v>
      </c>
      <c r="BL43" s="2">
        <v>90.51</v>
      </c>
      <c r="BM43" s="2">
        <v>12.67</v>
      </c>
      <c r="BN43" s="2">
        <v>103.18</v>
      </c>
      <c r="BO43" s="2">
        <v>103.18</v>
      </c>
      <c r="BQ43" s="2" t="s">
        <v>270</v>
      </c>
      <c r="BR43" s="2" t="s">
        <v>92</v>
      </c>
      <c r="BS43" s="3">
        <v>42865</v>
      </c>
      <c r="BT43" s="4">
        <v>0.38194444444444442</v>
      </c>
      <c r="BU43" s="2" t="s">
        <v>271</v>
      </c>
      <c r="BV43" s="2" t="s">
        <v>84</v>
      </c>
      <c r="BY43" s="2">
        <v>10698.79</v>
      </c>
      <c r="CC43" s="2" t="s">
        <v>154</v>
      </c>
      <c r="CD43" s="2">
        <v>3200</v>
      </c>
      <c r="CE43" s="2" t="s">
        <v>85</v>
      </c>
      <c r="CF43" s="3">
        <v>42866</v>
      </c>
      <c r="CI43" s="2">
        <v>1</v>
      </c>
      <c r="CJ43" s="2">
        <v>1</v>
      </c>
      <c r="CK43" s="2" t="s">
        <v>158</v>
      </c>
      <c r="CL43" s="2" t="s">
        <v>86</v>
      </c>
    </row>
    <row r="44" spans="1:90">
      <c r="A44" s="2" t="s">
        <v>71</v>
      </c>
      <c r="B44" s="2" t="s">
        <v>72</v>
      </c>
      <c r="C44" s="2" t="s">
        <v>73</v>
      </c>
      <c r="E44" s="2" t="str">
        <f>"009936171041"</f>
        <v>009936171041</v>
      </c>
      <c r="F44" s="3">
        <v>42864</v>
      </c>
      <c r="G44" s="2">
        <v>201711</v>
      </c>
      <c r="H44" s="2" t="s">
        <v>78</v>
      </c>
      <c r="I44" s="2" t="s">
        <v>79</v>
      </c>
      <c r="J44" s="2" t="s">
        <v>76</v>
      </c>
      <c r="K44" s="2" t="s">
        <v>77</v>
      </c>
      <c r="L44" s="2" t="s">
        <v>272</v>
      </c>
      <c r="M44" s="2" t="s">
        <v>273</v>
      </c>
      <c r="N44" s="2" t="s">
        <v>228</v>
      </c>
      <c r="O44" s="2" t="s">
        <v>90</v>
      </c>
      <c r="P44" s="2" t="str">
        <f t="shared" si="1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6.55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0.8</v>
      </c>
      <c r="BJ44" s="2">
        <v>2.2000000000000002</v>
      </c>
      <c r="BK44" s="2">
        <v>3</v>
      </c>
      <c r="BL44" s="2">
        <v>64.2</v>
      </c>
      <c r="BM44" s="2">
        <v>8.99</v>
      </c>
      <c r="BN44" s="2">
        <v>73.19</v>
      </c>
      <c r="BO44" s="2">
        <v>73.19</v>
      </c>
      <c r="BQ44" s="2" t="s">
        <v>274</v>
      </c>
      <c r="BR44" s="2" t="s">
        <v>92</v>
      </c>
      <c r="BS44" s="3">
        <v>42865</v>
      </c>
      <c r="BT44" s="4">
        <v>0.3576388888888889</v>
      </c>
      <c r="BU44" s="2" t="s">
        <v>275</v>
      </c>
      <c r="BV44" s="2" t="s">
        <v>84</v>
      </c>
      <c r="BY44" s="2">
        <v>10871.7</v>
      </c>
      <c r="CC44" s="2" t="s">
        <v>273</v>
      </c>
      <c r="CD44" s="2">
        <v>3600</v>
      </c>
      <c r="CE44" s="2" t="s">
        <v>85</v>
      </c>
      <c r="CF44" s="3">
        <v>42866</v>
      </c>
      <c r="CI44" s="2">
        <v>1</v>
      </c>
      <c r="CJ44" s="2">
        <v>1</v>
      </c>
      <c r="CK44" s="2" t="s">
        <v>100</v>
      </c>
      <c r="CL44" s="2" t="s">
        <v>86</v>
      </c>
    </row>
    <row r="45" spans="1:90">
      <c r="A45" s="2" t="s">
        <v>71</v>
      </c>
      <c r="B45" s="2" t="s">
        <v>72</v>
      </c>
      <c r="C45" s="2" t="s">
        <v>73</v>
      </c>
      <c r="E45" s="2" t="str">
        <f>"009936325431"</f>
        <v>009936325431</v>
      </c>
      <c r="F45" s="3">
        <v>42864</v>
      </c>
      <c r="G45" s="2">
        <v>201711</v>
      </c>
      <c r="H45" s="2" t="s">
        <v>78</v>
      </c>
      <c r="I45" s="2" t="s">
        <v>79</v>
      </c>
      <c r="J45" s="2" t="s">
        <v>76</v>
      </c>
      <c r="K45" s="2" t="s">
        <v>77</v>
      </c>
      <c r="L45" s="2" t="s">
        <v>276</v>
      </c>
      <c r="M45" s="2" t="s">
        <v>277</v>
      </c>
      <c r="N45" s="2" t="s">
        <v>278</v>
      </c>
      <c r="O45" s="2" t="s">
        <v>90</v>
      </c>
      <c r="P45" s="2" t="str">
        <f t="shared" si="1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11.35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0.8</v>
      </c>
      <c r="BJ45" s="2">
        <v>0.9</v>
      </c>
      <c r="BK45" s="2">
        <v>1</v>
      </c>
      <c r="BL45" s="2">
        <v>107.61</v>
      </c>
      <c r="BM45" s="2">
        <v>15.07</v>
      </c>
      <c r="BN45" s="2">
        <v>122.68</v>
      </c>
      <c r="BO45" s="2">
        <v>122.68</v>
      </c>
      <c r="BQ45" s="2" t="s">
        <v>279</v>
      </c>
      <c r="BR45" s="2" t="s">
        <v>92</v>
      </c>
      <c r="BS45" s="3">
        <v>42865</v>
      </c>
      <c r="BT45" s="4">
        <v>0.47430555555555554</v>
      </c>
      <c r="BU45" s="2" t="s">
        <v>280</v>
      </c>
      <c r="BV45" s="2" t="s">
        <v>84</v>
      </c>
      <c r="BY45" s="2">
        <v>4392.7299999999996</v>
      </c>
      <c r="CC45" s="2" t="s">
        <v>277</v>
      </c>
      <c r="CD45" s="2">
        <v>2745</v>
      </c>
      <c r="CE45" s="2" t="s">
        <v>85</v>
      </c>
      <c r="CF45" s="3">
        <v>42866</v>
      </c>
      <c r="CI45" s="2">
        <v>1</v>
      </c>
      <c r="CJ45" s="2">
        <v>1</v>
      </c>
      <c r="CK45" s="2" t="s">
        <v>173</v>
      </c>
      <c r="CL45" s="2" t="s">
        <v>86</v>
      </c>
    </row>
    <row r="46" spans="1:90">
      <c r="A46" s="2" t="s">
        <v>71</v>
      </c>
      <c r="B46" s="2" t="s">
        <v>72</v>
      </c>
      <c r="C46" s="2" t="s">
        <v>73</v>
      </c>
      <c r="E46" s="2" t="str">
        <f>"009936325425"</f>
        <v>009936325425</v>
      </c>
      <c r="F46" s="3">
        <v>42864</v>
      </c>
      <c r="G46" s="2">
        <v>201711</v>
      </c>
      <c r="H46" s="2" t="s">
        <v>78</v>
      </c>
      <c r="I46" s="2" t="s">
        <v>79</v>
      </c>
      <c r="J46" s="2" t="s">
        <v>76</v>
      </c>
      <c r="K46" s="2" t="s">
        <v>77</v>
      </c>
      <c r="L46" s="2" t="s">
        <v>134</v>
      </c>
      <c r="M46" s="2" t="s">
        <v>75</v>
      </c>
      <c r="N46" s="2" t="s">
        <v>281</v>
      </c>
      <c r="O46" s="2" t="s">
        <v>90</v>
      </c>
      <c r="P46" s="2" t="str">
        <f t="shared" si="1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9.5299999999999994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1</v>
      </c>
      <c r="BL46" s="2">
        <v>91.17</v>
      </c>
      <c r="BM46" s="2">
        <v>12.76</v>
      </c>
      <c r="BN46" s="2">
        <v>103.93</v>
      </c>
      <c r="BO46" s="2">
        <v>103.93</v>
      </c>
      <c r="BQ46" s="2" t="s">
        <v>282</v>
      </c>
      <c r="BR46" s="2" t="s">
        <v>92</v>
      </c>
      <c r="BS46" s="3">
        <v>42873</v>
      </c>
      <c r="BT46" s="4">
        <v>0.41666666666666669</v>
      </c>
      <c r="BU46" s="2" t="s">
        <v>98</v>
      </c>
      <c r="BV46" s="2" t="s">
        <v>86</v>
      </c>
      <c r="BW46" s="2" t="s">
        <v>283</v>
      </c>
      <c r="BX46" s="2" t="s">
        <v>284</v>
      </c>
      <c r="BY46" s="2">
        <v>1200</v>
      </c>
      <c r="CC46" s="2" t="s">
        <v>75</v>
      </c>
      <c r="CD46" s="2">
        <v>8005</v>
      </c>
      <c r="CE46" s="2" t="s">
        <v>85</v>
      </c>
      <c r="CF46" s="3">
        <v>42874</v>
      </c>
      <c r="CI46" s="2">
        <v>2</v>
      </c>
      <c r="CJ46" s="2">
        <v>7</v>
      </c>
      <c r="CK46" s="2" t="s">
        <v>137</v>
      </c>
      <c r="CL46" s="2" t="s">
        <v>86</v>
      </c>
    </row>
    <row r="47" spans="1:90">
      <c r="A47" s="2" t="s">
        <v>71</v>
      </c>
      <c r="B47" s="2" t="s">
        <v>72</v>
      </c>
      <c r="C47" s="2" t="s">
        <v>73</v>
      </c>
      <c r="E47" s="2" t="str">
        <f>"009936325413"</f>
        <v>009936325413</v>
      </c>
      <c r="F47" s="3">
        <v>42865</v>
      </c>
      <c r="G47" s="2">
        <v>201711</v>
      </c>
      <c r="H47" s="2" t="s">
        <v>78</v>
      </c>
      <c r="I47" s="2" t="s">
        <v>79</v>
      </c>
      <c r="J47" s="2" t="s">
        <v>76</v>
      </c>
      <c r="K47" s="2" t="s">
        <v>77</v>
      </c>
      <c r="L47" s="2" t="s">
        <v>260</v>
      </c>
      <c r="M47" s="2" t="s">
        <v>261</v>
      </c>
      <c r="N47" s="2" t="s">
        <v>285</v>
      </c>
      <c r="O47" s="2" t="s">
        <v>90</v>
      </c>
      <c r="P47" s="2" t="str">
        <f t="shared" si="1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9.5299999999999994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1.5</v>
      </c>
      <c r="BJ47" s="2">
        <v>1.2</v>
      </c>
      <c r="BK47" s="2">
        <v>2</v>
      </c>
      <c r="BL47" s="2">
        <v>91.17</v>
      </c>
      <c r="BM47" s="2">
        <v>12.76</v>
      </c>
      <c r="BN47" s="2">
        <v>103.93</v>
      </c>
      <c r="BO47" s="2">
        <v>103.93</v>
      </c>
      <c r="BQ47" s="2" t="s">
        <v>286</v>
      </c>
      <c r="BR47" s="2" t="s">
        <v>92</v>
      </c>
      <c r="BS47" s="3">
        <v>42866</v>
      </c>
      <c r="BT47" s="4">
        <v>0.37986111111111115</v>
      </c>
      <c r="BU47" s="2" t="s">
        <v>287</v>
      </c>
      <c r="BV47" s="2" t="s">
        <v>84</v>
      </c>
      <c r="BY47" s="2">
        <v>5972.76</v>
      </c>
      <c r="CC47" s="2" t="s">
        <v>261</v>
      </c>
      <c r="CD47" s="2">
        <v>6000</v>
      </c>
      <c r="CE47" s="2" t="s">
        <v>85</v>
      </c>
      <c r="CF47" s="3">
        <v>42867</v>
      </c>
      <c r="CI47" s="2">
        <v>2</v>
      </c>
      <c r="CJ47" s="2">
        <v>1</v>
      </c>
      <c r="CK47" s="2" t="s">
        <v>137</v>
      </c>
      <c r="CL47" s="2" t="s">
        <v>86</v>
      </c>
    </row>
    <row r="48" spans="1:90">
      <c r="A48" s="2" t="s">
        <v>71</v>
      </c>
      <c r="B48" s="2" t="s">
        <v>72</v>
      </c>
      <c r="C48" s="2" t="s">
        <v>73</v>
      </c>
      <c r="E48" s="2" t="str">
        <f>"009936325383"</f>
        <v>009936325383</v>
      </c>
      <c r="F48" s="3">
        <v>42866</v>
      </c>
      <c r="G48" s="2">
        <v>201711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101</v>
      </c>
      <c r="M48" s="2" t="s">
        <v>102</v>
      </c>
      <c r="N48" s="2" t="s">
        <v>288</v>
      </c>
      <c r="O48" s="2" t="s">
        <v>289</v>
      </c>
      <c r="P48" s="2" t="str">
        <f t="shared" si="1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8.73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1</v>
      </c>
      <c r="BL48" s="2">
        <v>78.930000000000007</v>
      </c>
      <c r="BM48" s="2">
        <v>11.05</v>
      </c>
      <c r="BN48" s="2">
        <v>89.98</v>
      </c>
      <c r="BO48" s="2">
        <v>89.98</v>
      </c>
      <c r="BQ48" s="2" t="s">
        <v>290</v>
      </c>
      <c r="BR48" s="2" t="s">
        <v>92</v>
      </c>
      <c r="BS48" s="3">
        <v>42867</v>
      </c>
      <c r="BT48" s="4">
        <v>0.4375</v>
      </c>
      <c r="BU48" s="2" t="s">
        <v>185</v>
      </c>
      <c r="BV48" s="2" t="s">
        <v>84</v>
      </c>
      <c r="BY48" s="2">
        <v>1200</v>
      </c>
      <c r="BZ48" s="2" t="s">
        <v>27</v>
      </c>
      <c r="CC48" s="2" t="s">
        <v>102</v>
      </c>
      <c r="CD48" s="2">
        <v>4000</v>
      </c>
      <c r="CE48" s="2" t="s">
        <v>85</v>
      </c>
      <c r="CF48" s="3">
        <v>42871</v>
      </c>
      <c r="CI48" s="2">
        <v>1</v>
      </c>
      <c r="CJ48" s="2">
        <v>1</v>
      </c>
      <c r="CK48" s="2">
        <v>31</v>
      </c>
      <c r="CL48" s="2" t="s">
        <v>86</v>
      </c>
    </row>
    <row r="49" spans="1:90">
      <c r="A49" s="2" t="s">
        <v>71</v>
      </c>
      <c r="B49" s="2" t="s">
        <v>72</v>
      </c>
      <c r="C49" s="2" t="s">
        <v>73</v>
      </c>
      <c r="E49" s="2" t="str">
        <f>"009936325384"</f>
        <v>009936325384</v>
      </c>
      <c r="F49" s="3">
        <v>42866</v>
      </c>
      <c r="G49" s="2">
        <v>201711</v>
      </c>
      <c r="H49" s="2" t="s">
        <v>78</v>
      </c>
      <c r="I49" s="2" t="s">
        <v>79</v>
      </c>
      <c r="J49" s="2" t="s">
        <v>76</v>
      </c>
      <c r="K49" s="2" t="s">
        <v>77</v>
      </c>
      <c r="L49" s="2" t="s">
        <v>272</v>
      </c>
      <c r="M49" s="2" t="s">
        <v>273</v>
      </c>
      <c r="N49" s="2" t="s">
        <v>291</v>
      </c>
      <c r="O49" s="2" t="s">
        <v>80</v>
      </c>
      <c r="P49" s="2" t="str">
        <f t="shared" si="1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4.66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0.5</v>
      </c>
      <c r="BL49" s="2">
        <v>42.1</v>
      </c>
      <c r="BM49" s="2">
        <v>5.89</v>
      </c>
      <c r="BN49" s="2">
        <v>47.99</v>
      </c>
      <c r="BO49" s="2">
        <v>47.99</v>
      </c>
      <c r="BQ49" s="2" t="s">
        <v>292</v>
      </c>
      <c r="BR49" s="2" t="s">
        <v>92</v>
      </c>
      <c r="BS49" s="3">
        <v>42867</v>
      </c>
      <c r="BT49" s="4">
        <v>0.3263888888888889</v>
      </c>
      <c r="BU49" s="2" t="s">
        <v>185</v>
      </c>
      <c r="BV49" s="2" t="s">
        <v>84</v>
      </c>
      <c r="BY49" s="2">
        <v>1200</v>
      </c>
      <c r="BZ49" s="2" t="s">
        <v>27</v>
      </c>
      <c r="CC49" s="2" t="s">
        <v>273</v>
      </c>
      <c r="CD49" s="2">
        <v>3603</v>
      </c>
      <c r="CE49" s="2" t="s">
        <v>85</v>
      </c>
      <c r="CF49" s="3">
        <v>42871</v>
      </c>
      <c r="CI49" s="2">
        <v>1</v>
      </c>
      <c r="CJ49" s="2">
        <v>1</v>
      </c>
      <c r="CK49" s="2">
        <v>21</v>
      </c>
      <c r="CL49" s="2" t="s">
        <v>86</v>
      </c>
    </row>
    <row r="50" spans="1:90">
      <c r="A50" s="2" t="s">
        <v>71</v>
      </c>
      <c r="B50" s="2" t="s">
        <v>72</v>
      </c>
      <c r="C50" s="2" t="s">
        <v>73</v>
      </c>
      <c r="E50" s="2" t="str">
        <f>"009936325409"</f>
        <v>009936325409</v>
      </c>
      <c r="F50" s="3">
        <v>42866</v>
      </c>
      <c r="G50" s="2">
        <v>201711</v>
      </c>
      <c r="H50" s="2" t="s">
        <v>78</v>
      </c>
      <c r="I50" s="2" t="s">
        <v>79</v>
      </c>
      <c r="J50" s="2" t="s">
        <v>76</v>
      </c>
      <c r="K50" s="2" t="s">
        <v>77</v>
      </c>
      <c r="L50" s="2" t="s">
        <v>293</v>
      </c>
      <c r="M50" s="2" t="s">
        <v>294</v>
      </c>
      <c r="N50" s="2" t="s">
        <v>295</v>
      </c>
      <c r="O50" s="2" t="s">
        <v>90</v>
      </c>
      <c r="P50" s="2" t="str">
        <f t="shared" si="1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6.55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0.5</v>
      </c>
      <c r="BJ50" s="2">
        <v>0.2</v>
      </c>
      <c r="BK50" s="2">
        <v>1</v>
      </c>
      <c r="BL50" s="2">
        <v>64.2</v>
      </c>
      <c r="BM50" s="2">
        <v>8.99</v>
      </c>
      <c r="BN50" s="2">
        <v>73.19</v>
      </c>
      <c r="BO50" s="2">
        <v>73.19</v>
      </c>
      <c r="BQ50" s="2" t="s">
        <v>296</v>
      </c>
      <c r="BR50" s="2" t="s">
        <v>92</v>
      </c>
      <c r="BS50" s="3">
        <v>42867</v>
      </c>
      <c r="BT50" s="4">
        <v>0.47222222222222227</v>
      </c>
      <c r="BU50" s="2" t="s">
        <v>296</v>
      </c>
      <c r="BV50" s="2" t="s">
        <v>84</v>
      </c>
      <c r="BY50" s="2">
        <v>1200</v>
      </c>
      <c r="CC50" s="2" t="s">
        <v>294</v>
      </c>
      <c r="CD50" s="2">
        <v>1459</v>
      </c>
      <c r="CE50" s="2" t="s">
        <v>85</v>
      </c>
      <c r="CF50" s="3">
        <v>42870</v>
      </c>
      <c r="CI50" s="2">
        <v>1</v>
      </c>
      <c r="CJ50" s="2">
        <v>1</v>
      </c>
      <c r="CK50" s="2" t="s">
        <v>123</v>
      </c>
      <c r="CL50" s="2" t="s">
        <v>86</v>
      </c>
    </row>
    <row r="51" spans="1:90">
      <c r="A51" s="2" t="s">
        <v>71</v>
      </c>
      <c r="B51" s="2" t="s">
        <v>72</v>
      </c>
      <c r="C51" s="2" t="s">
        <v>73</v>
      </c>
      <c r="E51" s="2" t="str">
        <f>"009936325419"</f>
        <v>009936325419</v>
      </c>
      <c r="F51" s="3">
        <v>42866</v>
      </c>
      <c r="G51" s="2">
        <v>201711</v>
      </c>
      <c r="H51" s="2" t="s">
        <v>78</v>
      </c>
      <c r="I51" s="2" t="s">
        <v>79</v>
      </c>
      <c r="J51" s="2" t="s">
        <v>76</v>
      </c>
      <c r="K51" s="2" t="s">
        <v>77</v>
      </c>
      <c r="L51" s="2" t="s">
        <v>113</v>
      </c>
      <c r="M51" s="2" t="s">
        <v>114</v>
      </c>
      <c r="N51" s="2" t="s">
        <v>220</v>
      </c>
      <c r="O51" s="2" t="s">
        <v>90</v>
      </c>
      <c r="P51" s="2" t="str">
        <f t="shared" si="1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9.5299999999999994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1.4</v>
      </c>
      <c r="BJ51" s="2">
        <v>0.8</v>
      </c>
      <c r="BK51" s="2">
        <v>2</v>
      </c>
      <c r="BL51" s="2">
        <v>91.17</v>
      </c>
      <c r="BM51" s="2">
        <v>12.76</v>
      </c>
      <c r="BN51" s="2">
        <v>103.93</v>
      </c>
      <c r="BO51" s="2">
        <v>103.93</v>
      </c>
      <c r="BQ51" s="2" t="s">
        <v>297</v>
      </c>
      <c r="BR51" s="2" t="s">
        <v>92</v>
      </c>
      <c r="BS51" s="3">
        <v>42867</v>
      </c>
      <c r="BT51" s="4">
        <v>0.49722222222222223</v>
      </c>
      <c r="BU51" s="2" t="s">
        <v>298</v>
      </c>
      <c r="BV51" s="2" t="s">
        <v>84</v>
      </c>
      <c r="BY51" s="2">
        <v>4182.75</v>
      </c>
      <c r="CA51" s="2" t="s">
        <v>299</v>
      </c>
      <c r="CC51" s="2" t="s">
        <v>114</v>
      </c>
      <c r="CD51" s="2">
        <v>5200</v>
      </c>
      <c r="CE51" s="2" t="s">
        <v>85</v>
      </c>
      <c r="CF51" s="3">
        <v>42867</v>
      </c>
      <c r="CI51" s="2">
        <v>2</v>
      </c>
      <c r="CJ51" s="2">
        <v>1</v>
      </c>
      <c r="CK51" s="2" t="s">
        <v>119</v>
      </c>
      <c r="CL51" s="2" t="s">
        <v>86</v>
      </c>
    </row>
    <row r="52" spans="1:90">
      <c r="A52" s="2" t="s">
        <v>71</v>
      </c>
      <c r="B52" s="2" t="s">
        <v>72</v>
      </c>
      <c r="C52" s="2" t="s">
        <v>73</v>
      </c>
      <c r="E52" s="2" t="str">
        <f>"009936325405"</f>
        <v>009936325405</v>
      </c>
      <c r="F52" s="3">
        <v>42866</v>
      </c>
      <c r="G52" s="2">
        <v>201711</v>
      </c>
      <c r="H52" s="2" t="s">
        <v>78</v>
      </c>
      <c r="I52" s="2" t="s">
        <v>79</v>
      </c>
      <c r="J52" s="2" t="s">
        <v>76</v>
      </c>
      <c r="K52" s="2" t="s">
        <v>77</v>
      </c>
      <c r="L52" s="2" t="s">
        <v>300</v>
      </c>
      <c r="M52" s="2" t="s">
        <v>301</v>
      </c>
      <c r="N52" s="2" t="s">
        <v>302</v>
      </c>
      <c r="O52" s="2" t="s">
        <v>90</v>
      </c>
      <c r="P52" s="2" t="str">
        <f t="shared" si="1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9.4600000000000009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0.6</v>
      </c>
      <c r="BK52" s="2">
        <v>1</v>
      </c>
      <c r="BL52" s="2">
        <v>90.51</v>
      </c>
      <c r="BM52" s="2">
        <v>12.67</v>
      </c>
      <c r="BN52" s="2">
        <v>103.18</v>
      </c>
      <c r="BO52" s="2">
        <v>103.18</v>
      </c>
      <c r="BQ52" s="2" t="s">
        <v>303</v>
      </c>
      <c r="BR52" s="2" t="s">
        <v>92</v>
      </c>
      <c r="BS52" s="3">
        <v>42867</v>
      </c>
      <c r="BT52" s="4">
        <v>0.4375</v>
      </c>
      <c r="BU52" s="2" t="s">
        <v>304</v>
      </c>
      <c r="BV52" s="2" t="s">
        <v>84</v>
      </c>
      <c r="BY52" s="2">
        <v>3249</v>
      </c>
      <c r="CC52" s="2" t="s">
        <v>301</v>
      </c>
      <c r="CD52" s="2">
        <v>9459</v>
      </c>
      <c r="CE52" s="2" t="s">
        <v>85</v>
      </c>
      <c r="CF52" s="3">
        <v>42870</v>
      </c>
      <c r="CI52" s="2">
        <v>1</v>
      </c>
      <c r="CJ52" s="2">
        <v>1</v>
      </c>
      <c r="CK52" s="2" t="s">
        <v>158</v>
      </c>
      <c r="CL52" s="2" t="s">
        <v>86</v>
      </c>
    </row>
    <row r="53" spans="1:90">
      <c r="A53" s="2" t="s">
        <v>71</v>
      </c>
      <c r="B53" s="2" t="s">
        <v>72</v>
      </c>
      <c r="C53" s="2" t="s">
        <v>73</v>
      </c>
      <c r="E53" s="2" t="str">
        <f>"009936325395"</f>
        <v>009936325395</v>
      </c>
      <c r="F53" s="3">
        <v>42866</v>
      </c>
      <c r="G53" s="2">
        <v>201711</v>
      </c>
      <c r="H53" s="2" t="s">
        <v>78</v>
      </c>
      <c r="I53" s="2" t="s">
        <v>79</v>
      </c>
      <c r="J53" s="2" t="s">
        <v>76</v>
      </c>
      <c r="K53" s="2" t="s">
        <v>77</v>
      </c>
      <c r="L53" s="2" t="s">
        <v>134</v>
      </c>
      <c r="M53" s="2" t="s">
        <v>75</v>
      </c>
      <c r="N53" s="2" t="s">
        <v>305</v>
      </c>
      <c r="O53" s="2" t="s">
        <v>90</v>
      </c>
      <c r="P53" s="2" t="str">
        <f t="shared" si="1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9.5299999999999994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0.2</v>
      </c>
      <c r="BK53" s="2">
        <v>1</v>
      </c>
      <c r="BL53" s="2">
        <v>91.17</v>
      </c>
      <c r="BM53" s="2">
        <v>12.76</v>
      </c>
      <c r="BN53" s="2">
        <v>103.93</v>
      </c>
      <c r="BO53" s="2">
        <v>103.93</v>
      </c>
      <c r="BQ53" s="2" t="s">
        <v>306</v>
      </c>
      <c r="BR53" s="2" t="s">
        <v>92</v>
      </c>
      <c r="BS53" s="3">
        <v>42867</v>
      </c>
      <c r="BT53" s="4">
        <v>0.35000000000000003</v>
      </c>
      <c r="BU53" s="2" t="s">
        <v>307</v>
      </c>
      <c r="BV53" s="2" t="s">
        <v>84</v>
      </c>
      <c r="BY53" s="2">
        <v>1200</v>
      </c>
      <c r="CA53" s="2" t="s">
        <v>308</v>
      </c>
      <c r="CC53" s="2" t="s">
        <v>75</v>
      </c>
      <c r="CD53" s="2">
        <v>8000</v>
      </c>
      <c r="CE53" s="2" t="s">
        <v>85</v>
      </c>
      <c r="CF53" s="3">
        <v>42867</v>
      </c>
      <c r="CI53" s="2">
        <v>2</v>
      </c>
      <c r="CJ53" s="2">
        <v>1</v>
      </c>
      <c r="CK53" s="2" t="s">
        <v>137</v>
      </c>
      <c r="CL53" s="2" t="s">
        <v>86</v>
      </c>
    </row>
    <row r="54" spans="1:90">
      <c r="A54" s="2" t="s">
        <v>71</v>
      </c>
      <c r="B54" s="2" t="s">
        <v>72</v>
      </c>
      <c r="C54" s="2" t="s">
        <v>73</v>
      </c>
      <c r="E54" s="2" t="str">
        <f>"009936325387"</f>
        <v>009936325387</v>
      </c>
      <c r="F54" s="3">
        <v>42866</v>
      </c>
      <c r="G54" s="2">
        <v>201711</v>
      </c>
      <c r="H54" s="2" t="s">
        <v>78</v>
      </c>
      <c r="I54" s="2" t="s">
        <v>79</v>
      </c>
      <c r="J54" s="2" t="s">
        <v>76</v>
      </c>
      <c r="K54" s="2" t="s">
        <v>77</v>
      </c>
      <c r="L54" s="2" t="s">
        <v>309</v>
      </c>
      <c r="M54" s="2" t="s">
        <v>310</v>
      </c>
      <c r="N54" s="2" t="s">
        <v>311</v>
      </c>
      <c r="O54" s="2" t="s">
        <v>90</v>
      </c>
      <c r="P54" s="2" t="str">
        <f t="shared" si="1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6.55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2</v>
      </c>
      <c r="BJ54" s="2">
        <v>0.2</v>
      </c>
      <c r="BK54" s="2">
        <v>2</v>
      </c>
      <c r="BL54" s="2">
        <v>64.2</v>
      </c>
      <c r="BM54" s="2">
        <v>8.99</v>
      </c>
      <c r="BN54" s="2">
        <v>73.19</v>
      </c>
      <c r="BO54" s="2">
        <v>73.19</v>
      </c>
      <c r="BQ54" s="2" t="s">
        <v>312</v>
      </c>
      <c r="BR54" s="2" t="s">
        <v>92</v>
      </c>
      <c r="BS54" s="3">
        <v>42870</v>
      </c>
      <c r="BT54" s="4">
        <v>0.3756944444444445</v>
      </c>
      <c r="BU54" s="2" t="s">
        <v>313</v>
      </c>
      <c r="BV54" s="2" t="s">
        <v>86</v>
      </c>
      <c r="BW54" s="2" t="s">
        <v>148</v>
      </c>
      <c r="BX54" s="2" t="s">
        <v>314</v>
      </c>
      <c r="BY54" s="2">
        <v>1200</v>
      </c>
      <c r="CC54" s="2" t="s">
        <v>310</v>
      </c>
      <c r="CD54" s="2">
        <v>1619</v>
      </c>
      <c r="CE54" s="2" t="s">
        <v>85</v>
      </c>
      <c r="CF54" s="3">
        <v>42871</v>
      </c>
      <c r="CI54" s="2">
        <v>1</v>
      </c>
      <c r="CJ54" s="2">
        <v>2</v>
      </c>
      <c r="CK54" s="2" t="s">
        <v>123</v>
      </c>
      <c r="CL54" s="2" t="s">
        <v>86</v>
      </c>
    </row>
    <row r="55" spans="1:90">
      <c r="A55" s="2" t="s">
        <v>71</v>
      </c>
      <c r="B55" s="2" t="s">
        <v>72</v>
      </c>
      <c r="C55" s="2" t="s">
        <v>73</v>
      </c>
      <c r="E55" s="2" t="str">
        <f>"009936325390"</f>
        <v>009936325390</v>
      </c>
      <c r="F55" s="3">
        <v>42866</v>
      </c>
      <c r="G55" s="2">
        <v>201711</v>
      </c>
      <c r="H55" s="2" t="s">
        <v>78</v>
      </c>
      <c r="I55" s="2" t="s">
        <v>79</v>
      </c>
      <c r="J55" s="2" t="s">
        <v>76</v>
      </c>
      <c r="K55" s="2" t="s">
        <v>77</v>
      </c>
      <c r="L55" s="2" t="s">
        <v>315</v>
      </c>
      <c r="M55" s="2" t="s">
        <v>316</v>
      </c>
      <c r="N55" s="2" t="s">
        <v>317</v>
      </c>
      <c r="O55" s="2" t="s">
        <v>90</v>
      </c>
      <c r="P55" s="2" t="str">
        <f t="shared" si="1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6.55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1</v>
      </c>
      <c r="BL55" s="2">
        <v>64.2</v>
      </c>
      <c r="BM55" s="2">
        <v>8.99</v>
      </c>
      <c r="BN55" s="2">
        <v>73.19</v>
      </c>
      <c r="BO55" s="2">
        <v>73.19</v>
      </c>
      <c r="BQ55" s="2" t="s">
        <v>318</v>
      </c>
      <c r="BR55" s="2" t="s">
        <v>92</v>
      </c>
      <c r="BS55" s="3">
        <v>42867</v>
      </c>
      <c r="BT55" s="4">
        <v>0.55208333333333337</v>
      </c>
      <c r="BU55" s="2" t="s">
        <v>319</v>
      </c>
      <c r="BV55" s="2" t="s">
        <v>84</v>
      </c>
      <c r="BY55" s="2">
        <v>1200</v>
      </c>
      <c r="CC55" s="2" t="s">
        <v>316</v>
      </c>
      <c r="CD55" s="2">
        <v>2520</v>
      </c>
      <c r="CE55" s="2" t="s">
        <v>85</v>
      </c>
      <c r="CF55" s="3">
        <v>42871</v>
      </c>
      <c r="CI55" s="2">
        <v>1</v>
      </c>
      <c r="CJ55" s="2">
        <v>1</v>
      </c>
      <c r="CK55" s="2" t="s">
        <v>112</v>
      </c>
      <c r="CL55" s="2" t="s">
        <v>86</v>
      </c>
    </row>
    <row r="56" spans="1:90">
      <c r="A56" s="2" t="s">
        <v>71</v>
      </c>
      <c r="B56" s="2" t="s">
        <v>72</v>
      </c>
      <c r="C56" s="2" t="s">
        <v>73</v>
      </c>
      <c r="E56" s="2" t="str">
        <f>"009936325398"</f>
        <v>009936325398</v>
      </c>
      <c r="F56" s="3">
        <v>42866</v>
      </c>
      <c r="G56" s="2">
        <v>201711</v>
      </c>
      <c r="H56" s="2" t="s">
        <v>78</v>
      </c>
      <c r="I56" s="2" t="s">
        <v>79</v>
      </c>
      <c r="J56" s="2" t="s">
        <v>76</v>
      </c>
      <c r="K56" s="2" t="s">
        <v>77</v>
      </c>
      <c r="L56" s="2" t="s">
        <v>153</v>
      </c>
      <c r="M56" s="2" t="s">
        <v>154</v>
      </c>
      <c r="N56" s="2" t="s">
        <v>320</v>
      </c>
      <c r="O56" s="2" t="s">
        <v>90</v>
      </c>
      <c r="P56" s="2" t="str">
        <f t="shared" si="1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9.4600000000000009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0.8</v>
      </c>
      <c r="BJ56" s="2">
        <v>0.7</v>
      </c>
      <c r="BK56" s="2">
        <v>1</v>
      </c>
      <c r="BL56" s="2">
        <v>90.51</v>
      </c>
      <c r="BM56" s="2">
        <v>12.67</v>
      </c>
      <c r="BN56" s="2">
        <v>103.18</v>
      </c>
      <c r="BO56" s="2">
        <v>103.18</v>
      </c>
      <c r="BQ56" s="2" t="s">
        <v>321</v>
      </c>
      <c r="BR56" s="2" t="s">
        <v>92</v>
      </c>
      <c r="BS56" s="3">
        <v>42867</v>
      </c>
      <c r="BT56" s="4">
        <v>0.43541666666666662</v>
      </c>
      <c r="BU56" s="2" t="s">
        <v>322</v>
      </c>
      <c r="BV56" s="2" t="s">
        <v>84</v>
      </c>
      <c r="BY56" s="2">
        <v>3602.26</v>
      </c>
      <c r="CC56" s="2" t="s">
        <v>154</v>
      </c>
      <c r="CD56" s="2">
        <v>3200</v>
      </c>
      <c r="CE56" s="2" t="s">
        <v>85</v>
      </c>
      <c r="CF56" s="3">
        <v>42870</v>
      </c>
      <c r="CI56" s="2">
        <v>1</v>
      </c>
      <c r="CJ56" s="2">
        <v>1</v>
      </c>
      <c r="CK56" s="2" t="s">
        <v>158</v>
      </c>
      <c r="CL56" s="2" t="s">
        <v>86</v>
      </c>
    </row>
    <row r="57" spans="1:90">
      <c r="A57" s="2" t="s">
        <v>71</v>
      </c>
      <c r="B57" s="2" t="s">
        <v>72</v>
      </c>
      <c r="C57" s="2" t="s">
        <v>73</v>
      </c>
      <c r="E57" s="2" t="str">
        <f>"009936325408"</f>
        <v>009936325408</v>
      </c>
      <c r="F57" s="3">
        <v>42866</v>
      </c>
      <c r="G57" s="2">
        <v>201711</v>
      </c>
      <c r="H57" s="2" t="s">
        <v>78</v>
      </c>
      <c r="I57" s="2" t="s">
        <v>79</v>
      </c>
      <c r="J57" s="2" t="s">
        <v>76</v>
      </c>
      <c r="K57" s="2" t="s">
        <v>77</v>
      </c>
      <c r="L57" s="2" t="s">
        <v>276</v>
      </c>
      <c r="M57" s="2" t="s">
        <v>277</v>
      </c>
      <c r="N57" s="2" t="s">
        <v>323</v>
      </c>
      <c r="O57" s="2" t="s">
        <v>90</v>
      </c>
      <c r="P57" s="2" t="str">
        <f t="shared" si="1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11.35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</v>
      </c>
      <c r="BJ57" s="2">
        <v>0.2</v>
      </c>
      <c r="BK57" s="2">
        <v>1</v>
      </c>
      <c r="BL57" s="2">
        <v>107.61</v>
      </c>
      <c r="BM57" s="2">
        <v>15.07</v>
      </c>
      <c r="BN57" s="2">
        <v>122.68</v>
      </c>
      <c r="BO57" s="2">
        <v>122.68</v>
      </c>
      <c r="BQ57" s="2" t="s">
        <v>324</v>
      </c>
      <c r="BR57" s="2" t="s">
        <v>92</v>
      </c>
      <c r="BS57" s="3">
        <v>42867</v>
      </c>
      <c r="BT57" s="4">
        <v>0.48958333333333331</v>
      </c>
      <c r="BU57" s="2" t="s">
        <v>325</v>
      </c>
      <c r="BV57" s="2" t="s">
        <v>84</v>
      </c>
      <c r="BY57" s="2">
        <v>1200</v>
      </c>
      <c r="CC57" s="2" t="s">
        <v>277</v>
      </c>
      <c r="CD57" s="2">
        <v>2745</v>
      </c>
      <c r="CE57" s="2" t="s">
        <v>85</v>
      </c>
      <c r="CF57" s="3">
        <v>42870</v>
      </c>
      <c r="CI57" s="2">
        <v>1</v>
      </c>
      <c r="CJ57" s="2">
        <v>1</v>
      </c>
      <c r="CK57" s="2" t="s">
        <v>173</v>
      </c>
      <c r="CL57" s="2" t="s">
        <v>86</v>
      </c>
    </row>
    <row r="58" spans="1:90">
      <c r="A58" s="2" t="s">
        <v>71</v>
      </c>
      <c r="B58" s="2" t="s">
        <v>72</v>
      </c>
      <c r="C58" s="2" t="s">
        <v>73</v>
      </c>
      <c r="E58" s="2" t="str">
        <f>"009936325391"</f>
        <v>009936325391</v>
      </c>
      <c r="F58" s="3">
        <v>42866</v>
      </c>
      <c r="G58" s="2">
        <v>201711</v>
      </c>
      <c r="H58" s="2" t="s">
        <v>78</v>
      </c>
      <c r="I58" s="2" t="s">
        <v>79</v>
      </c>
      <c r="J58" s="2" t="s">
        <v>76</v>
      </c>
      <c r="K58" s="2" t="s">
        <v>77</v>
      </c>
      <c r="L58" s="2" t="s">
        <v>153</v>
      </c>
      <c r="M58" s="2" t="s">
        <v>154</v>
      </c>
      <c r="N58" s="2" t="s">
        <v>326</v>
      </c>
      <c r="O58" s="2" t="s">
        <v>90</v>
      </c>
      <c r="P58" s="2" t="str">
        <f t="shared" si="1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9.4600000000000009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1.2</v>
      </c>
      <c r="BJ58" s="2">
        <v>0.9</v>
      </c>
      <c r="BK58" s="2">
        <v>2</v>
      </c>
      <c r="BL58" s="2">
        <v>90.51</v>
      </c>
      <c r="BM58" s="2">
        <v>12.67</v>
      </c>
      <c r="BN58" s="2">
        <v>103.18</v>
      </c>
      <c r="BO58" s="2">
        <v>103.18</v>
      </c>
      <c r="BQ58" s="2" t="s">
        <v>327</v>
      </c>
      <c r="BR58" s="2" t="s">
        <v>92</v>
      </c>
      <c r="BS58" s="3">
        <v>42867</v>
      </c>
      <c r="BT58" s="4">
        <v>0.35555555555555557</v>
      </c>
      <c r="BU58" s="2" t="s">
        <v>328</v>
      </c>
      <c r="BV58" s="2" t="s">
        <v>84</v>
      </c>
      <c r="BY58" s="2">
        <v>4542.12</v>
      </c>
      <c r="CA58" s="2" t="s">
        <v>329</v>
      </c>
      <c r="CC58" s="2" t="s">
        <v>154</v>
      </c>
      <c r="CD58" s="2">
        <v>3200</v>
      </c>
      <c r="CE58" s="2" t="s">
        <v>85</v>
      </c>
      <c r="CF58" s="3">
        <v>42870</v>
      </c>
      <c r="CI58" s="2">
        <v>1</v>
      </c>
      <c r="CJ58" s="2">
        <v>1</v>
      </c>
      <c r="CK58" s="2" t="s">
        <v>158</v>
      </c>
      <c r="CL58" s="2" t="s">
        <v>86</v>
      </c>
    </row>
    <row r="59" spans="1:90">
      <c r="A59" s="2" t="s">
        <v>71</v>
      </c>
      <c r="B59" s="2" t="s">
        <v>72</v>
      </c>
      <c r="C59" s="2" t="s">
        <v>73</v>
      </c>
      <c r="E59" s="2" t="str">
        <f>"009936325394"</f>
        <v>009936325394</v>
      </c>
      <c r="F59" s="3">
        <v>42866</v>
      </c>
      <c r="G59" s="2">
        <v>201711</v>
      </c>
      <c r="H59" s="2" t="s">
        <v>78</v>
      </c>
      <c r="I59" s="2" t="s">
        <v>79</v>
      </c>
      <c r="J59" s="2" t="s">
        <v>76</v>
      </c>
      <c r="K59" s="2" t="s">
        <v>77</v>
      </c>
      <c r="L59" s="2" t="s">
        <v>101</v>
      </c>
      <c r="M59" s="2" t="s">
        <v>102</v>
      </c>
      <c r="N59" s="2" t="s">
        <v>330</v>
      </c>
      <c r="O59" s="2" t="s">
        <v>90</v>
      </c>
      <c r="P59" s="2" t="str">
        <f t="shared" si="1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6.55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1</v>
      </c>
      <c r="BL59" s="2">
        <v>64.2</v>
      </c>
      <c r="BM59" s="2">
        <v>8.99</v>
      </c>
      <c r="BN59" s="2">
        <v>73.19</v>
      </c>
      <c r="BO59" s="2">
        <v>73.19</v>
      </c>
      <c r="BQ59" s="2" t="s">
        <v>331</v>
      </c>
      <c r="BR59" s="2" t="s">
        <v>92</v>
      </c>
      <c r="BS59" s="3">
        <v>42867</v>
      </c>
      <c r="BT59" s="4">
        <v>0.34722222222222227</v>
      </c>
      <c r="BU59" s="2" t="s">
        <v>332</v>
      </c>
      <c r="BV59" s="2" t="s">
        <v>84</v>
      </c>
      <c r="BY59" s="2">
        <v>1200</v>
      </c>
      <c r="CC59" s="2" t="s">
        <v>102</v>
      </c>
      <c r="CD59" s="2">
        <v>4000</v>
      </c>
      <c r="CE59" s="2" t="s">
        <v>85</v>
      </c>
      <c r="CF59" s="3">
        <v>42870</v>
      </c>
      <c r="CI59" s="2">
        <v>1</v>
      </c>
      <c r="CJ59" s="2">
        <v>1</v>
      </c>
      <c r="CK59" s="2" t="s">
        <v>100</v>
      </c>
      <c r="CL59" s="2" t="s">
        <v>86</v>
      </c>
    </row>
    <row r="60" spans="1:90">
      <c r="A60" s="2" t="s">
        <v>71</v>
      </c>
      <c r="B60" s="2" t="s">
        <v>72</v>
      </c>
      <c r="C60" s="2" t="s">
        <v>73</v>
      </c>
      <c r="E60" s="2" t="str">
        <f>"009936325400"</f>
        <v>009936325400</v>
      </c>
      <c r="F60" s="3">
        <v>42866</v>
      </c>
      <c r="G60" s="2">
        <v>201711</v>
      </c>
      <c r="H60" s="2" t="s">
        <v>78</v>
      </c>
      <c r="I60" s="2" t="s">
        <v>79</v>
      </c>
      <c r="J60" s="2" t="s">
        <v>76</v>
      </c>
      <c r="K60" s="2" t="s">
        <v>77</v>
      </c>
      <c r="L60" s="2" t="s">
        <v>87</v>
      </c>
      <c r="M60" s="2" t="s">
        <v>88</v>
      </c>
      <c r="N60" s="2" t="s">
        <v>333</v>
      </c>
      <c r="O60" s="2" t="s">
        <v>90</v>
      </c>
      <c r="P60" s="2" t="str">
        <f t="shared" si="1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8.01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0.2</v>
      </c>
      <c r="BK60" s="2">
        <v>1</v>
      </c>
      <c r="BL60" s="2">
        <v>77.36</v>
      </c>
      <c r="BM60" s="2">
        <v>10.83</v>
      </c>
      <c r="BN60" s="2">
        <v>88.19</v>
      </c>
      <c r="BO60" s="2">
        <v>88.19</v>
      </c>
      <c r="BQ60" s="2" t="s">
        <v>334</v>
      </c>
      <c r="BR60" s="2" t="s">
        <v>92</v>
      </c>
      <c r="BS60" s="3">
        <v>42867</v>
      </c>
      <c r="BT60" s="4">
        <v>0.44375000000000003</v>
      </c>
      <c r="BU60" s="2" t="s">
        <v>142</v>
      </c>
      <c r="BY60" s="2">
        <v>1200</v>
      </c>
      <c r="CC60" s="2" t="s">
        <v>88</v>
      </c>
      <c r="CD60" s="2">
        <v>1</v>
      </c>
      <c r="CE60" s="2" t="s">
        <v>85</v>
      </c>
      <c r="CF60" s="3">
        <v>42870</v>
      </c>
      <c r="CI60" s="2">
        <v>0</v>
      </c>
      <c r="CJ60" s="2">
        <v>0</v>
      </c>
      <c r="CK60" s="2" t="s">
        <v>94</v>
      </c>
      <c r="CL60" s="2" t="s">
        <v>86</v>
      </c>
    </row>
    <row r="61" spans="1:90">
      <c r="A61" s="2" t="s">
        <v>71</v>
      </c>
      <c r="B61" s="2" t="s">
        <v>72</v>
      </c>
      <c r="C61" s="2" t="s">
        <v>73</v>
      </c>
      <c r="E61" s="2" t="str">
        <f>"009936325392"</f>
        <v>009936325392</v>
      </c>
      <c r="F61" s="3">
        <v>42866</v>
      </c>
      <c r="G61" s="2">
        <v>201711</v>
      </c>
      <c r="H61" s="2" t="s">
        <v>78</v>
      </c>
      <c r="I61" s="2" t="s">
        <v>79</v>
      </c>
      <c r="J61" s="2" t="s">
        <v>76</v>
      </c>
      <c r="K61" s="2" t="s">
        <v>77</v>
      </c>
      <c r="L61" s="2" t="s">
        <v>335</v>
      </c>
      <c r="M61" s="2" t="s">
        <v>336</v>
      </c>
      <c r="N61" s="2" t="s">
        <v>337</v>
      </c>
      <c r="O61" s="2" t="s">
        <v>90</v>
      </c>
      <c r="P61" s="2" t="str">
        <f t="shared" si="1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9.5299999999999994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1</v>
      </c>
      <c r="BL61" s="2">
        <v>91.17</v>
      </c>
      <c r="BM61" s="2">
        <v>12.76</v>
      </c>
      <c r="BN61" s="2">
        <v>103.93</v>
      </c>
      <c r="BO61" s="2">
        <v>103.93</v>
      </c>
      <c r="BQ61" s="2" t="s">
        <v>338</v>
      </c>
      <c r="BR61" s="2" t="s">
        <v>92</v>
      </c>
      <c r="BS61" s="3">
        <v>42870</v>
      </c>
      <c r="BT61" s="4">
        <v>0.39583333333333331</v>
      </c>
      <c r="BU61" s="2">
        <v>39902660792</v>
      </c>
      <c r="BV61" s="2" t="s">
        <v>84</v>
      </c>
      <c r="BY61" s="2">
        <v>1200</v>
      </c>
      <c r="CA61" s="2" t="s">
        <v>339</v>
      </c>
      <c r="CC61" s="2" t="s">
        <v>336</v>
      </c>
      <c r="CD61" s="2">
        <v>9835</v>
      </c>
      <c r="CE61" s="2" t="s">
        <v>85</v>
      </c>
      <c r="CF61" s="3">
        <v>42872</v>
      </c>
      <c r="CI61" s="2">
        <v>3</v>
      </c>
      <c r="CJ61" s="2">
        <v>2</v>
      </c>
      <c r="CK61" s="2" t="s">
        <v>137</v>
      </c>
      <c r="CL61" s="2" t="s">
        <v>86</v>
      </c>
    </row>
    <row r="62" spans="1:90">
      <c r="A62" s="2" t="s">
        <v>71</v>
      </c>
      <c r="B62" s="2" t="s">
        <v>72</v>
      </c>
      <c r="C62" s="2" t="s">
        <v>73</v>
      </c>
      <c r="E62" s="2" t="str">
        <f>"009936325404"</f>
        <v>009936325404</v>
      </c>
      <c r="F62" s="3">
        <v>42866</v>
      </c>
      <c r="G62" s="2">
        <v>201711</v>
      </c>
      <c r="H62" s="2" t="s">
        <v>78</v>
      </c>
      <c r="I62" s="2" t="s">
        <v>79</v>
      </c>
      <c r="J62" s="2" t="s">
        <v>76</v>
      </c>
      <c r="K62" s="2" t="s">
        <v>77</v>
      </c>
      <c r="L62" s="2" t="s">
        <v>340</v>
      </c>
      <c r="M62" s="2" t="s">
        <v>341</v>
      </c>
      <c r="N62" s="2" t="s">
        <v>342</v>
      </c>
      <c r="O62" s="2" t="s">
        <v>90</v>
      </c>
      <c r="P62" s="2" t="str">
        <f t="shared" si="1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6.55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0.5</v>
      </c>
      <c r="BJ62" s="2">
        <v>0.2</v>
      </c>
      <c r="BK62" s="2">
        <v>1</v>
      </c>
      <c r="BL62" s="2">
        <v>64.2</v>
      </c>
      <c r="BM62" s="2">
        <v>8.99</v>
      </c>
      <c r="BN62" s="2">
        <v>73.19</v>
      </c>
      <c r="BO62" s="2">
        <v>73.19</v>
      </c>
      <c r="BQ62" s="2" t="s">
        <v>343</v>
      </c>
      <c r="BR62" s="2" t="s">
        <v>92</v>
      </c>
      <c r="BS62" s="3">
        <v>42867</v>
      </c>
      <c r="BT62" s="4">
        <v>0.40277777777777773</v>
      </c>
      <c r="BU62" s="2" t="s">
        <v>344</v>
      </c>
      <c r="BV62" s="2" t="s">
        <v>84</v>
      </c>
      <c r="BY62" s="2">
        <v>1200</v>
      </c>
      <c r="CC62" s="2" t="s">
        <v>341</v>
      </c>
      <c r="CD62" s="2">
        <v>4125</v>
      </c>
      <c r="CE62" s="2" t="s">
        <v>85</v>
      </c>
      <c r="CF62" s="3">
        <v>42870</v>
      </c>
      <c r="CI62" s="2">
        <v>1</v>
      </c>
      <c r="CJ62" s="2">
        <v>1</v>
      </c>
      <c r="CK62" s="2" t="s">
        <v>100</v>
      </c>
      <c r="CL62" s="2" t="s">
        <v>86</v>
      </c>
    </row>
    <row r="63" spans="1:90">
      <c r="A63" s="2" t="s">
        <v>71</v>
      </c>
      <c r="B63" s="2" t="s">
        <v>72</v>
      </c>
      <c r="C63" s="2" t="s">
        <v>73</v>
      </c>
      <c r="E63" s="2" t="str">
        <f>"009936325393"</f>
        <v>009936325393</v>
      </c>
      <c r="F63" s="3">
        <v>42866</v>
      </c>
      <c r="G63" s="2">
        <v>201711</v>
      </c>
      <c r="H63" s="2" t="s">
        <v>78</v>
      </c>
      <c r="I63" s="2" t="s">
        <v>79</v>
      </c>
      <c r="J63" s="2" t="s">
        <v>76</v>
      </c>
      <c r="K63" s="2" t="s">
        <v>77</v>
      </c>
      <c r="L63" s="2" t="s">
        <v>260</v>
      </c>
      <c r="M63" s="2" t="s">
        <v>261</v>
      </c>
      <c r="N63" s="2" t="s">
        <v>345</v>
      </c>
      <c r="O63" s="2" t="s">
        <v>90</v>
      </c>
      <c r="P63" s="2" t="str">
        <f t="shared" si="1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9.5299999999999994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0.2</v>
      </c>
      <c r="BK63" s="2">
        <v>1</v>
      </c>
      <c r="BL63" s="2">
        <v>91.17</v>
      </c>
      <c r="BM63" s="2">
        <v>12.76</v>
      </c>
      <c r="BN63" s="2">
        <v>103.93</v>
      </c>
      <c r="BO63" s="2">
        <v>103.93</v>
      </c>
      <c r="BQ63" s="2" t="s">
        <v>346</v>
      </c>
      <c r="BR63" s="2" t="s">
        <v>92</v>
      </c>
      <c r="BS63" s="3">
        <v>42867</v>
      </c>
      <c r="BT63" s="4">
        <v>0.38819444444444445</v>
      </c>
      <c r="BU63" s="2" t="s">
        <v>347</v>
      </c>
      <c r="BV63" s="2" t="s">
        <v>84</v>
      </c>
      <c r="BY63" s="2">
        <v>1200</v>
      </c>
      <c r="CA63" s="2" t="s">
        <v>348</v>
      </c>
      <c r="CC63" s="2" t="s">
        <v>261</v>
      </c>
      <c r="CD63" s="2">
        <v>6000</v>
      </c>
      <c r="CE63" s="2" t="s">
        <v>85</v>
      </c>
      <c r="CF63" s="3">
        <v>42867</v>
      </c>
      <c r="CI63" s="2">
        <v>2</v>
      </c>
      <c r="CJ63" s="2">
        <v>1</v>
      </c>
      <c r="CK63" s="2" t="s">
        <v>137</v>
      </c>
      <c r="CL63" s="2" t="s">
        <v>86</v>
      </c>
    </row>
    <row r="64" spans="1:90">
      <c r="A64" s="2" t="s">
        <v>71</v>
      </c>
      <c r="B64" s="2" t="s">
        <v>72</v>
      </c>
      <c r="C64" s="2" t="s">
        <v>73</v>
      </c>
      <c r="E64" s="2" t="str">
        <f>"009936325418"</f>
        <v>009936325418</v>
      </c>
      <c r="F64" s="3">
        <v>42866</v>
      </c>
      <c r="G64" s="2">
        <v>201711</v>
      </c>
      <c r="H64" s="2" t="s">
        <v>78</v>
      </c>
      <c r="I64" s="2" t="s">
        <v>79</v>
      </c>
      <c r="J64" s="2" t="s">
        <v>76</v>
      </c>
      <c r="K64" s="2" t="s">
        <v>77</v>
      </c>
      <c r="L64" s="2" t="s">
        <v>349</v>
      </c>
      <c r="M64" s="2" t="s">
        <v>350</v>
      </c>
      <c r="N64" s="2" t="s">
        <v>351</v>
      </c>
      <c r="O64" s="2" t="s">
        <v>90</v>
      </c>
      <c r="P64" s="2" t="str">
        <f t="shared" si="1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9.5299999999999994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0.5</v>
      </c>
      <c r="BJ64" s="2">
        <v>0.2</v>
      </c>
      <c r="BK64" s="2">
        <v>1</v>
      </c>
      <c r="BL64" s="2">
        <v>91.17</v>
      </c>
      <c r="BM64" s="2">
        <v>12.76</v>
      </c>
      <c r="BN64" s="2">
        <v>103.93</v>
      </c>
      <c r="BO64" s="2">
        <v>103.93</v>
      </c>
      <c r="BQ64" s="2" t="s">
        <v>352</v>
      </c>
      <c r="BR64" s="2" t="s">
        <v>92</v>
      </c>
      <c r="BS64" s="3">
        <v>42867</v>
      </c>
      <c r="BT64" s="4">
        <v>0.38541666666666669</v>
      </c>
      <c r="BU64" s="2" t="s">
        <v>353</v>
      </c>
      <c r="BV64" s="2" t="s">
        <v>84</v>
      </c>
      <c r="BY64" s="2">
        <v>1200</v>
      </c>
      <c r="CC64" s="2" t="s">
        <v>350</v>
      </c>
      <c r="CD64" s="2">
        <v>2350</v>
      </c>
      <c r="CE64" s="2" t="s">
        <v>85</v>
      </c>
      <c r="CF64" s="3">
        <v>42870</v>
      </c>
      <c r="CI64" s="2">
        <v>1</v>
      </c>
      <c r="CJ64" s="2">
        <v>1</v>
      </c>
      <c r="CK64" s="2" t="s">
        <v>137</v>
      </c>
      <c r="CL64" s="2" t="s">
        <v>86</v>
      </c>
    </row>
    <row r="65" spans="1:90">
      <c r="A65" s="2" t="s">
        <v>71</v>
      </c>
      <c r="B65" s="2" t="s">
        <v>72</v>
      </c>
      <c r="C65" s="2" t="s">
        <v>73</v>
      </c>
      <c r="E65" s="2" t="str">
        <f>"009936325412"</f>
        <v>009936325412</v>
      </c>
      <c r="F65" s="3">
        <v>42866</v>
      </c>
      <c r="G65" s="2">
        <v>201711</v>
      </c>
      <c r="H65" s="2" t="s">
        <v>78</v>
      </c>
      <c r="I65" s="2" t="s">
        <v>79</v>
      </c>
      <c r="J65" s="2" t="s">
        <v>76</v>
      </c>
      <c r="K65" s="2" t="s">
        <v>77</v>
      </c>
      <c r="L65" s="2" t="s">
        <v>354</v>
      </c>
      <c r="M65" s="2" t="s">
        <v>355</v>
      </c>
      <c r="N65" s="2" t="s">
        <v>356</v>
      </c>
      <c r="O65" s="2" t="s">
        <v>90</v>
      </c>
      <c r="P65" s="2" t="str">
        <f t="shared" si="1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9.5299999999999994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1</v>
      </c>
      <c r="BL65" s="2">
        <v>91.17</v>
      </c>
      <c r="BM65" s="2">
        <v>12.76</v>
      </c>
      <c r="BN65" s="2">
        <v>103.93</v>
      </c>
      <c r="BO65" s="2">
        <v>103.93</v>
      </c>
      <c r="BQ65" s="2" t="s">
        <v>357</v>
      </c>
      <c r="BR65" s="2" t="s">
        <v>92</v>
      </c>
      <c r="BS65" s="3">
        <v>42867</v>
      </c>
      <c r="BT65" s="4">
        <v>0.4368055555555555</v>
      </c>
      <c r="BU65" s="2" t="s">
        <v>358</v>
      </c>
      <c r="BV65" s="2" t="s">
        <v>84</v>
      </c>
      <c r="BY65" s="2">
        <v>1200</v>
      </c>
      <c r="CC65" s="2" t="s">
        <v>355</v>
      </c>
      <c r="CD65" s="2">
        <v>4240</v>
      </c>
      <c r="CE65" s="2" t="s">
        <v>85</v>
      </c>
      <c r="CF65" s="3">
        <v>42871</v>
      </c>
      <c r="CI65" s="2">
        <v>1</v>
      </c>
      <c r="CJ65" s="2">
        <v>1</v>
      </c>
      <c r="CK65" s="2" t="s">
        <v>119</v>
      </c>
      <c r="CL65" s="2" t="s">
        <v>86</v>
      </c>
    </row>
    <row r="66" spans="1:90">
      <c r="A66" s="2" t="s">
        <v>71</v>
      </c>
      <c r="B66" s="2" t="s">
        <v>72</v>
      </c>
      <c r="C66" s="2" t="s">
        <v>73</v>
      </c>
      <c r="E66" s="2" t="str">
        <f>"009936325410"</f>
        <v>009936325410</v>
      </c>
      <c r="F66" s="3">
        <v>42866</v>
      </c>
      <c r="G66" s="2">
        <v>201711</v>
      </c>
      <c r="H66" s="2" t="s">
        <v>78</v>
      </c>
      <c r="I66" s="2" t="s">
        <v>79</v>
      </c>
      <c r="J66" s="2" t="s">
        <v>76</v>
      </c>
      <c r="K66" s="2" t="s">
        <v>77</v>
      </c>
      <c r="L66" s="2" t="s">
        <v>359</v>
      </c>
      <c r="M66" s="2" t="s">
        <v>360</v>
      </c>
      <c r="N66" s="2" t="s">
        <v>361</v>
      </c>
      <c r="O66" s="2" t="s">
        <v>90</v>
      </c>
      <c r="P66" s="2" t="str">
        <f t="shared" si="1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11.35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0.8</v>
      </c>
      <c r="BJ66" s="2">
        <v>0.7</v>
      </c>
      <c r="BK66" s="2">
        <v>1</v>
      </c>
      <c r="BL66" s="2">
        <v>107.61</v>
      </c>
      <c r="BM66" s="2">
        <v>15.07</v>
      </c>
      <c r="BN66" s="2">
        <v>122.68</v>
      </c>
      <c r="BO66" s="2">
        <v>122.68</v>
      </c>
      <c r="BQ66" s="2" t="s">
        <v>362</v>
      </c>
      <c r="BR66" s="2" t="s">
        <v>92</v>
      </c>
      <c r="BS66" s="3">
        <v>42870</v>
      </c>
      <c r="BT66" s="4">
        <v>0.34722222222222227</v>
      </c>
      <c r="BU66" s="2" t="s">
        <v>363</v>
      </c>
      <c r="BV66" s="2" t="s">
        <v>84</v>
      </c>
      <c r="BY66" s="2">
        <v>3313.65</v>
      </c>
      <c r="CA66" s="2" t="s">
        <v>364</v>
      </c>
      <c r="CC66" s="2" t="s">
        <v>360</v>
      </c>
      <c r="CD66" s="2">
        <v>7280</v>
      </c>
      <c r="CE66" s="2" t="s">
        <v>85</v>
      </c>
      <c r="CF66" s="3">
        <v>42870</v>
      </c>
      <c r="CI66" s="2">
        <v>4</v>
      </c>
      <c r="CJ66" s="2">
        <v>2</v>
      </c>
      <c r="CK66" s="2" t="s">
        <v>128</v>
      </c>
      <c r="CL66" s="2" t="s">
        <v>86</v>
      </c>
    </row>
    <row r="67" spans="1:90">
      <c r="A67" s="2" t="s">
        <v>71</v>
      </c>
      <c r="B67" s="2" t="s">
        <v>72</v>
      </c>
      <c r="C67" s="2" t="s">
        <v>73</v>
      </c>
      <c r="E67" s="2" t="str">
        <f>"009936325402"</f>
        <v>009936325402</v>
      </c>
      <c r="F67" s="3">
        <v>42866</v>
      </c>
      <c r="G67" s="2">
        <v>201711</v>
      </c>
      <c r="H67" s="2" t="s">
        <v>78</v>
      </c>
      <c r="I67" s="2" t="s">
        <v>79</v>
      </c>
      <c r="J67" s="2" t="s">
        <v>76</v>
      </c>
      <c r="K67" s="2" t="s">
        <v>77</v>
      </c>
      <c r="L67" s="2" t="s">
        <v>101</v>
      </c>
      <c r="M67" s="2" t="s">
        <v>102</v>
      </c>
      <c r="N67" s="2" t="s">
        <v>365</v>
      </c>
      <c r="O67" s="2" t="s">
        <v>90</v>
      </c>
      <c r="P67" s="2" t="str">
        <f t="shared" si="1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6.55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0.5</v>
      </c>
      <c r="BJ67" s="2">
        <v>0.2</v>
      </c>
      <c r="BK67" s="2">
        <v>1</v>
      </c>
      <c r="BL67" s="2">
        <v>64.2</v>
      </c>
      <c r="BM67" s="2">
        <v>8.99</v>
      </c>
      <c r="BN67" s="2">
        <v>73.19</v>
      </c>
      <c r="BO67" s="2">
        <v>73.19</v>
      </c>
      <c r="BQ67" s="2" t="s">
        <v>366</v>
      </c>
      <c r="BR67" s="2" t="s">
        <v>92</v>
      </c>
      <c r="BS67" s="3">
        <v>42867</v>
      </c>
      <c r="BT67" s="4">
        <v>0.39583333333333331</v>
      </c>
      <c r="BU67" s="2" t="s">
        <v>142</v>
      </c>
      <c r="BV67" s="2" t="s">
        <v>84</v>
      </c>
      <c r="BY67" s="2">
        <v>1200</v>
      </c>
      <c r="CC67" s="2" t="s">
        <v>102</v>
      </c>
      <c r="CD67" s="2">
        <v>4000</v>
      </c>
      <c r="CE67" s="2" t="s">
        <v>85</v>
      </c>
      <c r="CF67" s="3">
        <v>42870</v>
      </c>
      <c r="CI67" s="2">
        <v>1</v>
      </c>
      <c r="CJ67" s="2">
        <v>1</v>
      </c>
      <c r="CK67" s="2" t="s">
        <v>100</v>
      </c>
      <c r="CL67" s="2" t="s">
        <v>86</v>
      </c>
    </row>
    <row r="68" spans="1:90">
      <c r="A68" s="2" t="s">
        <v>71</v>
      </c>
      <c r="B68" s="2" t="s">
        <v>72</v>
      </c>
      <c r="C68" s="2" t="s">
        <v>73</v>
      </c>
      <c r="E68" s="2" t="str">
        <f>"009936325401"</f>
        <v>009936325401</v>
      </c>
      <c r="F68" s="3">
        <v>42866</v>
      </c>
      <c r="G68" s="2">
        <v>201711</v>
      </c>
      <c r="H68" s="2" t="s">
        <v>78</v>
      </c>
      <c r="I68" s="2" t="s">
        <v>79</v>
      </c>
      <c r="J68" s="2" t="s">
        <v>76</v>
      </c>
      <c r="K68" s="2" t="s">
        <v>77</v>
      </c>
      <c r="L68" s="2" t="s">
        <v>113</v>
      </c>
      <c r="M68" s="2" t="s">
        <v>114</v>
      </c>
      <c r="N68" s="2" t="s">
        <v>367</v>
      </c>
      <c r="O68" s="2" t="s">
        <v>90</v>
      </c>
      <c r="P68" s="2" t="str">
        <f t="shared" si="1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9.5299999999999994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1</v>
      </c>
      <c r="BL68" s="2">
        <v>91.17</v>
      </c>
      <c r="BM68" s="2">
        <v>12.76</v>
      </c>
      <c r="BN68" s="2">
        <v>103.93</v>
      </c>
      <c r="BO68" s="2">
        <v>103.93</v>
      </c>
      <c r="BQ68" s="2" t="s">
        <v>368</v>
      </c>
      <c r="BR68" s="2" t="s">
        <v>92</v>
      </c>
      <c r="BS68" s="3">
        <v>42867</v>
      </c>
      <c r="BT68" s="4">
        <v>0.5</v>
      </c>
      <c r="BU68" s="2" t="s">
        <v>369</v>
      </c>
      <c r="BV68" s="2" t="s">
        <v>84</v>
      </c>
      <c r="BY68" s="2">
        <v>1200</v>
      </c>
      <c r="CC68" s="2" t="s">
        <v>114</v>
      </c>
      <c r="CD68" s="2">
        <v>5200</v>
      </c>
      <c r="CE68" s="2" t="s">
        <v>85</v>
      </c>
      <c r="CF68" s="3">
        <v>42870</v>
      </c>
      <c r="CI68" s="2">
        <v>2</v>
      </c>
      <c r="CJ68" s="2">
        <v>1</v>
      </c>
      <c r="CK68" s="2" t="s">
        <v>119</v>
      </c>
      <c r="CL68" s="2" t="s">
        <v>86</v>
      </c>
    </row>
    <row r="69" spans="1:90">
      <c r="A69" s="2" t="s">
        <v>71</v>
      </c>
      <c r="B69" s="2" t="s">
        <v>72</v>
      </c>
      <c r="C69" s="2" t="s">
        <v>73</v>
      </c>
      <c r="E69" s="2" t="str">
        <f>"009936325397"</f>
        <v>009936325397</v>
      </c>
      <c r="F69" s="3">
        <v>42866</v>
      </c>
      <c r="G69" s="2">
        <v>201711</v>
      </c>
      <c r="H69" s="2" t="s">
        <v>78</v>
      </c>
      <c r="I69" s="2" t="s">
        <v>79</v>
      </c>
      <c r="J69" s="2" t="s">
        <v>76</v>
      </c>
      <c r="K69" s="2" t="s">
        <v>77</v>
      </c>
      <c r="L69" s="2" t="s">
        <v>370</v>
      </c>
      <c r="M69" s="2" t="s">
        <v>370</v>
      </c>
      <c r="N69" s="2" t="s">
        <v>77</v>
      </c>
      <c r="O69" s="2" t="s">
        <v>90</v>
      </c>
      <c r="P69" s="2" t="str">
        <f t="shared" si="1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9.5299999999999994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0.5</v>
      </c>
      <c r="BJ69" s="2">
        <v>0.2</v>
      </c>
      <c r="BK69" s="2">
        <v>1</v>
      </c>
      <c r="BL69" s="2">
        <v>91.17</v>
      </c>
      <c r="BM69" s="2">
        <v>12.76</v>
      </c>
      <c r="BN69" s="2">
        <v>103.93</v>
      </c>
      <c r="BO69" s="2">
        <v>103.93</v>
      </c>
      <c r="BQ69" s="2" t="s">
        <v>371</v>
      </c>
      <c r="BR69" s="2" t="s">
        <v>92</v>
      </c>
      <c r="BS69" s="3">
        <v>42867</v>
      </c>
      <c r="BT69" s="4">
        <v>0.63263888888888886</v>
      </c>
      <c r="BU69" s="2" t="s">
        <v>372</v>
      </c>
      <c r="BV69" s="2" t="s">
        <v>84</v>
      </c>
      <c r="BY69" s="2">
        <v>1200</v>
      </c>
      <c r="CC69" s="2" t="s">
        <v>370</v>
      </c>
      <c r="CD69" s="2">
        <v>7625</v>
      </c>
      <c r="CE69" s="2" t="s">
        <v>85</v>
      </c>
      <c r="CF69" s="3">
        <v>42870</v>
      </c>
      <c r="CI69" s="2">
        <v>2</v>
      </c>
      <c r="CJ69" s="2">
        <v>1</v>
      </c>
      <c r="CK69" s="2" t="s">
        <v>137</v>
      </c>
      <c r="CL69" s="2" t="s">
        <v>86</v>
      </c>
    </row>
    <row r="70" spans="1:90">
      <c r="A70" s="2" t="s">
        <v>71</v>
      </c>
      <c r="B70" s="2" t="s">
        <v>72</v>
      </c>
      <c r="C70" s="2" t="s">
        <v>73</v>
      </c>
      <c r="E70" s="2" t="str">
        <f>"009936325403"</f>
        <v>009936325403</v>
      </c>
      <c r="F70" s="3">
        <v>42866</v>
      </c>
      <c r="G70" s="2">
        <v>201711</v>
      </c>
      <c r="H70" s="2" t="s">
        <v>78</v>
      </c>
      <c r="I70" s="2" t="s">
        <v>79</v>
      </c>
      <c r="J70" s="2" t="s">
        <v>76</v>
      </c>
      <c r="K70" s="2" t="s">
        <v>77</v>
      </c>
      <c r="L70" s="2" t="s">
        <v>251</v>
      </c>
      <c r="M70" s="2" t="s">
        <v>252</v>
      </c>
      <c r="N70" s="2" t="s">
        <v>373</v>
      </c>
      <c r="O70" s="2" t="s">
        <v>90</v>
      </c>
      <c r="P70" s="2" t="str">
        <f t="shared" si="1"/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6.55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0.5</v>
      </c>
      <c r="BJ70" s="2">
        <v>0.2</v>
      </c>
      <c r="BK70" s="2">
        <v>1</v>
      </c>
      <c r="BL70" s="2">
        <v>64.2</v>
      </c>
      <c r="BM70" s="2">
        <v>8.99</v>
      </c>
      <c r="BN70" s="2">
        <v>73.19</v>
      </c>
      <c r="BO70" s="2">
        <v>73.19</v>
      </c>
      <c r="BQ70" s="2" t="s">
        <v>374</v>
      </c>
      <c r="BR70" s="2" t="s">
        <v>92</v>
      </c>
      <c r="BS70" s="3">
        <v>42867</v>
      </c>
      <c r="BT70" s="4">
        <v>0.3611111111111111</v>
      </c>
      <c r="BU70" s="2" t="s">
        <v>375</v>
      </c>
      <c r="BV70" s="2" t="s">
        <v>84</v>
      </c>
      <c r="BY70" s="2">
        <v>1200</v>
      </c>
      <c r="CC70" s="2" t="s">
        <v>252</v>
      </c>
      <c r="CD70" s="2">
        <v>2940</v>
      </c>
      <c r="CE70" s="2" t="s">
        <v>85</v>
      </c>
      <c r="CF70" s="3">
        <v>42871</v>
      </c>
      <c r="CI70" s="2">
        <v>1</v>
      </c>
      <c r="CJ70" s="2">
        <v>1</v>
      </c>
      <c r="CK70" s="2" t="s">
        <v>100</v>
      </c>
      <c r="CL70" s="2" t="s">
        <v>86</v>
      </c>
    </row>
    <row r="71" spans="1:90">
      <c r="A71" s="2" t="s">
        <v>71</v>
      </c>
      <c r="B71" s="2" t="s">
        <v>72</v>
      </c>
      <c r="C71" s="2" t="s">
        <v>73</v>
      </c>
      <c r="E71" s="2" t="str">
        <f>"009936325396"</f>
        <v>009936325396</v>
      </c>
      <c r="F71" s="3">
        <v>42866</v>
      </c>
      <c r="G71" s="2">
        <v>201711</v>
      </c>
      <c r="H71" s="2" t="s">
        <v>78</v>
      </c>
      <c r="I71" s="2" t="s">
        <v>79</v>
      </c>
      <c r="J71" s="2" t="s">
        <v>76</v>
      </c>
      <c r="K71" s="2" t="s">
        <v>77</v>
      </c>
      <c r="L71" s="2" t="s">
        <v>87</v>
      </c>
      <c r="M71" s="2" t="s">
        <v>88</v>
      </c>
      <c r="N71" s="2" t="s">
        <v>376</v>
      </c>
      <c r="O71" s="2" t="s">
        <v>90</v>
      </c>
      <c r="P71" s="2" t="str">
        <f t="shared" si="1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8.01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</v>
      </c>
      <c r="BJ71" s="2">
        <v>0.2</v>
      </c>
      <c r="BK71" s="2">
        <v>1</v>
      </c>
      <c r="BL71" s="2">
        <v>77.36</v>
      </c>
      <c r="BM71" s="2">
        <v>10.83</v>
      </c>
      <c r="BN71" s="2">
        <v>88.19</v>
      </c>
      <c r="BO71" s="2">
        <v>88.19</v>
      </c>
      <c r="BQ71" s="2" t="s">
        <v>377</v>
      </c>
      <c r="BR71" s="2" t="s">
        <v>92</v>
      </c>
      <c r="BS71" s="3">
        <v>42867</v>
      </c>
      <c r="BT71" s="4">
        <v>0.50208333333333333</v>
      </c>
      <c r="BU71" s="2" t="s">
        <v>377</v>
      </c>
      <c r="BY71" s="2">
        <v>1200</v>
      </c>
      <c r="CC71" s="2" t="s">
        <v>88</v>
      </c>
      <c r="CD71" s="2">
        <v>1</v>
      </c>
      <c r="CE71" s="2" t="s">
        <v>85</v>
      </c>
      <c r="CF71" s="3">
        <v>42870</v>
      </c>
      <c r="CI71" s="2">
        <v>0</v>
      </c>
      <c r="CJ71" s="2">
        <v>0</v>
      </c>
      <c r="CK71" s="2" t="s">
        <v>94</v>
      </c>
      <c r="CL71" s="2" t="s">
        <v>86</v>
      </c>
    </row>
    <row r="72" spans="1:90">
      <c r="A72" s="2" t="s">
        <v>71</v>
      </c>
      <c r="B72" s="2" t="s">
        <v>72</v>
      </c>
      <c r="C72" s="2" t="s">
        <v>73</v>
      </c>
      <c r="E72" s="2" t="str">
        <f>"009936325389"</f>
        <v>009936325389</v>
      </c>
      <c r="F72" s="3">
        <v>42866</v>
      </c>
      <c r="G72" s="2">
        <v>201711</v>
      </c>
      <c r="H72" s="2" t="s">
        <v>78</v>
      </c>
      <c r="I72" s="2" t="s">
        <v>79</v>
      </c>
      <c r="J72" s="2" t="s">
        <v>76</v>
      </c>
      <c r="K72" s="2" t="s">
        <v>77</v>
      </c>
      <c r="L72" s="2" t="s">
        <v>134</v>
      </c>
      <c r="M72" s="2" t="s">
        <v>75</v>
      </c>
      <c r="N72" s="2" t="s">
        <v>378</v>
      </c>
      <c r="O72" s="2" t="s">
        <v>90</v>
      </c>
      <c r="P72" s="2" t="str">
        <f t="shared" si="1"/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9.5299999999999994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0.5</v>
      </c>
      <c r="BJ72" s="2">
        <v>0.2</v>
      </c>
      <c r="BK72" s="2">
        <v>1</v>
      </c>
      <c r="BL72" s="2">
        <v>91.17</v>
      </c>
      <c r="BM72" s="2">
        <v>12.76</v>
      </c>
      <c r="BN72" s="2">
        <v>103.93</v>
      </c>
      <c r="BO72" s="2">
        <v>103.93</v>
      </c>
      <c r="BQ72" s="2" t="s">
        <v>379</v>
      </c>
      <c r="BR72" s="2" t="s">
        <v>92</v>
      </c>
      <c r="BS72" s="3">
        <v>42870</v>
      </c>
      <c r="BT72" s="4">
        <v>0.41666666666666669</v>
      </c>
      <c r="BU72" s="2" t="s">
        <v>142</v>
      </c>
      <c r="BV72" s="2" t="s">
        <v>84</v>
      </c>
      <c r="BY72" s="2">
        <v>1200</v>
      </c>
      <c r="CC72" s="2" t="s">
        <v>75</v>
      </c>
      <c r="CD72" s="2">
        <v>8000</v>
      </c>
      <c r="CE72" s="2" t="s">
        <v>85</v>
      </c>
      <c r="CF72" s="3">
        <v>42871</v>
      </c>
      <c r="CI72" s="2">
        <v>2</v>
      </c>
      <c r="CJ72" s="2">
        <v>2</v>
      </c>
      <c r="CK72" s="2" t="s">
        <v>137</v>
      </c>
      <c r="CL72" s="2" t="s">
        <v>86</v>
      </c>
    </row>
    <row r="73" spans="1:90">
      <c r="A73" s="2" t="s">
        <v>71</v>
      </c>
      <c r="B73" s="2" t="s">
        <v>72</v>
      </c>
      <c r="C73" s="2" t="s">
        <v>73</v>
      </c>
      <c r="E73" s="2" t="str">
        <f>"009936325411"</f>
        <v>009936325411</v>
      </c>
      <c r="F73" s="3">
        <v>42866</v>
      </c>
      <c r="G73" s="2">
        <v>201711</v>
      </c>
      <c r="H73" s="2" t="s">
        <v>78</v>
      </c>
      <c r="I73" s="2" t="s">
        <v>79</v>
      </c>
      <c r="J73" s="2" t="s">
        <v>76</v>
      </c>
      <c r="K73" s="2" t="s">
        <v>77</v>
      </c>
      <c r="L73" s="2" t="s">
        <v>380</v>
      </c>
      <c r="M73" s="2" t="s">
        <v>381</v>
      </c>
      <c r="N73" s="2" t="s">
        <v>382</v>
      </c>
      <c r="O73" s="2" t="s">
        <v>90</v>
      </c>
      <c r="P73" s="2" t="str">
        <f t="shared" si="1"/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8.73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0.5</v>
      </c>
      <c r="BJ73" s="2">
        <v>0.2</v>
      </c>
      <c r="BK73" s="2">
        <v>1</v>
      </c>
      <c r="BL73" s="2">
        <v>83.93</v>
      </c>
      <c r="BM73" s="2">
        <v>11.75</v>
      </c>
      <c r="BN73" s="2">
        <v>95.68</v>
      </c>
      <c r="BO73" s="2">
        <v>95.68</v>
      </c>
      <c r="BQ73" s="2" t="s">
        <v>383</v>
      </c>
      <c r="BR73" s="2" t="s">
        <v>92</v>
      </c>
      <c r="BS73" s="3">
        <v>42867</v>
      </c>
      <c r="BT73" s="4">
        <v>0.43055555555555558</v>
      </c>
      <c r="BU73" s="2" t="s">
        <v>384</v>
      </c>
      <c r="BV73" s="2" t="s">
        <v>84</v>
      </c>
      <c r="BY73" s="2">
        <v>1200</v>
      </c>
      <c r="CC73" s="2" t="s">
        <v>381</v>
      </c>
      <c r="CD73" s="2">
        <v>299</v>
      </c>
      <c r="CE73" s="2" t="s">
        <v>85</v>
      </c>
      <c r="CF73" s="3">
        <v>42871</v>
      </c>
      <c r="CI73" s="2">
        <v>1</v>
      </c>
      <c r="CJ73" s="2">
        <v>1</v>
      </c>
      <c r="CK73" s="2" t="s">
        <v>385</v>
      </c>
      <c r="CL73" s="2" t="s">
        <v>86</v>
      </c>
    </row>
    <row r="74" spans="1:90">
      <c r="A74" s="2" t="s">
        <v>71</v>
      </c>
      <c r="B74" s="2" t="s">
        <v>72</v>
      </c>
      <c r="C74" s="2" t="s">
        <v>73</v>
      </c>
      <c r="E74" s="2" t="str">
        <f>"009936325399"</f>
        <v>009936325399</v>
      </c>
      <c r="F74" s="3">
        <v>42866</v>
      </c>
      <c r="G74" s="2">
        <v>201711</v>
      </c>
      <c r="H74" s="2" t="s">
        <v>78</v>
      </c>
      <c r="I74" s="2" t="s">
        <v>79</v>
      </c>
      <c r="J74" s="2" t="s">
        <v>76</v>
      </c>
      <c r="K74" s="2" t="s">
        <v>77</v>
      </c>
      <c r="L74" s="2" t="s">
        <v>134</v>
      </c>
      <c r="M74" s="2" t="s">
        <v>75</v>
      </c>
      <c r="N74" s="2" t="s">
        <v>386</v>
      </c>
      <c r="O74" s="2" t="s">
        <v>90</v>
      </c>
      <c r="P74" s="2" t="str">
        <f t="shared" ref="P74:P109" si="2">"NA                            "</f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9.5299999999999994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0.5</v>
      </c>
      <c r="BJ74" s="2">
        <v>0.2</v>
      </c>
      <c r="BK74" s="2">
        <v>1</v>
      </c>
      <c r="BL74" s="2">
        <v>91.17</v>
      </c>
      <c r="BM74" s="2">
        <v>12.76</v>
      </c>
      <c r="BN74" s="2">
        <v>103.93</v>
      </c>
      <c r="BO74" s="2">
        <v>103.93</v>
      </c>
      <c r="BQ74" s="2" t="s">
        <v>387</v>
      </c>
      <c r="BR74" s="2" t="s">
        <v>92</v>
      </c>
      <c r="BS74" s="3">
        <v>42867</v>
      </c>
      <c r="BT74" s="4">
        <v>0.71250000000000002</v>
      </c>
      <c r="BU74" s="2" t="s">
        <v>388</v>
      </c>
      <c r="BV74" s="2" t="s">
        <v>84</v>
      </c>
      <c r="BY74" s="2">
        <v>1200</v>
      </c>
      <c r="CC74" s="2" t="s">
        <v>75</v>
      </c>
      <c r="CD74" s="2">
        <v>8005</v>
      </c>
      <c r="CE74" s="2" t="s">
        <v>85</v>
      </c>
      <c r="CF74" s="3">
        <v>42870</v>
      </c>
      <c r="CI74" s="2">
        <v>2</v>
      </c>
      <c r="CJ74" s="2">
        <v>1</v>
      </c>
      <c r="CK74" s="2" t="s">
        <v>137</v>
      </c>
      <c r="CL74" s="2" t="s">
        <v>86</v>
      </c>
    </row>
    <row r="75" spans="1:90">
      <c r="A75" s="2" t="s">
        <v>71</v>
      </c>
      <c r="B75" s="2" t="s">
        <v>72</v>
      </c>
      <c r="C75" s="2" t="s">
        <v>73</v>
      </c>
      <c r="E75" s="2" t="str">
        <f>"009936325388"</f>
        <v>009936325388</v>
      </c>
      <c r="F75" s="3">
        <v>42866</v>
      </c>
      <c r="G75" s="2">
        <v>201711</v>
      </c>
      <c r="H75" s="2" t="s">
        <v>78</v>
      </c>
      <c r="I75" s="2" t="s">
        <v>79</v>
      </c>
      <c r="J75" s="2" t="s">
        <v>76</v>
      </c>
      <c r="K75" s="2" t="s">
        <v>77</v>
      </c>
      <c r="L75" s="2" t="s">
        <v>389</v>
      </c>
      <c r="M75" s="2" t="s">
        <v>390</v>
      </c>
      <c r="N75" s="2" t="s">
        <v>391</v>
      </c>
      <c r="O75" s="2" t="s">
        <v>90</v>
      </c>
      <c r="P75" s="2" t="str">
        <f t="shared" si="2"/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13.1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0.5</v>
      </c>
      <c r="BJ75" s="2">
        <v>0.2</v>
      </c>
      <c r="BK75" s="2">
        <v>1</v>
      </c>
      <c r="BL75" s="2">
        <v>123.4</v>
      </c>
      <c r="BM75" s="2">
        <v>17.28</v>
      </c>
      <c r="BN75" s="2">
        <v>140.68</v>
      </c>
      <c r="BO75" s="2">
        <v>140.68</v>
      </c>
      <c r="BQ75" s="2" t="s">
        <v>334</v>
      </c>
      <c r="BR75" s="2" t="s">
        <v>92</v>
      </c>
      <c r="BS75" s="3">
        <v>42870</v>
      </c>
      <c r="BT75" s="4">
        <v>0.42430555555555555</v>
      </c>
      <c r="BU75" s="2" t="s">
        <v>392</v>
      </c>
      <c r="BV75" s="2" t="s">
        <v>84</v>
      </c>
      <c r="BY75" s="2">
        <v>1200</v>
      </c>
      <c r="CA75" s="2" t="s">
        <v>393</v>
      </c>
      <c r="CC75" s="2" t="s">
        <v>390</v>
      </c>
      <c r="CD75" s="2">
        <v>6740</v>
      </c>
      <c r="CE75" s="2" t="s">
        <v>85</v>
      </c>
      <c r="CF75" s="3">
        <v>42870</v>
      </c>
      <c r="CI75" s="2">
        <v>4</v>
      </c>
      <c r="CJ75" s="2">
        <v>2</v>
      </c>
      <c r="CK75" s="2" t="s">
        <v>180</v>
      </c>
      <c r="CL75" s="2" t="s">
        <v>86</v>
      </c>
    </row>
    <row r="76" spans="1:90">
      <c r="A76" s="2" t="s">
        <v>71</v>
      </c>
      <c r="B76" s="2" t="s">
        <v>72</v>
      </c>
      <c r="C76" s="2" t="s">
        <v>73</v>
      </c>
      <c r="E76" s="2" t="str">
        <f>"009936325407"</f>
        <v>009936325407</v>
      </c>
      <c r="F76" s="3">
        <v>42866</v>
      </c>
      <c r="G76" s="2">
        <v>201711</v>
      </c>
      <c r="H76" s="2" t="s">
        <v>78</v>
      </c>
      <c r="I76" s="2" t="s">
        <v>79</v>
      </c>
      <c r="J76" s="2" t="s">
        <v>76</v>
      </c>
      <c r="K76" s="2" t="s">
        <v>77</v>
      </c>
      <c r="L76" s="2" t="s">
        <v>394</v>
      </c>
      <c r="M76" s="2" t="s">
        <v>395</v>
      </c>
      <c r="N76" s="2" t="s">
        <v>396</v>
      </c>
      <c r="O76" s="2" t="s">
        <v>397</v>
      </c>
      <c r="P76" s="2" t="str">
        <f t="shared" si="2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38.76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155.18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0.8</v>
      </c>
      <c r="BJ76" s="2">
        <v>3</v>
      </c>
      <c r="BK76" s="2">
        <v>3</v>
      </c>
      <c r="BL76" s="2">
        <v>505.49</v>
      </c>
      <c r="BM76" s="2">
        <v>0</v>
      </c>
      <c r="BN76" s="2">
        <v>505.49</v>
      </c>
      <c r="BO76" s="2">
        <v>505.49</v>
      </c>
      <c r="BQ76" s="2" t="s">
        <v>398</v>
      </c>
      <c r="BR76" s="2" t="s">
        <v>92</v>
      </c>
      <c r="BS76" s="3">
        <v>42870</v>
      </c>
      <c r="BT76" s="4">
        <v>0.4375</v>
      </c>
      <c r="BU76" s="2" t="s">
        <v>399</v>
      </c>
      <c r="BW76" s="2" t="s">
        <v>400</v>
      </c>
      <c r="BX76" s="2" t="s">
        <v>401</v>
      </c>
      <c r="BY76" s="2">
        <v>15206.49</v>
      </c>
      <c r="BZ76" s="2" t="s">
        <v>402</v>
      </c>
      <c r="CC76" s="2" t="s">
        <v>395</v>
      </c>
      <c r="CD76" s="2" t="s">
        <v>403</v>
      </c>
      <c r="CE76" s="2" t="s">
        <v>404</v>
      </c>
      <c r="CI76" s="2">
        <v>0</v>
      </c>
      <c r="CJ76" s="2">
        <v>0</v>
      </c>
      <c r="CK76" s="2">
        <v>501</v>
      </c>
      <c r="CL76" s="2" t="s">
        <v>86</v>
      </c>
    </row>
    <row r="77" spans="1:90">
      <c r="A77" s="2" t="s">
        <v>71</v>
      </c>
      <c r="B77" s="2" t="s">
        <v>72</v>
      </c>
      <c r="C77" s="2" t="s">
        <v>73</v>
      </c>
      <c r="E77" s="2" t="str">
        <f>"009936325438"</f>
        <v>009936325438</v>
      </c>
      <c r="F77" s="3">
        <v>42864</v>
      </c>
      <c r="G77" s="2">
        <v>201711</v>
      </c>
      <c r="H77" s="2" t="s">
        <v>78</v>
      </c>
      <c r="I77" s="2" t="s">
        <v>79</v>
      </c>
      <c r="J77" s="2" t="s">
        <v>76</v>
      </c>
      <c r="K77" s="2" t="s">
        <v>77</v>
      </c>
      <c r="L77" s="2" t="s">
        <v>405</v>
      </c>
      <c r="M77" s="2" t="s">
        <v>406</v>
      </c>
      <c r="N77" s="2" t="s">
        <v>407</v>
      </c>
      <c r="O77" s="2" t="s">
        <v>90</v>
      </c>
      <c r="P77" s="2" t="str">
        <f t="shared" si="2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6.55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</v>
      </c>
      <c r="BJ77" s="2">
        <v>0.2</v>
      </c>
      <c r="BK77" s="2">
        <v>1</v>
      </c>
      <c r="BL77" s="2">
        <v>64.2</v>
      </c>
      <c r="BM77" s="2">
        <v>8.99</v>
      </c>
      <c r="BN77" s="2">
        <v>73.19</v>
      </c>
      <c r="BO77" s="2">
        <v>73.19</v>
      </c>
      <c r="BQ77" s="2" t="s">
        <v>408</v>
      </c>
      <c r="BR77" s="2" t="s">
        <v>92</v>
      </c>
      <c r="BS77" s="3">
        <v>42865</v>
      </c>
      <c r="BT77" s="4">
        <v>0.65277777777777779</v>
      </c>
      <c r="BU77" s="2" t="s">
        <v>409</v>
      </c>
      <c r="BV77" s="2" t="s">
        <v>84</v>
      </c>
      <c r="BY77" s="2">
        <v>1200</v>
      </c>
      <c r="CC77" s="2" t="s">
        <v>406</v>
      </c>
      <c r="CD77" s="2">
        <v>1559</v>
      </c>
      <c r="CF77" s="3">
        <v>42867</v>
      </c>
      <c r="CI77" s="2">
        <v>1</v>
      </c>
      <c r="CJ77" s="2">
        <v>1</v>
      </c>
      <c r="CK77" s="2" t="s">
        <v>123</v>
      </c>
      <c r="CL77" s="2" t="s">
        <v>86</v>
      </c>
    </row>
    <row r="78" spans="1:90">
      <c r="A78" s="2" t="s">
        <v>71</v>
      </c>
      <c r="B78" s="2" t="s">
        <v>72</v>
      </c>
      <c r="C78" s="2" t="s">
        <v>73</v>
      </c>
      <c r="E78" s="2" t="str">
        <f>"009936325382"</f>
        <v>009936325382</v>
      </c>
      <c r="F78" s="3">
        <v>42867</v>
      </c>
      <c r="G78" s="2">
        <v>201711</v>
      </c>
      <c r="H78" s="2" t="s">
        <v>78</v>
      </c>
      <c r="I78" s="2" t="s">
        <v>79</v>
      </c>
      <c r="J78" s="2" t="s">
        <v>76</v>
      </c>
      <c r="K78" s="2" t="s">
        <v>77</v>
      </c>
      <c r="L78" s="2" t="s">
        <v>101</v>
      </c>
      <c r="M78" s="2" t="s">
        <v>102</v>
      </c>
      <c r="N78" s="2" t="s">
        <v>410</v>
      </c>
      <c r="O78" s="2" t="s">
        <v>90</v>
      </c>
      <c r="P78" s="2" t="str">
        <f t="shared" ref="P78:P83" si="3">"NO REF                        "</f>
        <v xml:space="preserve">NO REF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6.55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0.5</v>
      </c>
      <c r="BJ78" s="2">
        <v>0.2</v>
      </c>
      <c r="BK78" s="2">
        <v>1</v>
      </c>
      <c r="BL78" s="2">
        <v>64.2</v>
      </c>
      <c r="BM78" s="2">
        <v>8.99</v>
      </c>
      <c r="BN78" s="2">
        <v>73.19</v>
      </c>
      <c r="BO78" s="2">
        <v>73.19</v>
      </c>
      <c r="BQ78" s="2" t="s">
        <v>411</v>
      </c>
      <c r="BR78" s="2" t="s">
        <v>92</v>
      </c>
      <c r="BS78" s="3">
        <v>42870</v>
      </c>
      <c r="BT78" s="4">
        <v>0.44444444444444442</v>
      </c>
      <c r="BU78" s="2" t="s">
        <v>412</v>
      </c>
      <c r="BV78" s="2" t="s">
        <v>84</v>
      </c>
      <c r="BY78" s="2">
        <v>1200</v>
      </c>
      <c r="CC78" s="2" t="s">
        <v>102</v>
      </c>
      <c r="CD78" s="2">
        <v>4054</v>
      </c>
      <c r="CE78" s="2" t="s">
        <v>85</v>
      </c>
      <c r="CF78" s="3">
        <v>42871</v>
      </c>
      <c r="CI78" s="2">
        <v>1</v>
      </c>
      <c r="CJ78" s="2">
        <v>1</v>
      </c>
      <c r="CK78" s="2" t="s">
        <v>100</v>
      </c>
      <c r="CL78" s="2" t="s">
        <v>86</v>
      </c>
    </row>
    <row r="79" spans="1:90">
      <c r="A79" s="2" t="s">
        <v>71</v>
      </c>
      <c r="B79" s="2" t="s">
        <v>72</v>
      </c>
      <c r="C79" s="2" t="s">
        <v>73</v>
      </c>
      <c r="E79" s="2" t="str">
        <f>"009936325374"</f>
        <v>009936325374</v>
      </c>
      <c r="F79" s="3">
        <v>42870</v>
      </c>
      <c r="G79" s="2">
        <v>201711</v>
      </c>
      <c r="H79" s="2" t="s">
        <v>78</v>
      </c>
      <c r="I79" s="2" t="s">
        <v>79</v>
      </c>
      <c r="J79" s="2" t="s">
        <v>76</v>
      </c>
      <c r="K79" s="2" t="s">
        <v>77</v>
      </c>
      <c r="L79" s="2" t="s">
        <v>243</v>
      </c>
      <c r="M79" s="2" t="s">
        <v>244</v>
      </c>
      <c r="N79" s="2" t="s">
        <v>413</v>
      </c>
      <c r="O79" s="2" t="s">
        <v>90</v>
      </c>
      <c r="P79" s="2" t="str">
        <f t="shared" si="3"/>
        <v xml:space="preserve">NO REF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11.35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1.7</v>
      </c>
      <c r="BJ79" s="2">
        <v>1.5</v>
      </c>
      <c r="BK79" s="2">
        <v>2</v>
      </c>
      <c r="BL79" s="2">
        <v>107.61</v>
      </c>
      <c r="BM79" s="2">
        <v>15.07</v>
      </c>
      <c r="BN79" s="2">
        <v>122.68</v>
      </c>
      <c r="BO79" s="2">
        <v>122.68</v>
      </c>
      <c r="BQ79" s="2" t="s">
        <v>414</v>
      </c>
      <c r="BR79" s="2" t="s">
        <v>92</v>
      </c>
      <c r="BS79" s="3">
        <v>42872</v>
      </c>
      <c r="BT79" s="4">
        <v>0.51111111111111118</v>
      </c>
      <c r="BU79" s="2" t="s">
        <v>415</v>
      </c>
      <c r="BV79" s="2" t="s">
        <v>84</v>
      </c>
      <c r="BY79" s="2">
        <v>7704.37</v>
      </c>
      <c r="CC79" s="2" t="s">
        <v>244</v>
      </c>
      <c r="CD79" s="2">
        <v>8800</v>
      </c>
      <c r="CE79" s="2" t="s">
        <v>85</v>
      </c>
      <c r="CF79" s="3">
        <v>42874</v>
      </c>
      <c r="CI79" s="2">
        <v>2</v>
      </c>
      <c r="CJ79" s="2">
        <v>2</v>
      </c>
      <c r="CK79" s="2" t="s">
        <v>173</v>
      </c>
      <c r="CL79" s="2" t="s">
        <v>86</v>
      </c>
    </row>
    <row r="80" spans="1:90">
      <c r="A80" s="2" t="s">
        <v>71</v>
      </c>
      <c r="B80" s="2" t="s">
        <v>72</v>
      </c>
      <c r="C80" s="2" t="s">
        <v>73</v>
      </c>
      <c r="E80" s="2" t="str">
        <f>"009936325373"</f>
        <v>009936325373</v>
      </c>
      <c r="F80" s="3">
        <v>42870</v>
      </c>
      <c r="G80" s="2">
        <v>201711</v>
      </c>
      <c r="H80" s="2" t="s">
        <v>78</v>
      </c>
      <c r="I80" s="2" t="s">
        <v>79</v>
      </c>
      <c r="J80" s="2" t="s">
        <v>76</v>
      </c>
      <c r="K80" s="2" t="s">
        <v>77</v>
      </c>
      <c r="L80" s="2" t="s">
        <v>266</v>
      </c>
      <c r="M80" s="2" t="s">
        <v>267</v>
      </c>
      <c r="N80" s="2" t="s">
        <v>416</v>
      </c>
      <c r="O80" s="2" t="s">
        <v>90</v>
      </c>
      <c r="P80" s="2" t="str">
        <f t="shared" si="3"/>
        <v xml:space="preserve">NO REF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6.55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0.8</v>
      </c>
      <c r="BJ80" s="2">
        <v>0.8</v>
      </c>
      <c r="BK80" s="2">
        <v>1</v>
      </c>
      <c r="BL80" s="2">
        <v>64.2</v>
      </c>
      <c r="BM80" s="2">
        <v>8.99</v>
      </c>
      <c r="BN80" s="2">
        <v>73.19</v>
      </c>
      <c r="BO80" s="2">
        <v>73.19</v>
      </c>
      <c r="BQ80" s="2" t="s">
        <v>417</v>
      </c>
      <c r="BR80" s="2" t="s">
        <v>92</v>
      </c>
      <c r="BS80" s="3">
        <v>42871</v>
      </c>
      <c r="BT80" s="4">
        <v>0.52986111111111112</v>
      </c>
      <c r="BU80" s="2" t="s">
        <v>418</v>
      </c>
      <c r="BV80" s="2" t="s">
        <v>84</v>
      </c>
      <c r="BY80" s="2">
        <v>3890.3</v>
      </c>
      <c r="CC80" s="2" t="s">
        <v>267</v>
      </c>
      <c r="CD80" s="2">
        <v>8300</v>
      </c>
      <c r="CE80" s="2" t="s">
        <v>85</v>
      </c>
      <c r="CF80" s="3">
        <v>42873</v>
      </c>
      <c r="CI80" s="2">
        <v>1</v>
      </c>
      <c r="CJ80" s="2">
        <v>1</v>
      </c>
      <c r="CK80" s="2" t="s">
        <v>112</v>
      </c>
      <c r="CL80" s="2" t="s">
        <v>86</v>
      </c>
    </row>
    <row r="81" spans="1:90">
      <c r="A81" s="2" t="s">
        <v>71</v>
      </c>
      <c r="B81" s="2" t="s">
        <v>72</v>
      </c>
      <c r="C81" s="2" t="s">
        <v>73</v>
      </c>
      <c r="E81" s="2" t="str">
        <f>"009936325381"</f>
        <v>009936325381</v>
      </c>
      <c r="F81" s="3">
        <v>42870</v>
      </c>
      <c r="G81" s="2">
        <v>201711</v>
      </c>
      <c r="H81" s="2" t="s">
        <v>78</v>
      </c>
      <c r="I81" s="2" t="s">
        <v>79</v>
      </c>
      <c r="J81" s="2" t="s">
        <v>76</v>
      </c>
      <c r="K81" s="2" t="s">
        <v>77</v>
      </c>
      <c r="L81" s="2" t="s">
        <v>276</v>
      </c>
      <c r="M81" s="2" t="s">
        <v>277</v>
      </c>
      <c r="N81" s="2" t="s">
        <v>419</v>
      </c>
      <c r="O81" s="2" t="s">
        <v>90</v>
      </c>
      <c r="P81" s="2" t="str">
        <f t="shared" si="3"/>
        <v xml:space="preserve">NO REF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11.35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1.5</v>
      </c>
      <c r="BJ81" s="2">
        <v>1.8</v>
      </c>
      <c r="BK81" s="2">
        <v>2</v>
      </c>
      <c r="BL81" s="2">
        <v>107.61</v>
      </c>
      <c r="BM81" s="2">
        <v>15.07</v>
      </c>
      <c r="BN81" s="2">
        <v>122.68</v>
      </c>
      <c r="BO81" s="2">
        <v>122.68</v>
      </c>
      <c r="BQ81" s="2" t="s">
        <v>417</v>
      </c>
      <c r="BR81" s="2" t="s">
        <v>92</v>
      </c>
      <c r="BS81" s="3">
        <v>42871</v>
      </c>
      <c r="BT81" s="4">
        <v>0.49652777777777773</v>
      </c>
      <c r="BU81" s="2" t="s">
        <v>420</v>
      </c>
      <c r="BV81" s="2" t="s">
        <v>84</v>
      </c>
      <c r="BY81" s="2">
        <v>8878</v>
      </c>
      <c r="CC81" s="2" t="s">
        <v>277</v>
      </c>
      <c r="CD81" s="2">
        <v>2745</v>
      </c>
      <c r="CE81" s="2" t="s">
        <v>85</v>
      </c>
      <c r="CF81" s="3">
        <v>42872</v>
      </c>
      <c r="CI81" s="2">
        <v>1</v>
      </c>
      <c r="CJ81" s="2">
        <v>1</v>
      </c>
      <c r="CK81" s="2" t="s">
        <v>173</v>
      </c>
      <c r="CL81" s="2" t="s">
        <v>86</v>
      </c>
    </row>
    <row r="82" spans="1:90">
      <c r="A82" s="2" t="s">
        <v>71</v>
      </c>
      <c r="B82" s="2" t="s">
        <v>72</v>
      </c>
      <c r="C82" s="2" t="s">
        <v>73</v>
      </c>
      <c r="E82" s="2" t="str">
        <f>"009936325376"</f>
        <v>009936325376</v>
      </c>
      <c r="F82" s="3">
        <v>42870</v>
      </c>
      <c r="G82" s="2">
        <v>201711</v>
      </c>
      <c r="H82" s="2" t="s">
        <v>78</v>
      </c>
      <c r="I82" s="2" t="s">
        <v>79</v>
      </c>
      <c r="J82" s="2" t="s">
        <v>76</v>
      </c>
      <c r="K82" s="2" t="s">
        <v>77</v>
      </c>
      <c r="L82" s="2" t="s">
        <v>421</v>
      </c>
      <c r="M82" s="2" t="s">
        <v>422</v>
      </c>
      <c r="N82" s="2" t="s">
        <v>423</v>
      </c>
      <c r="O82" s="2" t="s">
        <v>90</v>
      </c>
      <c r="P82" s="2" t="str">
        <f t="shared" si="3"/>
        <v xml:space="preserve">NO REF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11.35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0.8</v>
      </c>
      <c r="BJ82" s="2">
        <v>0.8</v>
      </c>
      <c r="BK82" s="2">
        <v>1</v>
      </c>
      <c r="BL82" s="2">
        <v>107.61</v>
      </c>
      <c r="BM82" s="2">
        <v>15.07</v>
      </c>
      <c r="BN82" s="2">
        <v>122.68</v>
      </c>
      <c r="BO82" s="2">
        <v>122.68</v>
      </c>
      <c r="BQ82" s="2" t="s">
        <v>424</v>
      </c>
      <c r="BR82" s="2" t="s">
        <v>92</v>
      </c>
      <c r="BS82" s="3">
        <v>42871</v>
      </c>
      <c r="BT82" s="4">
        <v>0.42986111111111108</v>
      </c>
      <c r="BU82" s="2" t="s">
        <v>425</v>
      </c>
      <c r="BV82" s="2" t="s">
        <v>84</v>
      </c>
      <c r="BY82" s="2">
        <v>3949.3</v>
      </c>
      <c r="CA82" s="2" t="s">
        <v>426</v>
      </c>
      <c r="CC82" s="2" t="s">
        <v>422</v>
      </c>
      <c r="CD82" s="2">
        <v>6849</v>
      </c>
      <c r="CE82" s="2" t="s">
        <v>85</v>
      </c>
      <c r="CF82" s="3">
        <v>42871</v>
      </c>
      <c r="CI82" s="2">
        <v>4</v>
      </c>
      <c r="CJ82" s="2">
        <v>1</v>
      </c>
      <c r="CK82" s="2" t="s">
        <v>128</v>
      </c>
      <c r="CL82" s="2" t="s">
        <v>86</v>
      </c>
    </row>
    <row r="83" spans="1:90">
      <c r="A83" s="2" t="s">
        <v>71</v>
      </c>
      <c r="B83" s="2" t="s">
        <v>72</v>
      </c>
      <c r="C83" s="2" t="s">
        <v>73</v>
      </c>
      <c r="E83" s="2" t="str">
        <f>"009936325380"</f>
        <v>009936325380</v>
      </c>
      <c r="F83" s="3">
        <v>42870</v>
      </c>
      <c r="G83" s="2">
        <v>201711</v>
      </c>
      <c r="H83" s="2" t="s">
        <v>78</v>
      </c>
      <c r="I83" s="2" t="s">
        <v>79</v>
      </c>
      <c r="J83" s="2" t="s">
        <v>76</v>
      </c>
      <c r="K83" s="2" t="s">
        <v>77</v>
      </c>
      <c r="L83" s="2" t="s">
        <v>101</v>
      </c>
      <c r="M83" s="2" t="s">
        <v>102</v>
      </c>
      <c r="N83" s="2" t="s">
        <v>427</v>
      </c>
      <c r="O83" s="2" t="s">
        <v>90</v>
      </c>
      <c r="P83" s="2" t="str">
        <f t="shared" si="3"/>
        <v xml:space="preserve">NO REF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6.55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0.8</v>
      </c>
      <c r="BJ83" s="2">
        <v>2.8</v>
      </c>
      <c r="BK83" s="2">
        <v>3</v>
      </c>
      <c r="BL83" s="2">
        <v>64.2</v>
      </c>
      <c r="BM83" s="2">
        <v>8.99</v>
      </c>
      <c r="BN83" s="2">
        <v>73.19</v>
      </c>
      <c r="BO83" s="2">
        <v>73.19</v>
      </c>
      <c r="BQ83" s="2" t="s">
        <v>428</v>
      </c>
      <c r="BR83" s="2" t="s">
        <v>92</v>
      </c>
      <c r="BS83" s="3">
        <v>42871</v>
      </c>
      <c r="BT83" s="4">
        <v>0.29166666666666669</v>
      </c>
      <c r="BU83" s="2" t="s">
        <v>429</v>
      </c>
      <c r="BV83" s="2" t="s">
        <v>84</v>
      </c>
      <c r="BY83" s="2">
        <v>13837.6</v>
      </c>
      <c r="CC83" s="2" t="s">
        <v>102</v>
      </c>
      <c r="CD83" s="2">
        <v>4000</v>
      </c>
      <c r="CE83" s="2" t="s">
        <v>85</v>
      </c>
      <c r="CF83" s="3">
        <v>42872</v>
      </c>
      <c r="CI83" s="2">
        <v>1</v>
      </c>
      <c r="CJ83" s="2">
        <v>1</v>
      </c>
      <c r="CK83" s="2" t="s">
        <v>100</v>
      </c>
      <c r="CL83" s="2" t="s">
        <v>86</v>
      </c>
    </row>
    <row r="84" spans="1:90">
      <c r="A84" s="2" t="s">
        <v>71</v>
      </c>
      <c r="B84" s="2" t="s">
        <v>72</v>
      </c>
      <c r="C84" s="2" t="s">
        <v>73</v>
      </c>
      <c r="E84" s="2" t="str">
        <f>"009936325378"</f>
        <v>009936325378</v>
      </c>
      <c r="F84" s="3">
        <v>42870</v>
      </c>
      <c r="G84" s="2">
        <v>201711</v>
      </c>
      <c r="H84" s="2" t="s">
        <v>78</v>
      </c>
      <c r="I84" s="2" t="s">
        <v>79</v>
      </c>
      <c r="J84" s="2" t="s">
        <v>76</v>
      </c>
      <c r="K84" s="2" t="s">
        <v>77</v>
      </c>
      <c r="L84" s="2" t="s">
        <v>421</v>
      </c>
      <c r="M84" s="2" t="s">
        <v>422</v>
      </c>
      <c r="N84" s="2" t="s">
        <v>430</v>
      </c>
      <c r="O84" s="2" t="s">
        <v>90</v>
      </c>
      <c r="P84" s="2" t="str">
        <f>"NA                            "</f>
        <v xml:space="preserve">NA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11.35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1.5</v>
      </c>
      <c r="BJ84" s="2">
        <v>3.8</v>
      </c>
      <c r="BK84" s="2">
        <v>4</v>
      </c>
      <c r="BL84" s="2">
        <v>107.61</v>
      </c>
      <c r="BM84" s="2">
        <v>15.07</v>
      </c>
      <c r="BN84" s="2">
        <v>122.68</v>
      </c>
      <c r="BO84" s="2">
        <v>122.68</v>
      </c>
      <c r="BQ84" s="2" t="s">
        <v>431</v>
      </c>
      <c r="BR84" s="2" t="s">
        <v>92</v>
      </c>
      <c r="BS84" s="3">
        <v>42871</v>
      </c>
      <c r="BT84" s="4">
        <v>0.45416666666666666</v>
      </c>
      <c r="BU84" s="2" t="s">
        <v>142</v>
      </c>
      <c r="BV84" s="2" t="s">
        <v>84</v>
      </c>
      <c r="BY84" s="2">
        <v>18952.61</v>
      </c>
      <c r="CA84" s="2" t="s">
        <v>426</v>
      </c>
      <c r="CC84" s="2" t="s">
        <v>422</v>
      </c>
      <c r="CD84" s="2">
        <v>6849</v>
      </c>
      <c r="CE84" s="2" t="s">
        <v>85</v>
      </c>
      <c r="CF84" s="3">
        <v>42871</v>
      </c>
      <c r="CI84" s="2">
        <v>4</v>
      </c>
      <c r="CJ84" s="2">
        <v>1</v>
      </c>
      <c r="CK84" s="2" t="s">
        <v>128</v>
      </c>
      <c r="CL84" s="2" t="s">
        <v>86</v>
      </c>
    </row>
    <row r="85" spans="1:90">
      <c r="A85" s="2" t="s">
        <v>71</v>
      </c>
      <c r="B85" s="2" t="s">
        <v>72</v>
      </c>
      <c r="C85" s="2" t="s">
        <v>73</v>
      </c>
      <c r="E85" s="2" t="str">
        <f>"009936325377"</f>
        <v>009936325377</v>
      </c>
      <c r="F85" s="3">
        <v>42870</v>
      </c>
      <c r="G85" s="2">
        <v>201711</v>
      </c>
      <c r="H85" s="2" t="s">
        <v>78</v>
      </c>
      <c r="I85" s="2" t="s">
        <v>79</v>
      </c>
      <c r="J85" s="2" t="s">
        <v>76</v>
      </c>
      <c r="K85" s="2" t="s">
        <v>77</v>
      </c>
      <c r="L85" s="2" t="s">
        <v>432</v>
      </c>
      <c r="M85" s="2" t="s">
        <v>433</v>
      </c>
      <c r="N85" s="2" t="s">
        <v>434</v>
      </c>
      <c r="O85" s="2" t="s">
        <v>90</v>
      </c>
      <c r="P85" s="2" t="str">
        <f>"NO REF                        "</f>
        <v xml:space="preserve">NO REF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9.5299999999999994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0.8</v>
      </c>
      <c r="BJ85" s="2">
        <v>1.3</v>
      </c>
      <c r="BK85" s="2">
        <v>2</v>
      </c>
      <c r="BL85" s="2">
        <v>91.17</v>
      </c>
      <c r="BM85" s="2">
        <v>12.76</v>
      </c>
      <c r="BN85" s="2">
        <v>103.93</v>
      </c>
      <c r="BO85" s="2">
        <v>103.93</v>
      </c>
      <c r="BQ85" s="2" t="s">
        <v>435</v>
      </c>
      <c r="BR85" s="2" t="s">
        <v>92</v>
      </c>
      <c r="BS85" s="3">
        <v>42871</v>
      </c>
      <c r="BT85" s="4">
        <v>0.43402777777777773</v>
      </c>
      <c r="BU85" s="2" t="s">
        <v>436</v>
      </c>
      <c r="BV85" s="2" t="s">
        <v>84</v>
      </c>
      <c r="BY85" s="2">
        <v>6349.62</v>
      </c>
      <c r="CC85" s="2" t="s">
        <v>433</v>
      </c>
      <c r="CD85" s="2">
        <v>2270</v>
      </c>
      <c r="CE85" s="2" t="s">
        <v>85</v>
      </c>
      <c r="CF85" s="3">
        <v>42872</v>
      </c>
      <c r="CI85" s="2">
        <v>1</v>
      </c>
      <c r="CJ85" s="2">
        <v>1</v>
      </c>
      <c r="CK85" s="2" t="s">
        <v>137</v>
      </c>
      <c r="CL85" s="2" t="s">
        <v>86</v>
      </c>
    </row>
    <row r="86" spans="1:90">
      <c r="A86" s="2" t="s">
        <v>71</v>
      </c>
      <c r="B86" s="2" t="s">
        <v>72</v>
      </c>
      <c r="C86" s="2" t="s">
        <v>73</v>
      </c>
      <c r="E86" s="2" t="str">
        <f>"009936325375"</f>
        <v>009936325375</v>
      </c>
      <c r="F86" s="3">
        <v>42870</v>
      </c>
      <c r="G86" s="2">
        <v>201711</v>
      </c>
      <c r="H86" s="2" t="s">
        <v>78</v>
      </c>
      <c r="I86" s="2" t="s">
        <v>79</v>
      </c>
      <c r="J86" s="2" t="s">
        <v>76</v>
      </c>
      <c r="K86" s="2" t="s">
        <v>77</v>
      </c>
      <c r="L86" s="2" t="s">
        <v>134</v>
      </c>
      <c r="M86" s="2" t="s">
        <v>75</v>
      </c>
      <c r="N86" s="2" t="s">
        <v>437</v>
      </c>
      <c r="O86" s="2" t="s">
        <v>90</v>
      </c>
      <c r="P86" s="2" t="str">
        <f>"NO REF                        "</f>
        <v xml:space="preserve">NO REF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9.5299999999999994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0.8</v>
      </c>
      <c r="BJ86" s="2">
        <v>3.8</v>
      </c>
      <c r="BK86" s="2">
        <v>4</v>
      </c>
      <c r="BL86" s="2">
        <v>91.17</v>
      </c>
      <c r="BM86" s="2">
        <v>12.76</v>
      </c>
      <c r="BN86" s="2">
        <v>103.93</v>
      </c>
      <c r="BO86" s="2">
        <v>103.93</v>
      </c>
      <c r="BQ86" s="2" t="s">
        <v>438</v>
      </c>
      <c r="BR86" s="2" t="s">
        <v>92</v>
      </c>
      <c r="BS86" s="3">
        <v>42871</v>
      </c>
      <c r="BT86" s="4">
        <v>0.3923611111111111</v>
      </c>
      <c r="BU86" s="2" t="s">
        <v>439</v>
      </c>
      <c r="BV86" s="2" t="s">
        <v>84</v>
      </c>
      <c r="BY86" s="2">
        <v>19080.45</v>
      </c>
      <c r="CC86" s="2" t="s">
        <v>75</v>
      </c>
      <c r="CD86" s="2">
        <v>8000</v>
      </c>
      <c r="CE86" s="2" t="s">
        <v>85</v>
      </c>
      <c r="CF86" s="3">
        <v>42872</v>
      </c>
      <c r="CI86" s="2">
        <v>2</v>
      </c>
      <c r="CJ86" s="2">
        <v>1</v>
      </c>
      <c r="CK86" s="2" t="s">
        <v>137</v>
      </c>
      <c r="CL86" s="2" t="s">
        <v>86</v>
      </c>
    </row>
    <row r="87" spans="1:90">
      <c r="A87" s="2" t="s">
        <v>71</v>
      </c>
      <c r="B87" s="2" t="s">
        <v>72</v>
      </c>
      <c r="C87" s="2" t="s">
        <v>73</v>
      </c>
      <c r="E87" s="2" t="str">
        <f>"039902660792"</f>
        <v>039902660792</v>
      </c>
      <c r="F87" s="3">
        <v>42870</v>
      </c>
      <c r="G87" s="2">
        <v>201711</v>
      </c>
      <c r="H87" s="2" t="s">
        <v>440</v>
      </c>
      <c r="I87" s="2" t="s">
        <v>441</v>
      </c>
      <c r="J87" s="2" t="s">
        <v>442</v>
      </c>
      <c r="K87" s="2" t="s">
        <v>77</v>
      </c>
      <c r="L87" s="2" t="s">
        <v>443</v>
      </c>
      <c r="M87" s="2" t="s">
        <v>444</v>
      </c>
      <c r="N87" s="2" t="s">
        <v>445</v>
      </c>
      <c r="O87" s="2" t="s">
        <v>90</v>
      </c>
      <c r="P87" s="2" t="str">
        <f>"                              "</f>
        <v xml:space="preserve"> 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13.1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0.4</v>
      </c>
      <c r="BJ87" s="2">
        <v>0.2</v>
      </c>
      <c r="BK87" s="2">
        <v>1</v>
      </c>
      <c r="BL87" s="2">
        <v>123.4</v>
      </c>
      <c r="BM87" s="2">
        <v>17.28</v>
      </c>
      <c r="BN87" s="2">
        <v>140.68</v>
      </c>
      <c r="BO87" s="2">
        <v>140.68</v>
      </c>
      <c r="BQ87" s="2" t="s">
        <v>338</v>
      </c>
      <c r="BS87" s="3">
        <v>42872</v>
      </c>
      <c r="BT87" s="4">
        <v>0.44791666666666669</v>
      </c>
      <c r="BU87" s="2" t="s">
        <v>446</v>
      </c>
      <c r="BV87" s="2" t="s">
        <v>84</v>
      </c>
      <c r="BY87" s="2">
        <v>6238.44</v>
      </c>
      <c r="CA87" s="2" t="s">
        <v>447</v>
      </c>
      <c r="CC87" s="2" t="s">
        <v>444</v>
      </c>
      <c r="CD87" s="2">
        <v>7380</v>
      </c>
      <c r="CE87" s="2" t="s">
        <v>85</v>
      </c>
      <c r="CF87" s="3">
        <v>42872</v>
      </c>
      <c r="CI87" s="2">
        <v>3</v>
      </c>
      <c r="CJ87" s="2">
        <v>2</v>
      </c>
      <c r="CK87" s="2" t="s">
        <v>180</v>
      </c>
      <c r="CL87" s="2" t="s">
        <v>86</v>
      </c>
    </row>
    <row r="88" spans="1:90">
      <c r="A88" s="2" t="s">
        <v>71</v>
      </c>
      <c r="B88" s="2" t="s">
        <v>72</v>
      </c>
      <c r="C88" s="2" t="s">
        <v>73</v>
      </c>
      <c r="E88" s="2" t="str">
        <f>"009936325379"</f>
        <v>009936325379</v>
      </c>
      <c r="F88" s="3">
        <v>42870</v>
      </c>
      <c r="G88" s="2">
        <v>201711</v>
      </c>
      <c r="H88" s="2" t="s">
        <v>78</v>
      </c>
      <c r="I88" s="2" t="s">
        <v>79</v>
      </c>
      <c r="J88" s="2" t="s">
        <v>76</v>
      </c>
      <c r="K88" s="2" t="s">
        <v>77</v>
      </c>
      <c r="L88" s="2" t="s">
        <v>153</v>
      </c>
      <c r="M88" s="2" t="s">
        <v>154</v>
      </c>
      <c r="N88" s="2" t="s">
        <v>448</v>
      </c>
      <c r="O88" s="2" t="s">
        <v>90</v>
      </c>
      <c r="P88" s="2" t="str">
        <f>"NO REF                        "</f>
        <v xml:space="preserve">NO REF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9.4600000000000009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0.1</v>
      </c>
      <c r="BJ88" s="2">
        <v>0.2</v>
      </c>
      <c r="BK88" s="2">
        <v>1</v>
      </c>
      <c r="BL88" s="2">
        <v>90.51</v>
      </c>
      <c r="BM88" s="2">
        <v>12.67</v>
      </c>
      <c r="BN88" s="2">
        <v>103.18</v>
      </c>
      <c r="BO88" s="2">
        <v>103.18</v>
      </c>
      <c r="BQ88" s="2" t="s">
        <v>449</v>
      </c>
      <c r="BR88" s="2" t="s">
        <v>92</v>
      </c>
      <c r="BS88" s="3">
        <v>42871</v>
      </c>
      <c r="BT88" s="4">
        <v>0.35416666666666669</v>
      </c>
      <c r="BU88" s="2" t="s">
        <v>450</v>
      </c>
      <c r="BV88" s="2" t="s">
        <v>84</v>
      </c>
      <c r="BY88" s="2">
        <v>1200</v>
      </c>
      <c r="CA88" s="2" t="s">
        <v>329</v>
      </c>
      <c r="CC88" s="2" t="s">
        <v>154</v>
      </c>
      <c r="CD88" s="2">
        <v>3200</v>
      </c>
      <c r="CE88" s="2" t="s">
        <v>85</v>
      </c>
      <c r="CF88" s="3">
        <v>42871</v>
      </c>
      <c r="CI88" s="2">
        <v>1</v>
      </c>
      <c r="CJ88" s="2">
        <v>1</v>
      </c>
      <c r="CK88" s="2" t="s">
        <v>158</v>
      </c>
      <c r="CL88" s="2" t="s">
        <v>86</v>
      </c>
    </row>
    <row r="89" spans="1:90">
      <c r="A89" s="2" t="s">
        <v>71</v>
      </c>
      <c r="B89" s="2" t="s">
        <v>72</v>
      </c>
      <c r="C89" s="2" t="s">
        <v>73</v>
      </c>
      <c r="E89" s="2" t="str">
        <f>"009936325370"</f>
        <v>009936325370</v>
      </c>
      <c r="F89" s="3">
        <v>42870</v>
      </c>
      <c r="G89" s="2">
        <v>201711</v>
      </c>
      <c r="H89" s="2" t="s">
        <v>78</v>
      </c>
      <c r="I89" s="2" t="s">
        <v>79</v>
      </c>
      <c r="J89" s="2" t="s">
        <v>76</v>
      </c>
      <c r="K89" s="2" t="s">
        <v>77</v>
      </c>
      <c r="L89" s="2" t="s">
        <v>451</v>
      </c>
      <c r="M89" s="2" t="s">
        <v>452</v>
      </c>
      <c r="N89" s="2" t="s">
        <v>453</v>
      </c>
      <c r="O89" s="2" t="s">
        <v>397</v>
      </c>
      <c r="P89" s="2" t="str">
        <f t="shared" ref="P89:P94" si="4">"NA                            "</f>
        <v xml:space="preserve">NA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26.98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108.02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1.3</v>
      </c>
      <c r="BJ89" s="2">
        <v>1</v>
      </c>
      <c r="BK89" s="2">
        <v>1.5</v>
      </c>
      <c r="BL89" s="2">
        <v>351.87</v>
      </c>
      <c r="BM89" s="2">
        <v>0</v>
      </c>
      <c r="BN89" s="2">
        <v>351.87</v>
      </c>
      <c r="BO89" s="2">
        <v>351.87</v>
      </c>
      <c r="BQ89" s="2" t="s">
        <v>454</v>
      </c>
      <c r="BR89" s="2" t="s">
        <v>92</v>
      </c>
      <c r="BS89" s="2" t="s">
        <v>455</v>
      </c>
      <c r="BY89" s="2">
        <v>4789.26</v>
      </c>
      <c r="BZ89" s="2" t="s">
        <v>402</v>
      </c>
      <c r="CC89" s="2" t="s">
        <v>452</v>
      </c>
      <c r="CD89" s="2" t="s">
        <v>456</v>
      </c>
      <c r="CE89" s="2" t="s">
        <v>404</v>
      </c>
      <c r="CI89" s="2">
        <v>0</v>
      </c>
      <c r="CJ89" s="2">
        <v>0</v>
      </c>
      <c r="CK89" s="2">
        <v>501</v>
      </c>
      <c r="CL89" s="2" t="s">
        <v>86</v>
      </c>
    </row>
    <row r="90" spans="1:90">
      <c r="A90" s="2" t="s">
        <v>71</v>
      </c>
      <c r="B90" s="2" t="s">
        <v>72</v>
      </c>
      <c r="C90" s="2" t="s">
        <v>73</v>
      </c>
      <c r="E90" s="2" t="str">
        <f>"009936325332"</f>
        <v>009936325332</v>
      </c>
      <c r="F90" s="3">
        <v>42871</v>
      </c>
      <c r="G90" s="2">
        <v>201711</v>
      </c>
      <c r="H90" s="2" t="s">
        <v>78</v>
      </c>
      <c r="I90" s="2" t="s">
        <v>79</v>
      </c>
      <c r="J90" s="2" t="s">
        <v>76</v>
      </c>
      <c r="K90" s="2" t="s">
        <v>77</v>
      </c>
      <c r="L90" s="2" t="s">
        <v>174</v>
      </c>
      <c r="M90" s="2" t="s">
        <v>175</v>
      </c>
      <c r="N90" s="2" t="s">
        <v>457</v>
      </c>
      <c r="O90" s="2" t="s">
        <v>90</v>
      </c>
      <c r="P90" s="2" t="str">
        <f t="shared" si="4"/>
        <v xml:space="preserve">NA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13.1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0.2</v>
      </c>
      <c r="BK90" s="2">
        <v>1</v>
      </c>
      <c r="BL90" s="2">
        <v>123.4</v>
      </c>
      <c r="BM90" s="2">
        <v>17.28</v>
      </c>
      <c r="BN90" s="2">
        <v>140.68</v>
      </c>
      <c r="BO90" s="2">
        <v>140.68</v>
      </c>
      <c r="BQ90" s="2" t="s">
        <v>458</v>
      </c>
      <c r="BR90" s="2" t="s">
        <v>92</v>
      </c>
      <c r="BS90" s="3">
        <v>42872</v>
      </c>
      <c r="BT90" s="4">
        <v>0.4458333333333333</v>
      </c>
      <c r="BU90" s="2" t="s">
        <v>458</v>
      </c>
      <c r="BY90" s="2">
        <v>1200</v>
      </c>
      <c r="CC90" s="2" t="s">
        <v>175</v>
      </c>
      <c r="CD90" s="2">
        <v>6500</v>
      </c>
      <c r="CE90" s="2" t="s">
        <v>85</v>
      </c>
      <c r="CF90" s="3">
        <v>42873</v>
      </c>
      <c r="CI90" s="2">
        <v>0</v>
      </c>
      <c r="CJ90" s="2">
        <v>0</v>
      </c>
      <c r="CK90" s="2" t="s">
        <v>180</v>
      </c>
      <c r="CL90" s="2" t="s">
        <v>86</v>
      </c>
    </row>
    <row r="91" spans="1:90">
      <c r="A91" s="2" t="s">
        <v>71</v>
      </c>
      <c r="B91" s="2" t="s">
        <v>72</v>
      </c>
      <c r="C91" s="2" t="s">
        <v>73</v>
      </c>
      <c r="E91" s="2" t="str">
        <f>"009936325330"</f>
        <v>009936325330</v>
      </c>
      <c r="F91" s="3">
        <v>42871</v>
      </c>
      <c r="G91" s="2">
        <v>201711</v>
      </c>
      <c r="H91" s="2" t="s">
        <v>78</v>
      </c>
      <c r="I91" s="2" t="s">
        <v>79</v>
      </c>
      <c r="J91" s="2" t="s">
        <v>76</v>
      </c>
      <c r="K91" s="2" t="s">
        <v>77</v>
      </c>
      <c r="L91" s="2" t="s">
        <v>181</v>
      </c>
      <c r="M91" s="2" t="s">
        <v>182</v>
      </c>
      <c r="N91" s="2" t="s">
        <v>459</v>
      </c>
      <c r="O91" s="2" t="s">
        <v>90</v>
      </c>
      <c r="P91" s="2" t="str">
        <f t="shared" si="4"/>
        <v xml:space="preserve">NA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11.35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0.8</v>
      </c>
      <c r="BJ91" s="2">
        <v>1.5</v>
      </c>
      <c r="BK91" s="2">
        <v>2</v>
      </c>
      <c r="BL91" s="2">
        <v>107.61</v>
      </c>
      <c r="BM91" s="2">
        <v>15.07</v>
      </c>
      <c r="BN91" s="2">
        <v>122.68</v>
      </c>
      <c r="BO91" s="2">
        <v>122.68</v>
      </c>
      <c r="BQ91" s="2" t="s">
        <v>460</v>
      </c>
      <c r="BR91" s="2" t="s">
        <v>92</v>
      </c>
      <c r="BS91" s="3">
        <v>42872</v>
      </c>
      <c r="BT91" s="4">
        <v>0.54166666666666663</v>
      </c>
      <c r="BU91" s="2" t="s">
        <v>461</v>
      </c>
      <c r="BV91" s="2" t="s">
        <v>84</v>
      </c>
      <c r="BY91" s="2">
        <v>7690.45</v>
      </c>
      <c r="CC91" s="2" t="s">
        <v>182</v>
      </c>
      <c r="CD91" s="2">
        <v>4265</v>
      </c>
      <c r="CE91" s="2" t="s">
        <v>85</v>
      </c>
      <c r="CF91" s="3">
        <v>42873</v>
      </c>
      <c r="CI91" s="2">
        <v>1</v>
      </c>
      <c r="CJ91" s="2">
        <v>1</v>
      </c>
      <c r="CK91" s="2" t="s">
        <v>128</v>
      </c>
      <c r="CL91" s="2" t="s">
        <v>86</v>
      </c>
    </row>
    <row r="92" spans="1:90">
      <c r="A92" s="2" t="s">
        <v>71</v>
      </c>
      <c r="B92" s="2" t="s">
        <v>72</v>
      </c>
      <c r="C92" s="2" t="s">
        <v>73</v>
      </c>
      <c r="E92" s="2" t="str">
        <f>"009936325329"</f>
        <v>009936325329</v>
      </c>
      <c r="F92" s="3">
        <v>42871</v>
      </c>
      <c r="G92" s="2">
        <v>201711</v>
      </c>
      <c r="H92" s="2" t="s">
        <v>78</v>
      </c>
      <c r="I92" s="2" t="s">
        <v>79</v>
      </c>
      <c r="J92" s="2" t="s">
        <v>76</v>
      </c>
      <c r="K92" s="2" t="s">
        <v>77</v>
      </c>
      <c r="L92" s="2" t="s">
        <v>129</v>
      </c>
      <c r="M92" s="2" t="s">
        <v>130</v>
      </c>
      <c r="N92" s="2" t="s">
        <v>462</v>
      </c>
      <c r="O92" s="2" t="s">
        <v>90</v>
      </c>
      <c r="P92" s="2" t="str">
        <f t="shared" si="4"/>
        <v xml:space="preserve">NA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6.55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0.5</v>
      </c>
      <c r="BJ92" s="2">
        <v>0.7</v>
      </c>
      <c r="BK92" s="2">
        <v>1</v>
      </c>
      <c r="BL92" s="2">
        <v>64.2</v>
      </c>
      <c r="BM92" s="2">
        <v>8.99</v>
      </c>
      <c r="BN92" s="2">
        <v>73.19</v>
      </c>
      <c r="BO92" s="2">
        <v>73.19</v>
      </c>
      <c r="BQ92" s="2" t="s">
        <v>463</v>
      </c>
      <c r="BR92" s="2" t="s">
        <v>92</v>
      </c>
      <c r="BS92" s="3">
        <v>42872</v>
      </c>
      <c r="BT92" s="4">
        <v>0.4777777777777778</v>
      </c>
      <c r="BU92" s="2" t="s">
        <v>464</v>
      </c>
      <c r="BV92" s="2" t="s">
        <v>84</v>
      </c>
      <c r="BY92" s="2">
        <v>3713.25</v>
      </c>
      <c r="CC92" s="2" t="s">
        <v>130</v>
      </c>
      <c r="CD92" s="2">
        <v>9300</v>
      </c>
      <c r="CE92" s="2" t="s">
        <v>85</v>
      </c>
      <c r="CF92" s="3">
        <v>42874</v>
      </c>
      <c r="CI92" s="2">
        <v>1</v>
      </c>
      <c r="CJ92" s="2">
        <v>1</v>
      </c>
      <c r="CK92" s="2" t="s">
        <v>112</v>
      </c>
      <c r="CL92" s="2" t="s">
        <v>86</v>
      </c>
    </row>
    <row r="93" spans="1:90">
      <c r="A93" s="2" t="s">
        <v>71</v>
      </c>
      <c r="B93" s="2" t="s">
        <v>72</v>
      </c>
      <c r="C93" s="2" t="s">
        <v>73</v>
      </c>
      <c r="E93" s="2" t="str">
        <f>"009936325334"</f>
        <v>009936325334</v>
      </c>
      <c r="F93" s="3">
        <v>42871</v>
      </c>
      <c r="G93" s="2">
        <v>201711</v>
      </c>
      <c r="H93" s="2" t="s">
        <v>78</v>
      </c>
      <c r="I93" s="2" t="s">
        <v>79</v>
      </c>
      <c r="J93" s="2" t="s">
        <v>76</v>
      </c>
      <c r="K93" s="2" t="s">
        <v>77</v>
      </c>
      <c r="L93" s="2" t="s">
        <v>134</v>
      </c>
      <c r="M93" s="2" t="s">
        <v>75</v>
      </c>
      <c r="N93" s="2" t="s">
        <v>465</v>
      </c>
      <c r="O93" s="2" t="s">
        <v>90</v>
      </c>
      <c r="P93" s="2" t="str">
        <f t="shared" si="4"/>
        <v xml:space="preserve">NA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9.5299999999999994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0.8</v>
      </c>
      <c r="BJ93" s="2">
        <v>1</v>
      </c>
      <c r="BK93" s="2">
        <v>1</v>
      </c>
      <c r="BL93" s="2">
        <v>91.17</v>
      </c>
      <c r="BM93" s="2">
        <v>12.76</v>
      </c>
      <c r="BN93" s="2">
        <v>103.93</v>
      </c>
      <c r="BO93" s="2">
        <v>103.93</v>
      </c>
      <c r="BQ93" s="2" t="s">
        <v>466</v>
      </c>
      <c r="BR93" s="2" t="s">
        <v>92</v>
      </c>
      <c r="BS93" s="3">
        <v>42872</v>
      </c>
      <c r="BT93" s="4">
        <v>0.41666666666666669</v>
      </c>
      <c r="BU93" s="2" t="s">
        <v>467</v>
      </c>
      <c r="BV93" s="2" t="s">
        <v>84</v>
      </c>
      <c r="BY93" s="2">
        <v>5014.8</v>
      </c>
      <c r="CC93" s="2" t="s">
        <v>75</v>
      </c>
      <c r="CD93" s="2">
        <v>7459</v>
      </c>
      <c r="CE93" s="2" t="s">
        <v>85</v>
      </c>
      <c r="CF93" s="3">
        <v>42873</v>
      </c>
      <c r="CI93" s="2">
        <v>2</v>
      </c>
      <c r="CJ93" s="2">
        <v>1</v>
      </c>
      <c r="CK93" s="2" t="s">
        <v>137</v>
      </c>
      <c r="CL93" s="2" t="s">
        <v>86</v>
      </c>
    </row>
    <row r="94" spans="1:90">
      <c r="A94" s="2" t="s">
        <v>71</v>
      </c>
      <c r="B94" s="2" t="s">
        <v>72</v>
      </c>
      <c r="C94" s="2" t="s">
        <v>73</v>
      </c>
      <c r="E94" s="2" t="str">
        <f>"009936325328"</f>
        <v>009936325328</v>
      </c>
      <c r="F94" s="3">
        <v>42871</v>
      </c>
      <c r="G94" s="2">
        <v>201711</v>
      </c>
      <c r="H94" s="2" t="s">
        <v>78</v>
      </c>
      <c r="I94" s="2" t="s">
        <v>79</v>
      </c>
      <c r="J94" s="2" t="s">
        <v>76</v>
      </c>
      <c r="K94" s="2" t="s">
        <v>77</v>
      </c>
      <c r="L94" s="2" t="s">
        <v>276</v>
      </c>
      <c r="M94" s="2" t="s">
        <v>277</v>
      </c>
      <c r="N94" s="2" t="s">
        <v>468</v>
      </c>
      <c r="O94" s="2" t="s">
        <v>90</v>
      </c>
      <c r="P94" s="2" t="str">
        <f t="shared" si="4"/>
        <v xml:space="preserve">NA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11.35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1</v>
      </c>
      <c r="BJ94" s="2">
        <v>0.2</v>
      </c>
      <c r="BK94" s="2">
        <v>1</v>
      </c>
      <c r="BL94" s="2">
        <v>107.61</v>
      </c>
      <c r="BM94" s="2">
        <v>15.07</v>
      </c>
      <c r="BN94" s="2">
        <v>122.68</v>
      </c>
      <c r="BO94" s="2">
        <v>122.68</v>
      </c>
      <c r="BQ94" s="2" t="s">
        <v>469</v>
      </c>
      <c r="BR94" s="2" t="s">
        <v>92</v>
      </c>
      <c r="BS94" s="3">
        <v>42872</v>
      </c>
      <c r="BT94" s="4">
        <v>0.48958333333333331</v>
      </c>
      <c r="BU94" s="2" t="s">
        <v>470</v>
      </c>
      <c r="BV94" s="2" t="s">
        <v>84</v>
      </c>
      <c r="BY94" s="2">
        <v>1200</v>
      </c>
      <c r="CC94" s="2" t="s">
        <v>277</v>
      </c>
      <c r="CD94" s="2">
        <v>2745</v>
      </c>
      <c r="CE94" s="2" t="s">
        <v>85</v>
      </c>
      <c r="CF94" s="3">
        <v>42873</v>
      </c>
      <c r="CI94" s="2">
        <v>1</v>
      </c>
      <c r="CJ94" s="2">
        <v>1</v>
      </c>
      <c r="CK94" s="2" t="s">
        <v>173</v>
      </c>
      <c r="CL94" s="2" t="s">
        <v>86</v>
      </c>
    </row>
    <row r="95" spans="1:90">
      <c r="A95" s="2" t="s">
        <v>71</v>
      </c>
      <c r="B95" s="2" t="s">
        <v>72</v>
      </c>
      <c r="C95" s="2" t="s">
        <v>73</v>
      </c>
      <c r="E95" s="2" t="str">
        <f>"009936325327"</f>
        <v>009936325327</v>
      </c>
      <c r="F95" s="3">
        <v>42871</v>
      </c>
      <c r="G95" s="2">
        <v>201711</v>
      </c>
      <c r="H95" s="2" t="s">
        <v>78</v>
      </c>
      <c r="I95" s="2" t="s">
        <v>79</v>
      </c>
      <c r="J95" s="2" t="s">
        <v>76</v>
      </c>
      <c r="K95" s="2" t="s">
        <v>77</v>
      </c>
      <c r="L95" s="2" t="s">
        <v>223</v>
      </c>
      <c r="M95" s="2" t="s">
        <v>224</v>
      </c>
      <c r="N95" s="2" t="s">
        <v>471</v>
      </c>
      <c r="O95" s="2" t="s">
        <v>90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6.55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0.5</v>
      </c>
      <c r="BJ95" s="2">
        <v>0.2</v>
      </c>
      <c r="BK95" s="2">
        <v>1</v>
      </c>
      <c r="BL95" s="2">
        <v>64.2</v>
      </c>
      <c r="BM95" s="2">
        <v>8.99</v>
      </c>
      <c r="BN95" s="2">
        <v>73.19</v>
      </c>
      <c r="BO95" s="2">
        <v>73.19</v>
      </c>
      <c r="BQ95" s="2" t="s">
        <v>472</v>
      </c>
      <c r="BS95" s="3">
        <v>42872</v>
      </c>
      <c r="BT95" s="4">
        <v>0.41111111111111115</v>
      </c>
      <c r="BU95" s="2" t="s">
        <v>473</v>
      </c>
      <c r="BV95" s="2" t="s">
        <v>84</v>
      </c>
      <c r="BY95" s="2">
        <v>1200</v>
      </c>
      <c r="CC95" s="2" t="s">
        <v>224</v>
      </c>
      <c r="CD95" s="2">
        <v>4319</v>
      </c>
      <c r="CE95" s="2" t="s">
        <v>85</v>
      </c>
      <c r="CF95" s="3">
        <v>42873</v>
      </c>
      <c r="CI95" s="2">
        <v>1</v>
      </c>
      <c r="CJ95" s="2">
        <v>1</v>
      </c>
      <c r="CK95" s="2" t="s">
        <v>100</v>
      </c>
      <c r="CL95" s="2" t="s">
        <v>86</v>
      </c>
    </row>
    <row r="96" spans="1:90">
      <c r="A96" s="2" t="s">
        <v>71</v>
      </c>
      <c r="B96" s="2" t="s">
        <v>72</v>
      </c>
      <c r="C96" s="2" t="s">
        <v>73</v>
      </c>
      <c r="E96" s="2" t="str">
        <f>"009936325331"</f>
        <v>009936325331</v>
      </c>
      <c r="F96" s="3">
        <v>42871</v>
      </c>
      <c r="G96" s="2">
        <v>201711</v>
      </c>
      <c r="H96" s="2" t="s">
        <v>78</v>
      </c>
      <c r="I96" s="2" t="s">
        <v>79</v>
      </c>
      <c r="J96" s="2" t="s">
        <v>76</v>
      </c>
      <c r="K96" s="2" t="s">
        <v>77</v>
      </c>
      <c r="L96" s="2" t="s">
        <v>474</v>
      </c>
      <c r="M96" s="2" t="s">
        <v>475</v>
      </c>
      <c r="N96" s="2" t="s">
        <v>476</v>
      </c>
      <c r="O96" s="2" t="s">
        <v>90</v>
      </c>
      <c r="P96" s="2" t="str">
        <f>"NA                            "</f>
        <v xml:space="preserve">NA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11.35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0.3</v>
      </c>
      <c r="BJ96" s="2">
        <v>0.3</v>
      </c>
      <c r="BK96" s="2">
        <v>1</v>
      </c>
      <c r="BL96" s="2">
        <v>107.61</v>
      </c>
      <c r="BM96" s="2">
        <v>15.07</v>
      </c>
      <c r="BN96" s="2">
        <v>122.68</v>
      </c>
      <c r="BO96" s="2">
        <v>122.68</v>
      </c>
      <c r="BQ96" s="2" t="s">
        <v>477</v>
      </c>
      <c r="BR96" s="2" t="s">
        <v>92</v>
      </c>
      <c r="BS96" s="3">
        <v>42873</v>
      </c>
      <c r="BT96" s="4">
        <v>0.66666666666666663</v>
      </c>
      <c r="BU96" s="2" t="s">
        <v>478</v>
      </c>
      <c r="BY96" s="2">
        <v>1607.42</v>
      </c>
      <c r="CC96" s="2" t="s">
        <v>475</v>
      </c>
      <c r="CD96" s="2">
        <v>560</v>
      </c>
      <c r="CE96" s="2" t="s">
        <v>85</v>
      </c>
      <c r="CF96" s="3">
        <v>42874</v>
      </c>
      <c r="CI96" s="2">
        <v>0</v>
      </c>
      <c r="CJ96" s="2">
        <v>0</v>
      </c>
      <c r="CK96" s="2" t="s">
        <v>173</v>
      </c>
      <c r="CL96" s="2" t="s">
        <v>86</v>
      </c>
    </row>
    <row r="97" spans="1:90">
      <c r="A97" s="2" t="s">
        <v>71</v>
      </c>
      <c r="B97" s="2" t="s">
        <v>72</v>
      </c>
      <c r="C97" s="2" t="s">
        <v>73</v>
      </c>
      <c r="E97" s="2" t="str">
        <f>"019910551102"</f>
        <v>019910551102</v>
      </c>
      <c r="F97" s="3">
        <v>42872</v>
      </c>
      <c r="G97" s="2">
        <v>201711</v>
      </c>
      <c r="H97" s="2" t="s">
        <v>74</v>
      </c>
      <c r="I97" s="2" t="s">
        <v>75</v>
      </c>
      <c r="J97" s="2" t="s">
        <v>76</v>
      </c>
      <c r="K97" s="2" t="s">
        <v>77</v>
      </c>
      <c r="L97" s="2" t="s">
        <v>78</v>
      </c>
      <c r="M97" s="2" t="s">
        <v>79</v>
      </c>
      <c r="N97" s="2" t="s">
        <v>76</v>
      </c>
      <c r="O97" s="2" t="s">
        <v>80</v>
      </c>
      <c r="P97" s="2" t="str">
        <f>"609-5121                      "</f>
        <v xml:space="preserve">609-5121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4.66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0.8</v>
      </c>
      <c r="BJ97" s="2">
        <v>1.7</v>
      </c>
      <c r="BK97" s="2">
        <v>2</v>
      </c>
      <c r="BL97" s="2">
        <v>42.1</v>
      </c>
      <c r="BM97" s="2">
        <v>5.89</v>
      </c>
      <c r="BN97" s="2">
        <v>47.99</v>
      </c>
      <c r="BO97" s="2">
        <v>47.99</v>
      </c>
      <c r="BQ97" s="2" t="s">
        <v>81</v>
      </c>
      <c r="BR97" s="2" t="s">
        <v>82</v>
      </c>
      <c r="BS97" s="3">
        <v>42873</v>
      </c>
      <c r="BT97" s="4">
        <v>0.38541666666666669</v>
      </c>
      <c r="BU97" s="2" t="s">
        <v>479</v>
      </c>
      <c r="BV97" s="2" t="s">
        <v>84</v>
      </c>
      <c r="BY97" s="2">
        <v>8660.93</v>
      </c>
      <c r="BZ97" s="2" t="s">
        <v>27</v>
      </c>
      <c r="CC97" s="2" t="s">
        <v>79</v>
      </c>
      <c r="CD97" s="2">
        <v>2196</v>
      </c>
      <c r="CE97" s="2" t="s">
        <v>85</v>
      </c>
      <c r="CF97" s="3">
        <v>42874</v>
      </c>
      <c r="CI97" s="2">
        <v>1</v>
      </c>
      <c r="CJ97" s="2">
        <v>1</v>
      </c>
      <c r="CK97" s="2">
        <v>21</v>
      </c>
      <c r="CL97" s="2" t="s">
        <v>86</v>
      </c>
    </row>
    <row r="98" spans="1:90">
      <c r="A98" s="2" t="s">
        <v>71</v>
      </c>
      <c r="B98" s="2" t="s">
        <v>72</v>
      </c>
      <c r="C98" s="2" t="s">
        <v>73</v>
      </c>
      <c r="E98" s="2" t="str">
        <f>"009936171052"</f>
        <v>009936171052</v>
      </c>
      <c r="F98" s="3">
        <v>42872</v>
      </c>
      <c r="G98" s="2">
        <v>201711</v>
      </c>
      <c r="H98" s="2" t="s">
        <v>78</v>
      </c>
      <c r="I98" s="2" t="s">
        <v>79</v>
      </c>
      <c r="J98" s="2" t="s">
        <v>76</v>
      </c>
      <c r="K98" s="2" t="s">
        <v>77</v>
      </c>
      <c r="L98" s="2" t="s">
        <v>480</v>
      </c>
      <c r="M98" s="2" t="s">
        <v>481</v>
      </c>
      <c r="N98" s="2" t="s">
        <v>482</v>
      </c>
      <c r="O98" s="2" t="s">
        <v>90</v>
      </c>
      <c r="P98" s="2" t="str">
        <f>"NA                            "</f>
        <v xml:space="preserve">NA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11.35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0.7</v>
      </c>
      <c r="BJ98" s="2">
        <v>1.1000000000000001</v>
      </c>
      <c r="BK98" s="2">
        <v>2</v>
      </c>
      <c r="BL98" s="2">
        <v>107.61</v>
      </c>
      <c r="BM98" s="2">
        <v>15.07</v>
      </c>
      <c r="BN98" s="2">
        <v>122.68</v>
      </c>
      <c r="BO98" s="2">
        <v>122.68</v>
      </c>
      <c r="BQ98" s="2" t="s">
        <v>483</v>
      </c>
      <c r="BR98" s="2" t="s">
        <v>92</v>
      </c>
      <c r="BS98" s="3">
        <v>42873</v>
      </c>
      <c r="BT98" s="4">
        <v>0.61111111111111105</v>
      </c>
      <c r="BU98" s="2" t="s">
        <v>484</v>
      </c>
      <c r="BV98" s="2" t="s">
        <v>84</v>
      </c>
      <c r="BY98" s="2">
        <v>5669.14</v>
      </c>
      <c r="CC98" s="2" t="s">
        <v>481</v>
      </c>
      <c r="CD98" s="2">
        <v>5319</v>
      </c>
      <c r="CE98" s="2" t="s">
        <v>85</v>
      </c>
      <c r="CF98" s="3">
        <v>42878</v>
      </c>
      <c r="CI98" s="2">
        <v>4</v>
      </c>
      <c r="CJ98" s="2">
        <v>1</v>
      </c>
      <c r="CK98" s="2" t="s">
        <v>173</v>
      </c>
      <c r="CL98" s="2" t="s">
        <v>86</v>
      </c>
    </row>
    <row r="99" spans="1:90">
      <c r="A99" s="2" t="s">
        <v>71</v>
      </c>
      <c r="B99" s="2" t="s">
        <v>72</v>
      </c>
      <c r="C99" s="2" t="s">
        <v>73</v>
      </c>
      <c r="E99" s="2" t="str">
        <f>"009936171051"</f>
        <v>009936171051</v>
      </c>
      <c r="F99" s="3">
        <v>42872</v>
      </c>
      <c r="G99" s="2">
        <v>201711</v>
      </c>
      <c r="H99" s="2" t="s">
        <v>78</v>
      </c>
      <c r="I99" s="2" t="s">
        <v>79</v>
      </c>
      <c r="J99" s="2" t="s">
        <v>76</v>
      </c>
      <c r="K99" s="2" t="s">
        <v>77</v>
      </c>
      <c r="L99" s="2" t="s">
        <v>485</v>
      </c>
      <c r="M99" s="2" t="s">
        <v>486</v>
      </c>
      <c r="N99" s="2" t="s">
        <v>487</v>
      </c>
      <c r="O99" s="2" t="s">
        <v>90</v>
      </c>
      <c r="P99" s="2" t="str">
        <f>"NA                            "</f>
        <v xml:space="preserve">NA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9.5299999999999994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0.8</v>
      </c>
      <c r="BJ99" s="2">
        <v>0.9</v>
      </c>
      <c r="BK99" s="2">
        <v>1</v>
      </c>
      <c r="BL99" s="2">
        <v>91.17</v>
      </c>
      <c r="BM99" s="2">
        <v>12.76</v>
      </c>
      <c r="BN99" s="2">
        <v>103.93</v>
      </c>
      <c r="BO99" s="2">
        <v>103.93</v>
      </c>
      <c r="BQ99" s="2" t="s">
        <v>488</v>
      </c>
      <c r="BR99" s="2" t="s">
        <v>92</v>
      </c>
      <c r="BS99" s="3">
        <v>42873</v>
      </c>
      <c r="BT99" s="4">
        <v>0.40833333333333338</v>
      </c>
      <c r="BU99" s="2" t="s">
        <v>489</v>
      </c>
      <c r="BV99" s="2" t="s">
        <v>84</v>
      </c>
      <c r="BY99" s="2">
        <v>4599.28</v>
      </c>
      <c r="CA99" s="2" t="s">
        <v>490</v>
      </c>
      <c r="CC99" s="2" t="s">
        <v>486</v>
      </c>
      <c r="CD99" s="2">
        <v>3900</v>
      </c>
      <c r="CE99" s="2" t="s">
        <v>85</v>
      </c>
      <c r="CF99" s="3">
        <v>42877</v>
      </c>
      <c r="CI99" s="2">
        <v>2</v>
      </c>
      <c r="CJ99" s="2">
        <v>1</v>
      </c>
      <c r="CK99" s="2" t="s">
        <v>119</v>
      </c>
      <c r="CL99" s="2" t="s">
        <v>86</v>
      </c>
    </row>
    <row r="100" spans="1:90">
      <c r="A100" s="2" t="s">
        <v>71</v>
      </c>
      <c r="B100" s="2" t="s">
        <v>72</v>
      </c>
      <c r="C100" s="2" t="s">
        <v>73</v>
      </c>
      <c r="E100" s="2" t="str">
        <f>"009936325333"</f>
        <v>009936325333</v>
      </c>
      <c r="F100" s="3">
        <v>42871</v>
      </c>
      <c r="G100" s="2">
        <v>201711</v>
      </c>
      <c r="H100" s="2" t="s">
        <v>78</v>
      </c>
      <c r="I100" s="2" t="s">
        <v>79</v>
      </c>
      <c r="J100" s="2" t="s">
        <v>76</v>
      </c>
      <c r="K100" s="2" t="s">
        <v>77</v>
      </c>
      <c r="L100" s="2" t="s">
        <v>491</v>
      </c>
      <c r="M100" s="2" t="s">
        <v>492</v>
      </c>
      <c r="N100" s="2" t="s">
        <v>493</v>
      </c>
      <c r="O100" s="2" t="s">
        <v>397</v>
      </c>
      <c r="P100" s="2" t="str">
        <f>"NA                            "</f>
        <v xml:space="preserve">NA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17.8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71.290000000000006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0.5</v>
      </c>
      <c r="BJ100" s="2">
        <v>0.2</v>
      </c>
      <c r="BK100" s="2">
        <v>0.5</v>
      </c>
      <c r="BL100" s="2">
        <v>232.21</v>
      </c>
      <c r="BM100" s="2">
        <v>0</v>
      </c>
      <c r="BN100" s="2">
        <v>232.21</v>
      </c>
      <c r="BO100" s="2">
        <v>232.21</v>
      </c>
      <c r="BQ100" s="2" t="s">
        <v>494</v>
      </c>
      <c r="BR100" s="2" t="s">
        <v>92</v>
      </c>
      <c r="BS100" s="3">
        <v>42873</v>
      </c>
      <c r="BT100" s="4">
        <v>0.41666666666666669</v>
      </c>
      <c r="BU100" s="2" t="s">
        <v>495</v>
      </c>
      <c r="BY100" s="2">
        <v>1200</v>
      </c>
      <c r="BZ100" s="2" t="s">
        <v>402</v>
      </c>
      <c r="CC100" s="2" t="s">
        <v>492</v>
      </c>
      <c r="CD100" s="2" t="s">
        <v>496</v>
      </c>
      <c r="CE100" s="2" t="s">
        <v>404</v>
      </c>
      <c r="CF100" s="3">
        <v>42880</v>
      </c>
      <c r="CI100" s="2">
        <v>0</v>
      </c>
      <c r="CJ100" s="2">
        <v>0</v>
      </c>
      <c r="CK100" s="2">
        <v>502</v>
      </c>
      <c r="CL100" s="2" t="s">
        <v>86</v>
      </c>
    </row>
    <row r="101" spans="1:90">
      <c r="A101" s="2" t="s">
        <v>71</v>
      </c>
      <c r="B101" s="2" t="s">
        <v>72</v>
      </c>
      <c r="C101" s="2" t="s">
        <v>73</v>
      </c>
      <c r="E101" s="2" t="str">
        <f>"019910551103"</f>
        <v>019910551103</v>
      </c>
      <c r="F101" s="3">
        <v>42877</v>
      </c>
      <c r="G101" s="2">
        <v>201711</v>
      </c>
      <c r="H101" s="2" t="s">
        <v>74</v>
      </c>
      <c r="I101" s="2" t="s">
        <v>75</v>
      </c>
      <c r="J101" s="2" t="s">
        <v>76</v>
      </c>
      <c r="K101" s="2" t="s">
        <v>77</v>
      </c>
      <c r="L101" s="2" t="s">
        <v>78</v>
      </c>
      <c r="M101" s="2" t="s">
        <v>79</v>
      </c>
      <c r="N101" s="2" t="s">
        <v>76</v>
      </c>
      <c r="O101" s="2" t="s">
        <v>80</v>
      </c>
      <c r="P101" s="2" t="str">
        <f>"121002                        "</f>
        <v xml:space="preserve">121002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4.66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1</v>
      </c>
      <c r="BJ101" s="2">
        <v>0.2</v>
      </c>
      <c r="BK101" s="2">
        <v>1</v>
      </c>
      <c r="BL101" s="2">
        <v>42.1</v>
      </c>
      <c r="BM101" s="2">
        <v>5.89</v>
      </c>
      <c r="BN101" s="2">
        <v>47.99</v>
      </c>
      <c r="BO101" s="2">
        <v>47.99</v>
      </c>
      <c r="BQ101" s="2" t="s">
        <v>497</v>
      </c>
      <c r="BR101" s="2" t="s">
        <v>498</v>
      </c>
      <c r="BS101" s="3">
        <v>42878</v>
      </c>
      <c r="BT101" s="4">
        <v>0.39166666666666666</v>
      </c>
      <c r="BU101" s="2" t="s">
        <v>479</v>
      </c>
      <c r="BV101" s="2" t="s">
        <v>84</v>
      </c>
      <c r="BY101" s="2">
        <v>1200</v>
      </c>
      <c r="BZ101" s="2" t="s">
        <v>27</v>
      </c>
      <c r="CC101" s="2" t="s">
        <v>79</v>
      </c>
      <c r="CD101" s="2">
        <v>2196</v>
      </c>
      <c r="CE101" s="2" t="s">
        <v>85</v>
      </c>
      <c r="CF101" s="3">
        <v>42879</v>
      </c>
      <c r="CI101" s="2">
        <v>1</v>
      </c>
      <c r="CJ101" s="2">
        <v>1</v>
      </c>
      <c r="CK101" s="2">
        <v>21</v>
      </c>
      <c r="CL101" s="2" t="s">
        <v>86</v>
      </c>
    </row>
    <row r="102" spans="1:90">
      <c r="A102" s="2" t="s">
        <v>71</v>
      </c>
      <c r="B102" s="2" t="s">
        <v>72</v>
      </c>
      <c r="C102" s="2" t="s">
        <v>73</v>
      </c>
      <c r="E102" s="2" t="str">
        <f>"009936325354"</f>
        <v>009936325354</v>
      </c>
      <c r="F102" s="3">
        <v>42877</v>
      </c>
      <c r="G102" s="2">
        <v>201711</v>
      </c>
      <c r="H102" s="2" t="s">
        <v>78</v>
      </c>
      <c r="I102" s="2" t="s">
        <v>79</v>
      </c>
      <c r="J102" s="2" t="s">
        <v>76</v>
      </c>
      <c r="K102" s="2" t="s">
        <v>77</v>
      </c>
      <c r="L102" s="2" t="s">
        <v>499</v>
      </c>
      <c r="M102" s="2" t="s">
        <v>500</v>
      </c>
      <c r="N102" s="2" t="s">
        <v>501</v>
      </c>
      <c r="O102" s="2" t="s">
        <v>80</v>
      </c>
      <c r="P102" s="2" t="str">
        <f>"..                            "</f>
        <v xml:space="preserve">..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4.66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0.5</v>
      </c>
      <c r="BJ102" s="2">
        <v>0.7</v>
      </c>
      <c r="BK102" s="2">
        <v>1</v>
      </c>
      <c r="BL102" s="2">
        <v>42.1</v>
      </c>
      <c r="BM102" s="2">
        <v>5.89</v>
      </c>
      <c r="BN102" s="2">
        <v>47.99</v>
      </c>
      <c r="BO102" s="2">
        <v>47.99</v>
      </c>
      <c r="BQ102" s="2" t="s">
        <v>502</v>
      </c>
      <c r="BR102" s="2" t="s">
        <v>503</v>
      </c>
      <c r="BS102" s="3">
        <v>42878</v>
      </c>
      <c r="BT102" s="4">
        <v>0.4770833333333333</v>
      </c>
      <c r="BU102" s="2" t="s">
        <v>504</v>
      </c>
      <c r="BV102" s="2" t="s">
        <v>84</v>
      </c>
      <c r="BY102" s="2">
        <v>3660.36</v>
      </c>
      <c r="BZ102" s="2" t="s">
        <v>27</v>
      </c>
      <c r="CC102" s="2" t="s">
        <v>500</v>
      </c>
      <c r="CD102" s="2">
        <v>3310</v>
      </c>
      <c r="CE102" s="2" t="s">
        <v>85</v>
      </c>
      <c r="CF102" s="3">
        <v>42879</v>
      </c>
      <c r="CI102" s="2">
        <v>1</v>
      </c>
      <c r="CJ102" s="2">
        <v>1</v>
      </c>
      <c r="CK102" s="2">
        <v>21</v>
      </c>
      <c r="CL102" s="2" t="s">
        <v>86</v>
      </c>
    </row>
    <row r="103" spans="1:90">
      <c r="A103" s="2" t="s">
        <v>71</v>
      </c>
      <c r="B103" s="2" t="s">
        <v>72</v>
      </c>
      <c r="C103" s="2" t="s">
        <v>73</v>
      </c>
      <c r="E103" s="2" t="str">
        <f>"009936325355"</f>
        <v>009936325355</v>
      </c>
      <c r="F103" s="3">
        <v>42877</v>
      </c>
      <c r="G103" s="2">
        <v>201711</v>
      </c>
      <c r="H103" s="2" t="s">
        <v>78</v>
      </c>
      <c r="I103" s="2" t="s">
        <v>79</v>
      </c>
      <c r="J103" s="2" t="s">
        <v>76</v>
      </c>
      <c r="K103" s="2" t="s">
        <v>77</v>
      </c>
      <c r="L103" s="2" t="s">
        <v>129</v>
      </c>
      <c r="M103" s="2" t="s">
        <v>130</v>
      </c>
      <c r="N103" s="2" t="s">
        <v>505</v>
      </c>
      <c r="O103" s="2" t="s">
        <v>90</v>
      </c>
      <c r="P103" s="2" t="str">
        <f>"..                            "</f>
        <v xml:space="preserve">..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6.55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1</v>
      </c>
      <c r="BJ103" s="2">
        <v>0.2</v>
      </c>
      <c r="BK103" s="2">
        <v>1</v>
      </c>
      <c r="BL103" s="2">
        <v>64.2</v>
      </c>
      <c r="BM103" s="2">
        <v>8.99</v>
      </c>
      <c r="BN103" s="2">
        <v>73.19</v>
      </c>
      <c r="BO103" s="2">
        <v>73.19</v>
      </c>
      <c r="BQ103" s="2" t="s">
        <v>506</v>
      </c>
      <c r="BR103" s="2" t="s">
        <v>503</v>
      </c>
      <c r="BS103" s="3">
        <v>42877</v>
      </c>
      <c r="BT103" s="4">
        <v>0.41666666666666669</v>
      </c>
      <c r="BU103" s="2" t="s">
        <v>507</v>
      </c>
      <c r="BV103" s="2" t="s">
        <v>84</v>
      </c>
      <c r="BY103" s="2">
        <v>1200</v>
      </c>
      <c r="CC103" s="2" t="s">
        <v>130</v>
      </c>
      <c r="CD103" s="2">
        <v>9300</v>
      </c>
      <c r="CE103" s="2" t="s">
        <v>85</v>
      </c>
      <c r="CF103" s="3">
        <v>42879</v>
      </c>
      <c r="CI103" s="2">
        <v>1</v>
      </c>
      <c r="CJ103" s="2">
        <v>0</v>
      </c>
      <c r="CK103" s="2" t="s">
        <v>112</v>
      </c>
      <c r="CL103" s="2" t="s">
        <v>86</v>
      </c>
    </row>
    <row r="104" spans="1:90">
      <c r="A104" s="2" t="s">
        <v>71</v>
      </c>
      <c r="B104" s="2" t="s">
        <v>72</v>
      </c>
      <c r="C104" s="2" t="s">
        <v>73</v>
      </c>
      <c r="E104" s="2" t="str">
        <f>"009936325353"</f>
        <v>009936325353</v>
      </c>
      <c r="F104" s="3">
        <v>42877</v>
      </c>
      <c r="G104" s="2">
        <v>201711</v>
      </c>
      <c r="H104" s="2" t="s">
        <v>78</v>
      </c>
      <c r="I104" s="2" t="s">
        <v>79</v>
      </c>
      <c r="J104" s="2" t="s">
        <v>76</v>
      </c>
      <c r="K104" s="2" t="s">
        <v>77</v>
      </c>
      <c r="L104" s="2" t="s">
        <v>508</v>
      </c>
      <c r="M104" s="2" t="s">
        <v>509</v>
      </c>
      <c r="N104" s="2" t="s">
        <v>510</v>
      </c>
      <c r="O104" s="2" t="s">
        <v>90</v>
      </c>
      <c r="P104" s="2" t="str">
        <f>"..                            "</f>
        <v xml:space="preserve">..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6.55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1</v>
      </c>
      <c r="BJ104" s="2">
        <v>0.5</v>
      </c>
      <c r="BK104" s="2">
        <v>1</v>
      </c>
      <c r="BL104" s="2">
        <v>64.2</v>
      </c>
      <c r="BM104" s="2">
        <v>8.99</v>
      </c>
      <c r="BN104" s="2">
        <v>73.19</v>
      </c>
      <c r="BO104" s="2">
        <v>73.19</v>
      </c>
      <c r="BQ104" s="2" t="s">
        <v>511</v>
      </c>
      <c r="BR104" s="2" t="s">
        <v>503</v>
      </c>
      <c r="BS104" s="3">
        <v>42878</v>
      </c>
      <c r="BT104" s="4">
        <v>0.44236111111111115</v>
      </c>
      <c r="BU104" s="2" t="s">
        <v>512</v>
      </c>
      <c r="BV104" s="2" t="s">
        <v>84</v>
      </c>
      <c r="BY104" s="2">
        <v>2400</v>
      </c>
      <c r="CC104" s="2" t="s">
        <v>509</v>
      </c>
      <c r="CD104" s="2">
        <v>1724</v>
      </c>
      <c r="CE104" s="2" t="s">
        <v>85</v>
      </c>
      <c r="CF104" s="3">
        <v>42878</v>
      </c>
      <c r="CI104" s="2">
        <v>1</v>
      </c>
      <c r="CJ104" s="2">
        <v>1</v>
      </c>
      <c r="CK104" s="2" t="s">
        <v>123</v>
      </c>
      <c r="CL104" s="2" t="s">
        <v>86</v>
      </c>
    </row>
    <row r="105" spans="1:90">
      <c r="A105" s="2" t="s">
        <v>71</v>
      </c>
      <c r="B105" s="2" t="s">
        <v>72</v>
      </c>
      <c r="C105" s="2" t="s">
        <v>73</v>
      </c>
      <c r="E105" s="2" t="str">
        <f>"009936325356"</f>
        <v>009936325356</v>
      </c>
      <c r="F105" s="3">
        <v>42877</v>
      </c>
      <c r="G105" s="2">
        <v>201711</v>
      </c>
      <c r="H105" s="2" t="s">
        <v>78</v>
      </c>
      <c r="I105" s="2" t="s">
        <v>79</v>
      </c>
      <c r="J105" s="2" t="s">
        <v>76</v>
      </c>
      <c r="K105" s="2" t="s">
        <v>77</v>
      </c>
      <c r="L105" s="2" t="s">
        <v>513</v>
      </c>
      <c r="M105" s="2" t="s">
        <v>514</v>
      </c>
      <c r="N105" s="2" t="s">
        <v>515</v>
      </c>
      <c r="O105" s="2" t="s">
        <v>90</v>
      </c>
      <c r="P105" s="2" t="str">
        <f>"NA                            "</f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6.55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0.5</v>
      </c>
      <c r="BJ105" s="2">
        <v>0.2</v>
      </c>
      <c r="BK105" s="2">
        <v>1</v>
      </c>
      <c r="BL105" s="2">
        <v>64.2</v>
      </c>
      <c r="BM105" s="2">
        <v>8.99</v>
      </c>
      <c r="BN105" s="2">
        <v>73.19</v>
      </c>
      <c r="BO105" s="2">
        <v>73.19</v>
      </c>
      <c r="BQ105" s="2" t="s">
        <v>516</v>
      </c>
      <c r="BR105" s="2" t="s">
        <v>503</v>
      </c>
      <c r="BS105" s="3">
        <v>42878</v>
      </c>
      <c r="BT105" s="4">
        <v>0.41666666666666669</v>
      </c>
      <c r="BU105" s="2" t="s">
        <v>517</v>
      </c>
      <c r="BV105" s="2" t="s">
        <v>84</v>
      </c>
      <c r="BY105" s="2">
        <v>1200</v>
      </c>
      <c r="CC105" s="2" t="s">
        <v>514</v>
      </c>
      <c r="CD105" s="2">
        <v>699</v>
      </c>
      <c r="CE105" s="2" t="s">
        <v>85</v>
      </c>
      <c r="CF105" s="3">
        <v>42879</v>
      </c>
      <c r="CI105" s="2">
        <v>1</v>
      </c>
      <c r="CJ105" s="2">
        <v>1</v>
      </c>
      <c r="CK105" s="2" t="s">
        <v>112</v>
      </c>
      <c r="CL105" s="2" t="s">
        <v>86</v>
      </c>
    </row>
    <row r="106" spans="1:90">
      <c r="A106" s="2" t="s">
        <v>71</v>
      </c>
      <c r="B106" s="2" t="s">
        <v>72</v>
      </c>
      <c r="C106" s="2" t="s">
        <v>73</v>
      </c>
      <c r="E106" s="2" t="str">
        <f>"009936325362"</f>
        <v>009936325362</v>
      </c>
      <c r="F106" s="3">
        <v>42877</v>
      </c>
      <c r="G106" s="2">
        <v>201711</v>
      </c>
      <c r="H106" s="2" t="s">
        <v>78</v>
      </c>
      <c r="I106" s="2" t="s">
        <v>79</v>
      </c>
      <c r="J106" s="2" t="s">
        <v>76</v>
      </c>
      <c r="K106" s="2" t="s">
        <v>77</v>
      </c>
      <c r="L106" s="2" t="s">
        <v>518</v>
      </c>
      <c r="M106" s="2" t="s">
        <v>519</v>
      </c>
      <c r="N106" s="2" t="s">
        <v>520</v>
      </c>
      <c r="O106" s="2" t="s">
        <v>90</v>
      </c>
      <c r="P106" s="2" t="str">
        <f>"..                            "</f>
        <v xml:space="preserve">..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11.35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0.5</v>
      </c>
      <c r="BJ106" s="2">
        <v>0.2</v>
      </c>
      <c r="BK106" s="2">
        <v>1</v>
      </c>
      <c r="BL106" s="2">
        <v>107.61</v>
      </c>
      <c r="BM106" s="2">
        <v>15.07</v>
      </c>
      <c r="BN106" s="2">
        <v>122.68</v>
      </c>
      <c r="BO106" s="2">
        <v>122.68</v>
      </c>
      <c r="BQ106" s="2" t="s">
        <v>521</v>
      </c>
      <c r="BR106" s="2" t="s">
        <v>503</v>
      </c>
      <c r="BS106" s="3">
        <v>42878</v>
      </c>
      <c r="BT106" s="4">
        <v>0.68819444444444444</v>
      </c>
      <c r="BU106" s="2" t="s">
        <v>185</v>
      </c>
      <c r="BV106" s="2" t="s">
        <v>84</v>
      </c>
      <c r="BY106" s="2">
        <v>1200</v>
      </c>
      <c r="CC106" s="2" t="s">
        <v>519</v>
      </c>
      <c r="CD106" s="2">
        <v>9750</v>
      </c>
      <c r="CE106" s="2" t="s">
        <v>85</v>
      </c>
      <c r="CF106" s="3">
        <v>42880</v>
      </c>
      <c r="CI106" s="2">
        <v>4</v>
      </c>
      <c r="CJ106" s="2">
        <v>1</v>
      </c>
      <c r="CK106" s="2" t="s">
        <v>128</v>
      </c>
      <c r="CL106" s="2" t="s">
        <v>86</v>
      </c>
    </row>
    <row r="107" spans="1:90">
      <c r="A107" s="2" t="s">
        <v>71</v>
      </c>
      <c r="B107" s="2" t="s">
        <v>72</v>
      </c>
      <c r="C107" s="2" t="s">
        <v>73</v>
      </c>
      <c r="E107" s="2" t="str">
        <f>"009936325361"</f>
        <v>009936325361</v>
      </c>
      <c r="F107" s="3">
        <v>42877</v>
      </c>
      <c r="G107" s="2">
        <v>201711</v>
      </c>
      <c r="H107" s="2" t="s">
        <v>78</v>
      </c>
      <c r="I107" s="2" t="s">
        <v>79</v>
      </c>
      <c r="J107" s="2" t="s">
        <v>76</v>
      </c>
      <c r="K107" s="2" t="s">
        <v>77</v>
      </c>
      <c r="L107" s="2" t="s">
        <v>153</v>
      </c>
      <c r="M107" s="2" t="s">
        <v>154</v>
      </c>
      <c r="N107" s="2" t="s">
        <v>522</v>
      </c>
      <c r="O107" s="2" t="s">
        <v>90</v>
      </c>
      <c r="P107" s="2" t="str">
        <f>"..                            "</f>
        <v xml:space="preserve">..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9.4600000000000009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</v>
      </c>
      <c r="BJ107" s="2">
        <v>1.1000000000000001</v>
      </c>
      <c r="BK107" s="2">
        <v>2</v>
      </c>
      <c r="BL107" s="2">
        <v>90.51</v>
      </c>
      <c r="BM107" s="2">
        <v>12.67</v>
      </c>
      <c r="BN107" s="2">
        <v>103.18</v>
      </c>
      <c r="BO107" s="2">
        <v>103.18</v>
      </c>
      <c r="BQ107" s="2" t="s">
        <v>523</v>
      </c>
      <c r="BR107" s="2" t="s">
        <v>503</v>
      </c>
      <c r="BS107" s="3">
        <v>42878</v>
      </c>
      <c r="BT107" s="4">
        <v>0.61736111111111114</v>
      </c>
      <c r="BU107" s="2" t="s">
        <v>524</v>
      </c>
      <c r="BV107" s="2" t="s">
        <v>84</v>
      </c>
      <c r="BY107" s="2">
        <v>5598.69</v>
      </c>
      <c r="CC107" s="2" t="s">
        <v>154</v>
      </c>
      <c r="CD107" s="2">
        <v>3200</v>
      </c>
      <c r="CE107" s="2" t="s">
        <v>85</v>
      </c>
      <c r="CF107" s="3">
        <v>42879</v>
      </c>
      <c r="CI107" s="2">
        <v>1</v>
      </c>
      <c r="CJ107" s="2">
        <v>1</v>
      </c>
      <c r="CK107" s="2" t="s">
        <v>158</v>
      </c>
      <c r="CL107" s="2" t="s">
        <v>86</v>
      </c>
    </row>
    <row r="108" spans="1:90">
      <c r="A108" s="2" t="s">
        <v>71</v>
      </c>
      <c r="B108" s="2" t="s">
        <v>72</v>
      </c>
      <c r="C108" s="2" t="s">
        <v>73</v>
      </c>
      <c r="E108" s="2" t="str">
        <f>"009936325360"</f>
        <v>009936325360</v>
      </c>
      <c r="F108" s="3">
        <v>42877</v>
      </c>
      <c r="G108" s="2">
        <v>201711</v>
      </c>
      <c r="H108" s="2" t="s">
        <v>78</v>
      </c>
      <c r="I108" s="2" t="s">
        <v>79</v>
      </c>
      <c r="J108" s="2" t="s">
        <v>76</v>
      </c>
      <c r="K108" s="2" t="s">
        <v>77</v>
      </c>
      <c r="L108" s="2" t="s">
        <v>440</v>
      </c>
      <c r="M108" s="2" t="s">
        <v>441</v>
      </c>
      <c r="N108" s="2" t="s">
        <v>525</v>
      </c>
      <c r="O108" s="2" t="s">
        <v>90</v>
      </c>
      <c r="P108" s="2" t="str">
        <f>"..                            "</f>
        <v xml:space="preserve">..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9.4600000000000009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1</v>
      </c>
      <c r="BJ108" s="2">
        <v>0.5</v>
      </c>
      <c r="BK108" s="2">
        <v>1</v>
      </c>
      <c r="BL108" s="2">
        <v>90.51</v>
      </c>
      <c r="BM108" s="2">
        <v>12.67</v>
      </c>
      <c r="BN108" s="2">
        <v>103.18</v>
      </c>
      <c r="BO108" s="2">
        <v>103.18</v>
      </c>
      <c r="BQ108" s="2" t="s">
        <v>526</v>
      </c>
      <c r="BR108" s="2" t="s">
        <v>503</v>
      </c>
      <c r="BS108" s="3">
        <v>42878</v>
      </c>
      <c r="BT108" s="4">
        <v>0.50972222222222219</v>
      </c>
      <c r="BU108" s="2" t="s">
        <v>527</v>
      </c>
      <c r="BV108" s="2" t="s">
        <v>84</v>
      </c>
      <c r="BY108" s="2">
        <v>2400</v>
      </c>
      <c r="CA108" s="2" t="s">
        <v>528</v>
      </c>
      <c r="CC108" s="2" t="s">
        <v>441</v>
      </c>
      <c r="CD108" s="2">
        <v>9700</v>
      </c>
      <c r="CE108" s="2" t="s">
        <v>85</v>
      </c>
      <c r="CF108" s="3">
        <v>42878</v>
      </c>
      <c r="CI108" s="2">
        <v>1</v>
      </c>
      <c r="CJ108" s="2">
        <v>1</v>
      </c>
      <c r="CK108" s="2" t="s">
        <v>158</v>
      </c>
      <c r="CL108" s="2" t="s">
        <v>86</v>
      </c>
    </row>
    <row r="109" spans="1:90">
      <c r="A109" s="2" t="s">
        <v>71</v>
      </c>
      <c r="B109" s="2" t="s">
        <v>72</v>
      </c>
      <c r="C109" s="2" t="s">
        <v>73</v>
      </c>
      <c r="E109" s="2" t="str">
        <f>"009936325359"</f>
        <v>009936325359</v>
      </c>
      <c r="F109" s="3">
        <v>42877</v>
      </c>
      <c r="G109" s="2">
        <v>201711</v>
      </c>
      <c r="H109" s="2" t="s">
        <v>78</v>
      </c>
      <c r="I109" s="2" t="s">
        <v>79</v>
      </c>
      <c r="J109" s="2" t="s">
        <v>76</v>
      </c>
      <c r="K109" s="2" t="s">
        <v>77</v>
      </c>
      <c r="L109" s="2" t="s">
        <v>529</v>
      </c>
      <c r="M109" s="2" t="s">
        <v>530</v>
      </c>
      <c r="N109" s="2" t="s">
        <v>531</v>
      </c>
      <c r="O109" s="2" t="s">
        <v>90</v>
      </c>
      <c r="P109" s="2" t="str">
        <f>"..                            "</f>
        <v xml:space="preserve">..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9.5299999999999994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1.2</v>
      </c>
      <c r="BJ109" s="2">
        <v>1.3</v>
      </c>
      <c r="BK109" s="2">
        <v>2</v>
      </c>
      <c r="BL109" s="2">
        <v>91.17</v>
      </c>
      <c r="BM109" s="2">
        <v>12.76</v>
      </c>
      <c r="BN109" s="2">
        <v>103.93</v>
      </c>
      <c r="BO109" s="2">
        <v>103.93</v>
      </c>
      <c r="BQ109" s="2" t="s">
        <v>532</v>
      </c>
      <c r="BR109" s="2" t="s">
        <v>503</v>
      </c>
      <c r="BS109" s="3">
        <v>42878</v>
      </c>
      <c r="BT109" s="4">
        <v>0.55347222222222225</v>
      </c>
      <c r="BU109" s="2" t="s">
        <v>533</v>
      </c>
      <c r="BV109" s="2" t="s">
        <v>84</v>
      </c>
      <c r="BY109" s="2">
        <v>6337.14</v>
      </c>
      <c r="CC109" s="2" t="s">
        <v>530</v>
      </c>
      <c r="CD109" s="2">
        <v>2380</v>
      </c>
      <c r="CE109" s="2" t="s">
        <v>85</v>
      </c>
      <c r="CF109" s="3">
        <v>42880</v>
      </c>
      <c r="CI109" s="2">
        <v>1</v>
      </c>
      <c r="CJ109" s="2">
        <v>1</v>
      </c>
      <c r="CK109" s="2" t="s">
        <v>137</v>
      </c>
      <c r="CL109" s="2" t="s">
        <v>86</v>
      </c>
    </row>
    <row r="110" spans="1:90">
      <c r="A110" s="2" t="s">
        <v>71</v>
      </c>
      <c r="B110" s="2" t="s">
        <v>72</v>
      </c>
      <c r="C110" s="2" t="s">
        <v>73</v>
      </c>
      <c r="E110" s="2" t="str">
        <f>"009936325358"</f>
        <v>009936325358</v>
      </c>
      <c r="F110" s="3">
        <v>42877</v>
      </c>
      <c r="G110" s="2">
        <v>201711</v>
      </c>
      <c r="H110" s="2" t="s">
        <v>78</v>
      </c>
      <c r="I110" s="2" t="s">
        <v>79</v>
      </c>
      <c r="J110" s="2" t="s">
        <v>76</v>
      </c>
      <c r="K110" s="2" t="s">
        <v>77</v>
      </c>
      <c r="L110" s="2" t="s">
        <v>134</v>
      </c>
      <c r="M110" s="2" t="s">
        <v>75</v>
      </c>
      <c r="N110" s="2" t="s">
        <v>534</v>
      </c>
      <c r="O110" s="2" t="s">
        <v>90</v>
      </c>
      <c r="P110" s="2" t="str">
        <f>"..                            "</f>
        <v xml:space="preserve">..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9.5299999999999994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1</v>
      </c>
      <c r="BJ110" s="2">
        <v>0.2</v>
      </c>
      <c r="BK110" s="2">
        <v>1</v>
      </c>
      <c r="BL110" s="2">
        <v>91.17</v>
      </c>
      <c r="BM110" s="2">
        <v>12.76</v>
      </c>
      <c r="BN110" s="2">
        <v>103.93</v>
      </c>
      <c r="BO110" s="2">
        <v>103.93</v>
      </c>
      <c r="BQ110" s="2" t="s">
        <v>535</v>
      </c>
      <c r="BR110" s="2" t="s">
        <v>503</v>
      </c>
      <c r="BS110" s="3">
        <v>42880</v>
      </c>
      <c r="BT110" s="4">
        <v>0.50069444444444444</v>
      </c>
      <c r="BU110" s="2" t="s">
        <v>142</v>
      </c>
      <c r="BV110" s="2" t="s">
        <v>86</v>
      </c>
      <c r="BW110" s="2" t="s">
        <v>283</v>
      </c>
      <c r="BX110" s="2" t="s">
        <v>536</v>
      </c>
      <c r="BY110" s="2">
        <v>1200</v>
      </c>
      <c r="CA110" s="2" t="s">
        <v>537</v>
      </c>
      <c r="CC110" s="2" t="s">
        <v>75</v>
      </c>
      <c r="CD110" s="2">
        <v>7550</v>
      </c>
      <c r="CE110" s="2" t="s">
        <v>85</v>
      </c>
      <c r="CF110" s="3">
        <v>42880</v>
      </c>
      <c r="CI110" s="2">
        <v>2</v>
      </c>
      <c r="CJ110" s="2">
        <v>3</v>
      </c>
      <c r="CK110" s="2" t="s">
        <v>137</v>
      </c>
      <c r="CL110" s="2" t="s">
        <v>86</v>
      </c>
    </row>
    <row r="111" spans="1:90">
      <c r="A111" s="2" t="s">
        <v>71</v>
      </c>
      <c r="B111" s="2" t="s">
        <v>72</v>
      </c>
      <c r="C111" s="2" t="s">
        <v>73</v>
      </c>
      <c r="E111" s="2" t="str">
        <f>"009936325352"</f>
        <v>009936325352</v>
      </c>
      <c r="F111" s="3">
        <v>42878</v>
      </c>
      <c r="G111" s="2">
        <v>201711</v>
      </c>
      <c r="H111" s="2" t="s">
        <v>78</v>
      </c>
      <c r="I111" s="2" t="s">
        <v>79</v>
      </c>
      <c r="J111" s="2" t="s">
        <v>76</v>
      </c>
      <c r="K111" s="2" t="s">
        <v>77</v>
      </c>
      <c r="L111" s="2" t="s">
        <v>491</v>
      </c>
      <c r="M111" s="2" t="s">
        <v>492</v>
      </c>
      <c r="N111" s="2" t="s">
        <v>538</v>
      </c>
      <c r="O111" s="2" t="s">
        <v>539</v>
      </c>
      <c r="P111" s="2" t="str">
        <f t="shared" ref="P111:P154" si="5">"NA                            "</f>
        <v xml:space="preserve">NA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29.85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119.54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0.4</v>
      </c>
      <c r="BJ111" s="2">
        <v>0.2</v>
      </c>
      <c r="BK111" s="2">
        <v>0.5</v>
      </c>
      <c r="BL111" s="2">
        <v>389.38</v>
      </c>
      <c r="BM111" s="2">
        <v>0</v>
      </c>
      <c r="BN111" s="2">
        <v>389.38</v>
      </c>
      <c r="BO111" s="2">
        <v>389.38</v>
      </c>
      <c r="BQ111" s="2" t="s">
        <v>540</v>
      </c>
      <c r="BR111" s="2" t="s">
        <v>92</v>
      </c>
      <c r="BS111" s="3">
        <v>42879</v>
      </c>
      <c r="BT111" s="4">
        <v>0.55555555555555558</v>
      </c>
      <c r="BU111" s="2" t="s">
        <v>541</v>
      </c>
      <c r="BY111" s="2">
        <v>944.37</v>
      </c>
      <c r="BZ111" s="2" t="s">
        <v>542</v>
      </c>
      <c r="CC111" s="2" t="s">
        <v>492</v>
      </c>
      <c r="CD111" s="2" t="s">
        <v>496</v>
      </c>
      <c r="CE111" s="2" t="s">
        <v>85</v>
      </c>
      <c r="CI111" s="2">
        <v>0</v>
      </c>
      <c r="CJ111" s="2">
        <v>0</v>
      </c>
      <c r="CK111" s="2">
        <v>522</v>
      </c>
      <c r="CL111" s="2" t="s">
        <v>86</v>
      </c>
    </row>
    <row r="112" spans="1:90">
      <c r="A112" s="2" t="s">
        <v>71</v>
      </c>
      <c r="B112" s="2" t="s">
        <v>72</v>
      </c>
      <c r="C112" s="2" t="s">
        <v>73</v>
      </c>
      <c r="E112" s="2" t="str">
        <f>"009936325351"</f>
        <v>009936325351</v>
      </c>
      <c r="F112" s="3">
        <v>42878</v>
      </c>
      <c r="G112" s="2">
        <v>201711</v>
      </c>
      <c r="H112" s="2" t="s">
        <v>78</v>
      </c>
      <c r="I112" s="2" t="s">
        <v>79</v>
      </c>
      <c r="J112" s="2" t="s">
        <v>76</v>
      </c>
      <c r="K112" s="2" t="s">
        <v>77</v>
      </c>
      <c r="L112" s="2" t="s">
        <v>451</v>
      </c>
      <c r="M112" s="2" t="s">
        <v>452</v>
      </c>
      <c r="N112" s="2" t="s">
        <v>453</v>
      </c>
      <c r="O112" s="2" t="s">
        <v>539</v>
      </c>
      <c r="P112" s="2" t="str">
        <f t="shared" si="5"/>
        <v xml:space="preserve">NA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32.729999999999997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131.06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1</v>
      </c>
      <c r="BJ112" s="2">
        <v>0.2</v>
      </c>
      <c r="BK112" s="2">
        <v>1</v>
      </c>
      <c r="BL112" s="2">
        <v>426.9</v>
      </c>
      <c r="BM112" s="2">
        <v>0</v>
      </c>
      <c r="BN112" s="2">
        <v>426.9</v>
      </c>
      <c r="BO112" s="2">
        <v>426.9</v>
      </c>
      <c r="BQ112" s="2" t="s">
        <v>543</v>
      </c>
      <c r="BR112" s="2" t="s">
        <v>92</v>
      </c>
      <c r="BS112" s="2" t="s">
        <v>455</v>
      </c>
      <c r="BY112" s="2">
        <v>1200</v>
      </c>
      <c r="BZ112" s="2" t="s">
        <v>542</v>
      </c>
      <c r="CC112" s="2" t="s">
        <v>452</v>
      </c>
      <c r="CD112" s="2" t="s">
        <v>456</v>
      </c>
      <c r="CE112" s="2" t="s">
        <v>85</v>
      </c>
      <c r="CI112" s="2">
        <v>0</v>
      </c>
      <c r="CJ112" s="2">
        <v>0</v>
      </c>
      <c r="CK112" s="2">
        <v>521</v>
      </c>
      <c r="CL112" s="2" t="s">
        <v>86</v>
      </c>
    </row>
    <row r="113" spans="1:90">
      <c r="A113" s="2" t="s">
        <v>71</v>
      </c>
      <c r="B113" s="2" t="s">
        <v>72</v>
      </c>
      <c r="C113" s="2" t="s">
        <v>73</v>
      </c>
      <c r="E113" s="2" t="str">
        <f>"009936325342"</f>
        <v>009936325342</v>
      </c>
      <c r="F113" s="3">
        <v>42878</v>
      </c>
      <c r="G113" s="2">
        <v>201711</v>
      </c>
      <c r="H113" s="2" t="s">
        <v>78</v>
      </c>
      <c r="I113" s="2" t="s">
        <v>79</v>
      </c>
      <c r="J113" s="2" t="s">
        <v>76</v>
      </c>
      <c r="K113" s="2" t="s">
        <v>77</v>
      </c>
      <c r="L113" s="2" t="s">
        <v>251</v>
      </c>
      <c r="M113" s="2" t="s">
        <v>252</v>
      </c>
      <c r="N113" s="2" t="s">
        <v>373</v>
      </c>
      <c r="O113" s="2" t="s">
        <v>90</v>
      </c>
      <c r="P113" s="2" t="str">
        <f t="shared" si="5"/>
        <v xml:space="preserve">NA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6.55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0.5</v>
      </c>
      <c r="BJ113" s="2">
        <v>0.7</v>
      </c>
      <c r="BK113" s="2">
        <v>1</v>
      </c>
      <c r="BL113" s="2">
        <v>64.2</v>
      </c>
      <c r="BM113" s="2">
        <v>8.99</v>
      </c>
      <c r="BN113" s="2">
        <v>73.19</v>
      </c>
      <c r="BO113" s="2">
        <v>73.19</v>
      </c>
      <c r="BQ113" s="2" t="s">
        <v>374</v>
      </c>
      <c r="BR113" s="2" t="s">
        <v>92</v>
      </c>
      <c r="BS113" s="3">
        <v>42880</v>
      </c>
      <c r="BT113" s="4">
        <v>0.31597222222222221</v>
      </c>
      <c r="BU113" s="2" t="s">
        <v>374</v>
      </c>
      <c r="BV113" s="2" t="s">
        <v>84</v>
      </c>
      <c r="BY113" s="2">
        <v>3675.67</v>
      </c>
      <c r="CC113" s="2" t="s">
        <v>252</v>
      </c>
      <c r="CD113" s="2">
        <v>2940</v>
      </c>
      <c r="CE113" s="2" t="s">
        <v>85</v>
      </c>
      <c r="CF113" s="3">
        <v>42884</v>
      </c>
      <c r="CI113" s="2">
        <v>6</v>
      </c>
      <c r="CJ113" s="2">
        <v>2</v>
      </c>
      <c r="CK113" s="2" t="s">
        <v>100</v>
      </c>
      <c r="CL113" s="2" t="s">
        <v>86</v>
      </c>
    </row>
    <row r="114" spans="1:90">
      <c r="A114" s="2" t="s">
        <v>71</v>
      </c>
      <c r="B114" s="2" t="s">
        <v>72</v>
      </c>
      <c r="C114" s="2" t="s">
        <v>73</v>
      </c>
      <c r="E114" s="2" t="str">
        <f>"009936325337"</f>
        <v>009936325337</v>
      </c>
      <c r="F114" s="3">
        <v>42878</v>
      </c>
      <c r="G114" s="2">
        <v>201711</v>
      </c>
      <c r="H114" s="2" t="s">
        <v>78</v>
      </c>
      <c r="I114" s="2" t="s">
        <v>79</v>
      </c>
      <c r="J114" s="2" t="s">
        <v>76</v>
      </c>
      <c r="K114" s="2" t="s">
        <v>77</v>
      </c>
      <c r="L114" s="2" t="s">
        <v>78</v>
      </c>
      <c r="M114" s="2" t="s">
        <v>79</v>
      </c>
      <c r="N114" s="2" t="s">
        <v>544</v>
      </c>
      <c r="O114" s="2" t="s">
        <v>90</v>
      </c>
      <c r="P114" s="2" t="str">
        <f t="shared" si="5"/>
        <v xml:space="preserve">NA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6.55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0.4</v>
      </c>
      <c r="BJ114" s="2">
        <v>0.2</v>
      </c>
      <c r="BK114" s="2">
        <v>1</v>
      </c>
      <c r="BL114" s="2">
        <v>64.2</v>
      </c>
      <c r="BM114" s="2">
        <v>8.99</v>
      </c>
      <c r="BN114" s="2">
        <v>73.19</v>
      </c>
      <c r="BO114" s="2">
        <v>73.19</v>
      </c>
      <c r="BQ114" s="2" t="s">
        <v>545</v>
      </c>
      <c r="BR114" s="2" t="s">
        <v>92</v>
      </c>
      <c r="BS114" s="3">
        <v>42879</v>
      </c>
      <c r="BT114" s="4">
        <v>0.48541666666666666</v>
      </c>
      <c r="BU114" s="2" t="s">
        <v>546</v>
      </c>
      <c r="BV114" s="2" t="s">
        <v>84</v>
      </c>
      <c r="BY114" s="2">
        <v>1123.51</v>
      </c>
      <c r="CA114" s="2" t="s">
        <v>547</v>
      </c>
      <c r="CC114" s="2" t="s">
        <v>79</v>
      </c>
      <c r="CD114" s="2">
        <v>2007</v>
      </c>
      <c r="CE114" s="2" t="s">
        <v>85</v>
      </c>
      <c r="CF114" s="3">
        <v>42879</v>
      </c>
      <c r="CI114" s="2">
        <v>1</v>
      </c>
      <c r="CJ114" s="2">
        <v>1</v>
      </c>
      <c r="CK114" s="2" t="s">
        <v>123</v>
      </c>
      <c r="CL114" s="2" t="s">
        <v>86</v>
      </c>
    </row>
    <row r="115" spans="1:90">
      <c r="A115" s="2" t="s">
        <v>71</v>
      </c>
      <c r="B115" s="2" t="s">
        <v>72</v>
      </c>
      <c r="C115" s="2" t="s">
        <v>73</v>
      </c>
      <c r="E115" s="2" t="str">
        <f>"009936325341"</f>
        <v>009936325341</v>
      </c>
      <c r="F115" s="3">
        <v>42878</v>
      </c>
      <c r="G115" s="2">
        <v>201711</v>
      </c>
      <c r="H115" s="2" t="s">
        <v>78</v>
      </c>
      <c r="I115" s="2" t="s">
        <v>79</v>
      </c>
      <c r="J115" s="2" t="s">
        <v>76</v>
      </c>
      <c r="K115" s="2" t="s">
        <v>77</v>
      </c>
      <c r="L115" s="2" t="s">
        <v>223</v>
      </c>
      <c r="M115" s="2" t="s">
        <v>224</v>
      </c>
      <c r="N115" s="2" t="s">
        <v>548</v>
      </c>
      <c r="O115" s="2" t="s">
        <v>90</v>
      </c>
      <c r="P115" s="2" t="str">
        <f t="shared" si="5"/>
        <v xml:space="preserve">NA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6.55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0.2</v>
      </c>
      <c r="BK115" s="2">
        <v>1</v>
      </c>
      <c r="BL115" s="2">
        <v>64.2</v>
      </c>
      <c r="BM115" s="2">
        <v>8.99</v>
      </c>
      <c r="BN115" s="2">
        <v>73.19</v>
      </c>
      <c r="BO115" s="2">
        <v>73.19</v>
      </c>
      <c r="BQ115" s="2" t="s">
        <v>549</v>
      </c>
      <c r="BR115" s="2" t="s">
        <v>92</v>
      </c>
      <c r="BS115" s="3">
        <v>42879</v>
      </c>
      <c r="BT115" s="4">
        <v>0.41319444444444442</v>
      </c>
      <c r="BU115" s="2" t="s">
        <v>550</v>
      </c>
      <c r="BV115" s="2" t="s">
        <v>84</v>
      </c>
      <c r="BY115" s="2">
        <v>1200</v>
      </c>
      <c r="CC115" s="2" t="s">
        <v>224</v>
      </c>
      <c r="CD115" s="2">
        <v>4319</v>
      </c>
      <c r="CE115" s="2" t="s">
        <v>85</v>
      </c>
      <c r="CF115" s="3">
        <v>42880</v>
      </c>
      <c r="CI115" s="2">
        <v>1</v>
      </c>
      <c r="CJ115" s="2">
        <v>1</v>
      </c>
      <c r="CK115" s="2" t="s">
        <v>100</v>
      </c>
      <c r="CL115" s="2" t="s">
        <v>86</v>
      </c>
    </row>
    <row r="116" spans="1:90">
      <c r="A116" s="2" t="s">
        <v>71</v>
      </c>
      <c r="B116" s="2" t="s">
        <v>72</v>
      </c>
      <c r="C116" s="2" t="s">
        <v>73</v>
      </c>
      <c r="E116" s="2" t="str">
        <f>"009936325338"</f>
        <v>009936325338</v>
      </c>
      <c r="F116" s="3">
        <v>42878</v>
      </c>
      <c r="G116" s="2">
        <v>201711</v>
      </c>
      <c r="H116" s="2" t="s">
        <v>78</v>
      </c>
      <c r="I116" s="2" t="s">
        <v>79</v>
      </c>
      <c r="J116" s="2" t="s">
        <v>76</v>
      </c>
      <c r="K116" s="2" t="s">
        <v>77</v>
      </c>
      <c r="L116" s="2" t="s">
        <v>218</v>
      </c>
      <c r="M116" s="2" t="s">
        <v>219</v>
      </c>
      <c r="N116" s="2" t="s">
        <v>220</v>
      </c>
      <c r="O116" s="2" t="s">
        <v>90</v>
      </c>
      <c r="P116" s="2" t="str">
        <f t="shared" si="5"/>
        <v xml:space="preserve">NA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13.1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0.5</v>
      </c>
      <c r="BJ116" s="2">
        <v>2.9</v>
      </c>
      <c r="BK116" s="2">
        <v>3</v>
      </c>
      <c r="BL116" s="2">
        <v>123.4</v>
      </c>
      <c r="BM116" s="2">
        <v>17.28</v>
      </c>
      <c r="BN116" s="2">
        <v>140.68</v>
      </c>
      <c r="BO116" s="2">
        <v>140.68</v>
      </c>
      <c r="BQ116" s="2" t="s">
        <v>222</v>
      </c>
      <c r="BR116" s="2" t="s">
        <v>92</v>
      </c>
      <c r="BS116" s="3">
        <v>42880</v>
      </c>
      <c r="BT116" s="4">
        <v>0.65208333333333335</v>
      </c>
      <c r="BU116" s="2" t="s">
        <v>551</v>
      </c>
      <c r="BV116" s="2" t="s">
        <v>84</v>
      </c>
      <c r="BY116" s="2">
        <v>14364.79</v>
      </c>
      <c r="CC116" s="2" t="s">
        <v>219</v>
      </c>
      <c r="CD116" s="2">
        <v>5099</v>
      </c>
      <c r="CE116" s="2" t="s">
        <v>85</v>
      </c>
      <c r="CF116" s="3">
        <v>42884</v>
      </c>
      <c r="CI116" s="2">
        <v>4</v>
      </c>
      <c r="CJ116" s="2">
        <v>2</v>
      </c>
      <c r="CK116" s="2" t="s">
        <v>180</v>
      </c>
      <c r="CL116" s="2" t="s">
        <v>86</v>
      </c>
    </row>
    <row r="117" spans="1:90">
      <c r="A117" s="2" t="s">
        <v>71</v>
      </c>
      <c r="B117" s="2" t="s">
        <v>72</v>
      </c>
      <c r="C117" s="2" t="s">
        <v>73</v>
      </c>
      <c r="E117" s="2" t="str">
        <f>"009936325336"</f>
        <v>009936325336</v>
      </c>
      <c r="F117" s="3">
        <v>42878</v>
      </c>
      <c r="G117" s="2">
        <v>201711</v>
      </c>
      <c r="H117" s="2" t="s">
        <v>78</v>
      </c>
      <c r="I117" s="2" t="s">
        <v>79</v>
      </c>
      <c r="J117" s="2" t="s">
        <v>76</v>
      </c>
      <c r="K117" s="2" t="s">
        <v>77</v>
      </c>
      <c r="L117" s="2" t="s">
        <v>124</v>
      </c>
      <c r="M117" s="2" t="s">
        <v>125</v>
      </c>
      <c r="N117" s="2" t="s">
        <v>552</v>
      </c>
      <c r="O117" s="2" t="s">
        <v>90</v>
      </c>
      <c r="P117" s="2" t="str">
        <f t="shared" si="5"/>
        <v xml:space="preserve">NA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11.35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2.6</v>
      </c>
      <c r="BJ117" s="2">
        <v>1.4</v>
      </c>
      <c r="BK117" s="2">
        <v>3</v>
      </c>
      <c r="BL117" s="2">
        <v>107.61</v>
      </c>
      <c r="BM117" s="2">
        <v>15.07</v>
      </c>
      <c r="BN117" s="2">
        <v>122.68</v>
      </c>
      <c r="BO117" s="2">
        <v>122.68</v>
      </c>
      <c r="BQ117" s="2" t="s">
        <v>553</v>
      </c>
      <c r="BR117" s="2" t="s">
        <v>92</v>
      </c>
      <c r="BS117" s="3">
        <v>42879</v>
      </c>
      <c r="BT117" s="4">
        <v>0.42499999999999999</v>
      </c>
      <c r="BU117" s="2" t="s">
        <v>554</v>
      </c>
      <c r="BY117" s="2">
        <v>6850.08</v>
      </c>
      <c r="CA117" s="2" t="s">
        <v>167</v>
      </c>
      <c r="CC117" s="2" t="s">
        <v>125</v>
      </c>
      <c r="CD117" s="2">
        <v>6529</v>
      </c>
      <c r="CE117" s="2" t="s">
        <v>85</v>
      </c>
      <c r="CF117" s="3">
        <v>42879</v>
      </c>
      <c r="CI117" s="2">
        <v>0</v>
      </c>
      <c r="CJ117" s="2">
        <v>0</v>
      </c>
      <c r="CK117" s="2" t="s">
        <v>128</v>
      </c>
      <c r="CL117" s="2" t="s">
        <v>86</v>
      </c>
    </row>
    <row r="118" spans="1:90">
      <c r="A118" s="2" t="s">
        <v>71</v>
      </c>
      <c r="B118" s="2" t="s">
        <v>72</v>
      </c>
      <c r="C118" s="2" t="s">
        <v>73</v>
      </c>
      <c r="E118" s="2" t="str">
        <f>"009936325363"</f>
        <v>009936325363</v>
      </c>
      <c r="F118" s="3">
        <v>42878</v>
      </c>
      <c r="G118" s="2">
        <v>201711</v>
      </c>
      <c r="H118" s="2" t="s">
        <v>78</v>
      </c>
      <c r="I118" s="2" t="s">
        <v>79</v>
      </c>
      <c r="J118" s="2" t="s">
        <v>76</v>
      </c>
      <c r="K118" s="2" t="s">
        <v>77</v>
      </c>
      <c r="L118" s="2" t="s">
        <v>372</v>
      </c>
      <c r="M118" s="2" t="s">
        <v>555</v>
      </c>
      <c r="N118" s="2" t="s">
        <v>556</v>
      </c>
      <c r="O118" s="2" t="s">
        <v>90</v>
      </c>
      <c r="P118" s="2" t="str">
        <f t="shared" si="5"/>
        <v xml:space="preserve">NA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11.35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0.5</v>
      </c>
      <c r="BJ118" s="2">
        <v>0.9</v>
      </c>
      <c r="BK118" s="2">
        <v>1</v>
      </c>
      <c r="BL118" s="2">
        <v>107.61</v>
      </c>
      <c r="BM118" s="2">
        <v>15.07</v>
      </c>
      <c r="BN118" s="2">
        <v>122.68</v>
      </c>
      <c r="BO118" s="2">
        <v>122.68</v>
      </c>
      <c r="BQ118" s="2" t="s">
        <v>557</v>
      </c>
      <c r="BR118" s="2" t="s">
        <v>92</v>
      </c>
      <c r="BS118" s="3">
        <v>42879</v>
      </c>
      <c r="BT118" s="4">
        <v>0.49583333333333335</v>
      </c>
      <c r="BU118" s="2" t="s">
        <v>558</v>
      </c>
      <c r="BY118" s="2">
        <v>4619.71</v>
      </c>
      <c r="CC118" s="2" t="s">
        <v>555</v>
      </c>
      <c r="CD118" s="2">
        <v>555</v>
      </c>
      <c r="CE118" s="2" t="s">
        <v>85</v>
      </c>
      <c r="CF118" s="3">
        <v>42881</v>
      </c>
      <c r="CI118" s="2">
        <v>0</v>
      </c>
      <c r="CJ118" s="2">
        <v>0</v>
      </c>
      <c r="CK118" s="2" t="s">
        <v>173</v>
      </c>
      <c r="CL118" s="2" t="s">
        <v>86</v>
      </c>
    </row>
    <row r="119" spans="1:90">
      <c r="A119" s="2" t="s">
        <v>71</v>
      </c>
      <c r="B119" s="2" t="s">
        <v>72</v>
      </c>
      <c r="C119" s="2" t="s">
        <v>73</v>
      </c>
      <c r="E119" s="2" t="str">
        <f>"009936325348"</f>
        <v>009936325348</v>
      </c>
      <c r="F119" s="3">
        <v>42878</v>
      </c>
      <c r="G119" s="2">
        <v>201711</v>
      </c>
      <c r="H119" s="2" t="s">
        <v>78</v>
      </c>
      <c r="I119" s="2" t="s">
        <v>79</v>
      </c>
      <c r="J119" s="2" t="s">
        <v>76</v>
      </c>
      <c r="K119" s="2" t="s">
        <v>77</v>
      </c>
      <c r="L119" s="2" t="s">
        <v>101</v>
      </c>
      <c r="M119" s="2" t="s">
        <v>102</v>
      </c>
      <c r="N119" s="2" t="s">
        <v>559</v>
      </c>
      <c r="O119" s="2" t="s">
        <v>90</v>
      </c>
      <c r="P119" s="2" t="str">
        <f t="shared" si="5"/>
        <v xml:space="preserve">NA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6.55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0.5</v>
      </c>
      <c r="BJ119" s="2">
        <v>0.6</v>
      </c>
      <c r="BK119" s="2">
        <v>1</v>
      </c>
      <c r="BL119" s="2">
        <v>64.2</v>
      </c>
      <c r="BM119" s="2">
        <v>8.99</v>
      </c>
      <c r="BN119" s="2">
        <v>73.19</v>
      </c>
      <c r="BO119" s="2">
        <v>73.19</v>
      </c>
      <c r="BQ119" s="2" t="s">
        <v>560</v>
      </c>
      <c r="BR119" s="2" t="s">
        <v>92</v>
      </c>
      <c r="BS119" s="3">
        <v>42879</v>
      </c>
      <c r="BT119" s="4">
        <v>0.375</v>
      </c>
      <c r="BU119" s="2" t="s">
        <v>185</v>
      </c>
      <c r="BV119" s="2" t="s">
        <v>84</v>
      </c>
      <c r="BY119" s="2">
        <v>2899.55</v>
      </c>
      <c r="CC119" s="2" t="s">
        <v>102</v>
      </c>
      <c r="CD119" s="2">
        <v>4054</v>
      </c>
      <c r="CE119" s="2" t="s">
        <v>85</v>
      </c>
      <c r="CF119" s="3">
        <v>42880</v>
      </c>
      <c r="CI119" s="2">
        <v>1</v>
      </c>
      <c r="CJ119" s="2">
        <v>1</v>
      </c>
      <c r="CK119" s="2" t="s">
        <v>100</v>
      </c>
      <c r="CL119" s="2" t="s">
        <v>86</v>
      </c>
    </row>
    <row r="120" spans="1:90">
      <c r="A120" s="2" t="s">
        <v>71</v>
      </c>
      <c r="B120" s="2" t="s">
        <v>72</v>
      </c>
      <c r="C120" s="2" t="s">
        <v>73</v>
      </c>
      <c r="E120" s="2" t="str">
        <f>"009936325343"</f>
        <v>009936325343</v>
      </c>
      <c r="F120" s="3">
        <v>42878</v>
      </c>
      <c r="G120" s="2">
        <v>201711</v>
      </c>
      <c r="H120" s="2" t="s">
        <v>78</v>
      </c>
      <c r="I120" s="2" t="s">
        <v>79</v>
      </c>
      <c r="J120" s="2" t="s">
        <v>76</v>
      </c>
      <c r="K120" s="2" t="s">
        <v>77</v>
      </c>
      <c r="L120" s="2" t="s">
        <v>134</v>
      </c>
      <c r="M120" s="2" t="s">
        <v>75</v>
      </c>
      <c r="N120" s="2" t="s">
        <v>561</v>
      </c>
      <c r="O120" s="2" t="s">
        <v>90</v>
      </c>
      <c r="P120" s="2" t="str">
        <f t="shared" si="5"/>
        <v xml:space="preserve">NA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9.5299999999999994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0.4</v>
      </c>
      <c r="BJ120" s="2">
        <v>0.4</v>
      </c>
      <c r="BK120" s="2">
        <v>1</v>
      </c>
      <c r="BL120" s="2">
        <v>91.17</v>
      </c>
      <c r="BM120" s="2">
        <v>12.76</v>
      </c>
      <c r="BN120" s="2">
        <v>103.93</v>
      </c>
      <c r="BO120" s="2">
        <v>103.93</v>
      </c>
      <c r="BQ120" s="2" t="s">
        <v>387</v>
      </c>
      <c r="BR120" s="2" t="s">
        <v>92</v>
      </c>
      <c r="BS120" s="3">
        <v>42886</v>
      </c>
      <c r="BT120" s="4">
        <v>0.62083333333333335</v>
      </c>
      <c r="BU120" s="2" t="s">
        <v>562</v>
      </c>
      <c r="BV120" s="2" t="s">
        <v>86</v>
      </c>
      <c r="BY120" s="2">
        <v>1905.27</v>
      </c>
      <c r="CA120" s="2" t="s">
        <v>563</v>
      </c>
      <c r="CC120" s="2" t="s">
        <v>75</v>
      </c>
      <c r="CD120" s="2">
        <v>8005</v>
      </c>
      <c r="CE120" s="2" t="s">
        <v>85</v>
      </c>
      <c r="CI120" s="2">
        <v>2</v>
      </c>
      <c r="CJ120" s="2">
        <v>6</v>
      </c>
      <c r="CK120" s="2" t="s">
        <v>137</v>
      </c>
      <c r="CL120" s="2" t="s">
        <v>86</v>
      </c>
    </row>
    <row r="121" spans="1:90">
      <c r="A121" s="2" t="s">
        <v>71</v>
      </c>
      <c r="B121" s="2" t="s">
        <v>72</v>
      </c>
      <c r="C121" s="2" t="s">
        <v>73</v>
      </c>
      <c r="E121" s="2" t="str">
        <f>"009936325365"</f>
        <v>009936325365</v>
      </c>
      <c r="F121" s="3">
        <v>42878</v>
      </c>
      <c r="G121" s="2">
        <v>201711</v>
      </c>
      <c r="H121" s="2" t="s">
        <v>78</v>
      </c>
      <c r="I121" s="2" t="s">
        <v>79</v>
      </c>
      <c r="J121" s="2" t="s">
        <v>76</v>
      </c>
      <c r="K121" s="2" t="s">
        <v>77</v>
      </c>
      <c r="L121" s="2" t="s">
        <v>518</v>
      </c>
      <c r="M121" s="2" t="s">
        <v>519</v>
      </c>
      <c r="N121" s="2" t="s">
        <v>564</v>
      </c>
      <c r="O121" s="2" t="s">
        <v>90</v>
      </c>
      <c r="P121" s="2" t="str">
        <f t="shared" si="5"/>
        <v xml:space="preserve">NA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11.35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0.5</v>
      </c>
      <c r="BK121" s="2">
        <v>1</v>
      </c>
      <c r="BL121" s="2">
        <v>107.61</v>
      </c>
      <c r="BM121" s="2">
        <v>15.07</v>
      </c>
      <c r="BN121" s="2">
        <v>122.68</v>
      </c>
      <c r="BO121" s="2">
        <v>122.68</v>
      </c>
      <c r="BQ121" s="2" t="s">
        <v>521</v>
      </c>
      <c r="BR121" s="2" t="s">
        <v>92</v>
      </c>
      <c r="BS121" s="3">
        <v>42880</v>
      </c>
      <c r="BT121" s="4">
        <v>0.38680555555555557</v>
      </c>
      <c r="BU121" s="2" t="s">
        <v>565</v>
      </c>
      <c r="BV121" s="2" t="s">
        <v>84</v>
      </c>
      <c r="BY121" s="2">
        <v>2400</v>
      </c>
      <c r="CC121" s="2" t="s">
        <v>519</v>
      </c>
      <c r="CD121" s="2">
        <v>9750</v>
      </c>
      <c r="CE121" s="2" t="s">
        <v>85</v>
      </c>
      <c r="CF121" s="3">
        <v>42884</v>
      </c>
      <c r="CI121" s="2">
        <v>4</v>
      </c>
      <c r="CJ121" s="2">
        <v>2</v>
      </c>
      <c r="CK121" s="2" t="s">
        <v>128</v>
      </c>
      <c r="CL121" s="2" t="s">
        <v>86</v>
      </c>
    </row>
    <row r="122" spans="1:90">
      <c r="A122" s="2" t="s">
        <v>71</v>
      </c>
      <c r="B122" s="2" t="s">
        <v>72</v>
      </c>
      <c r="C122" s="2" t="s">
        <v>73</v>
      </c>
      <c r="E122" s="2" t="str">
        <f>"009936325344"</f>
        <v>009936325344</v>
      </c>
      <c r="F122" s="3">
        <v>42878</v>
      </c>
      <c r="G122" s="2">
        <v>201711</v>
      </c>
      <c r="H122" s="2" t="s">
        <v>78</v>
      </c>
      <c r="I122" s="2" t="s">
        <v>79</v>
      </c>
      <c r="J122" s="2" t="s">
        <v>76</v>
      </c>
      <c r="K122" s="2" t="s">
        <v>77</v>
      </c>
      <c r="L122" s="2" t="s">
        <v>113</v>
      </c>
      <c r="M122" s="2" t="s">
        <v>114</v>
      </c>
      <c r="N122" s="2" t="s">
        <v>367</v>
      </c>
      <c r="O122" s="2" t="s">
        <v>90</v>
      </c>
      <c r="P122" s="2" t="str">
        <f t="shared" si="5"/>
        <v xml:space="preserve">NA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9.5299999999999994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1</v>
      </c>
      <c r="BJ122" s="2">
        <v>0.5</v>
      </c>
      <c r="BK122" s="2">
        <v>1</v>
      </c>
      <c r="BL122" s="2">
        <v>91.17</v>
      </c>
      <c r="BM122" s="2">
        <v>12.76</v>
      </c>
      <c r="BN122" s="2">
        <v>103.93</v>
      </c>
      <c r="BO122" s="2">
        <v>103.93</v>
      </c>
      <c r="BQ122" s="2" t="s">
        <v>368</v>
      </c>
      <c r="BR122" s="2" t="s">
        <v>92</v>
      </c>
      <c r="BS122" s="3">
        <v>42879</v>
      </c>
      <c r="BT122" s="4">
        <v>0.53819444444444442</v>
      </c>
      <c r="BU122" s="2" t="s">
        <v>566</v>
      </c>
      <c r="BV122" s="2" t="s">
        <v>84</v>
      </c>
      <c r="BY122" s="2">
        <v>2400</v>
      </c>
      <c r="CC122" s="2" t="s">
        <v>114</v>
      </c>
      <c r="CD122" s="2">
        <v>5241</v>
      </c>
      <c r="CE122" s="2" t="s">
        <v>85</v>
      </c>
      <c r="CF122" s="3">
        <v>42881</v>
      </c>
      <c r="CI122" s="2">
        <v>2</v>
      </c>
      <c r="CJ122" s="2">
        <v>1</v>
      </c>
      <c r="CK122" s="2" t="s">
        <v>119</v>
      </c>
      <c r="CL122" s="2" t="s">
        <v>86</v>
      </c>
    </row>
    <row r="123" spans="1:90">
      <c r="A123" s="2" t="s">
        <v>71</v>
      </c>
      <c r="B123" s="2" t="s">
        <v>72</v>
      </c>
      <c r="C123" s="2" t="s">
        <v>73</v>
      </c>
      <c r="E123" s="2" t="str">
        <f>"009936325345"</f>
        <v>009936325345</v>
      </c>
      <c r="F123" s="3">
        <v>42878</v>
      </c>
      <c r="G123" s="2">
        <v>201711</v>
      </c>
      <c r="H123" s="2" t="s">
        <v>78</v>
      </c>
      <c r="I123" s="2" t="s">
        <v>79</v>
      </c>
      <c r="J123" s="2" t="s">
        <v>76</v>
      </c>
      <c r="K123" s="2" t="s">
        <v>77</v>
      </c>
      <c r="L123" s="2" t="s">
        <v>370</v>
      </c>
      <c r="M123" s="2" t="s">
        <v>370</v>
      </c>
      <c r="N123" s="2" t="s">
        <v>567</v>
      </c>
      <c r="O123" s="2" t="s">
        <v>90</v>
      </c>
      <c r="P123" s="2" t="str">
        <f t="shared" si="5"/>
        <v xml:space="preserve">NA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9.5299999999999994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</v>
      </c>
      <c r="BJ123" s="2">
        <v>0.5</v>
      </c>
      <c r="BK123" s="2">
        <v>1</v>
      </c>
      <c r="BL123" s="2">
        <v>91.17</v>
      </c>
      <c r="BM123" s="2">
        <v>12.76</v>
      </c>
      <c r="BN123" s="2">
        <v>103.93</v>
      </c>
      <c r="BO123" s="2">
        <v>103.93</v>
      </c>
      <c r="BQ123" s="2" t="s">
        <v>568</v>
      </c>
      <c r="BR123" s="2" t="s">
        <v>92</v>
      </c>
      <c r="BS123" s="3">
        <v>42879</v>
      </c>
      <c r="BT123" s="4">
        <v>0.41666666666666669</v>
      </c>
      <c r="BU123" s="2" t="s">
        <v>569</v>
      </c>
      <c r="BV123" s="2" t="s">
        <v>84</v>
      </c>
      <c r="BY123" s="2">
        <v>2400</v>
      </c>
      <c r="CA123" s="2" t="s">
        <v>490</v>
      </c>
      <c r="CC123" s="2" t="s">
        <v>370</v>
      </c>
      <c r="CD123" s="2">
        <v>7625</v>
      </c>
      <c r="CE123" s="2" t="s">
        <v>85</v>
      </c>
      <c r="CF123" s="3">
        <v>42880</v>
      </c>
      <c r="CI123" s="2">
        <v>2</v>
      </c>
      <c r="CJ123" s="2">
        <v>1</v>
      </c>
      <c r="CK123" s="2" t="s">
        <v>137</v>
      </c>
      <c r="CL123" s="2" t="s">
        <v>86</v>
      </c>
    </row>
    <row r="124" spans="1:90">
      <c r="A124" s="2" t="s">
        <v>71</v>
      </c>
      <c r="B124" s="2" t="s">
        <v>72</v>
      </c>
      <c r="C124" s="2" t="s">
        <v>73</v>
      </c>
      <c r="E124" s="2" t="str">
        <f>"009936325350"</f>
        <v>009936325350</v>
      </c>
      <c r="F124" s="3">
        <v>42878</v>
      </c>
      <c r="G124" s="2">
        <v>201711</v>
      </c>
      <c r="H124" s="2" t="s">
        <v>78</v>
      </c>
      <c r="I124" s="2" t="s">
        <v>79</v>
      </c>
      <c r="J124" s="2" t="s">
        <v>76</v>
      </c>
      <c r="K124" s="2" t="s">
        <v>77</v>
      </c>
      <c r="L124" s="2" t="s">
        <v>421</v>
      </c>
      <c r="M124" s="2" t="s">
        <v>422</v>
      </c>
      <c r="N124" s="2" t="s">
        <v>570</v>
      </c>
      <c r="O124" s="2" t="s">
        <v>90</v>
      </c>
      <c r="P124" s="2" t="str">
        <f t="shared" si="5"/>
        <v xml:space="preserve">NA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11.35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0.5</v>
      </c>
      <c r="BJ124" s="2">
        <v>0.3</v>
      </c>
      <c r="BK124" s="2">
        <v>1</v>
      </c>
      <c r="BL124" s="2">
        <v>107.61</v>
      </c>
      <c r="BM124" s="2">
        <v>15.07</v>
      </c>
      <c r="BN124" s="2">
        <v>122.68</v>
      </c>
      <c r="BO124" s="2">
        <v>122.68</v>
      </c>
      <c r="BQ124" s="2" t="s">
        <v>424</v>
      </c>
      <c r="BR124" s="2" t="s">
        <v>92</v>
      </c>
      <c r="BS124" s="3">
        <v>42879</v>
      </c>
      <c r="BT124" s="4">
        <v>0.40625</v>
      </c>
      <c r="BU124" s="2" t="s">
        <v>571</v>
      </c>
      <c r="BV124" s="2" t="s">
        <v>84</v>
      </c>
      <c r="BY124" s="2">
        <v>1317.37</v>
      </c>
      <c r="CA124" s="2" t="s">
        <v>426</v>
      </c>
      <c r="CC124" s="2" t="s">
        <v>422</v>
      </c>
      <c r="CD124" s="2">
        <v>6849</v>
      </c>
      <c r="CE124" s="2" t="s">
        <v>85</v>
      </c>
      <c r="CF124" s="3">
        <v>42879</v>
      </c>
      <c r="CI124" s="2">
        <v>4</v>
      </c>
      <c r="CJ124" s="2">
        <v>1</v>
      </c>
      <c r="CK124" s="2" t="s">
        <v>128</v>
      </c>
      <c r="CL124" s="2" t="s">
        <v>86</v>
      </c>
    </row>
    <row r="125" spans="1:90">
      <c r="A125" s="2" t="s">
        <v>71</v>
      </c>
      <c r="B125" s="2" t="s">
        <v>72</v>
      </c>
      <c r="C125" s="2" t="s">
        <v>73</v>
      </c>
      <c r="E125" s="2" t="str">
        <f>"009936325349"</f>
        <v>009936325349</v>
      </c>
      <c r="F125" s="3">
        <v>42878</v>
      </c>
      <c r="G125" s="2">
        <v>201711</v>
      </c>
      <c r="H125" s="2" t="s">
        <v>78</v>
      </c>
      <c r="I125" s="2" t="s">
        <v>79</v>
      </c>
      <c r="J125" s="2" t="s">
        <v>76</v>
      </c>
      <c r="K125" s="2" t="s">
        <v>77</v>
      </c>
      <c r="L125" s="2" t="s">
        <v>153</v>
      </c>
      <c r="M125" s="2" t="s">
        <v>154</v>
      </c>
      <c r="N125" s="2" t="s">
        <v>572</v>
      </c>
      <c r="O125" s="2" t="s">
        <v>90</v>
      </c>
      <c r="P125" s="2" t="str">
        <f t="shared" si="5"/>
        <v xml:space="preserve">NA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9.4600000000000009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1</v>
      </c>
      <c r="BJ125" s="2">
        <v>0.2</v>
      </c>
      <c r="BK125" s="2">
        <v>1</v>
      </c>
      <c r="BL125" s="2">
        <v>90.51</v>
      </c>
      <c r="BM125" s="2">
        <v>12.67</v>
      </c>
      <c r="BN125" s="2">
        <v>103.18</v>
      </c>
      <c r="BO125" s="2">
        <v>103.18</v>
      </c>
      <c r="BQ125" s="2" t="s">
        <v>573</v>
      </c>
      <c r="BR125" s="2" t="s">
        <v>92</v>
      </c>
      <c r="BS125" s="3">
        <v>42879</v>
      </c>
      <c r="BT125" s="4">
        <v>0.33680555555555558</v>
      </c>
      <c r="BU125" s="2" t="s">
        <v>450</v>
      </c>
      <c r="BV125" s="2" t="s">
        <v>84</v>
      </c>
      <c r="BY125" s="2">
        <v>1200</v>
      </c>
      <c r="CA125" s="2" t="s">
        <v>329</v>
      </c>
      <c r="CC125" s="2" t="s">
        <v>154</v>
      </c>
      <c r="CD125" s="2">
        <v>3200</v>
      </c>
      <c r="CE125" s="2" t="s">
        <v>85</v>
      </c>
      <c r="CF125" s="3">
        <v>42879</v>
      </c>
      <c r="CI125" s="2">
        <v>1</v>
      </c>
      <c r="CJ125" s="2">
        <v>1</v>
      </c>
      <c r="CK125" s="2" t="s">
        <v>158</v>
      </c>
      <c r="CL125" s="2" t="s">
        <v>86</v>
      </c>
    </row>
    <row r="126" spans="1:90">
      <c r="A126" s="2" t="s">
        <v>71</v>
      </c>
      <c r="B126" s="2" t="s">
        <v>72</v>
      </c>
      <c r="C126" s="2" t="s">
        <v>73</v>
      </c>
      <c r="E126" s="2" t="str">
        <f>"009936325346"</f>
        <v>009936325346</v>
      </c>
      <c r="F126" s="3">
        <v>42878</v>
      </c>
      <c r="G126" s="2">
        <v>201711</v>
      </c>
      <c r="H126" s="2" t="s">
        <v>78</v>
      </c>
      <c r="I126" s="2" t="s">
        <v>79</v>
      </c>
      <c r="J126" s="2" t="s">
        <v>76</v>
      </c>
      <c r="K126" s="2" t="s">
        <v>77</v>
      </c>
      <c r="L126" s="2" t="s">
        <v>134</v>
      </c>
      <c r="M126" s="2" t="s">
        <v>75</v>
      </c>
      <c r="N126" s="2" t="s">
        <v>574</v>
      </c>
      <c r="O126" s="2" t="s">
        <v>90</v>
      </c>
      <c r="P126" s="2" t="str">
        <f t="shared" si="5"/>
        <v xml:space="preserve">NA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9.5299999999999994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</v>
      </c>
      <c r="BJ126" s="2">
        <v>0.5</v>
      </c>
      <c r="BK126" s="2">
        <v>1</v>
      </c>
      <c r="BL126" s="2">
        <v>91.17</v>
      </c>
      <c r="BM126" s="2">
        <v>12.76</v>
      </c>
      <c r="BN126" s="2">
        <v>103.93</v>
      </c>
      <c r="BO126" s="2">
        <v>103.93</v>
      </c>
      <c r="BQ126" s="2" t="s">
        <v>379</v>
      </c>
      <c r="BR126" s="2" t="s">
        <v>92</v>
      </c>
      <c r="BS126" s="3">
        <v>42879</v>
      </c>
      <c r="BT126" s="4">
        <v>0.42777777777777781</v>
      </c>
      <c r="BU126" s="2" t="s">
        <v>575</v>
      </c>
      <c r="BV126" s="2" t="s">
        <v>84</v>
      </c>
      <c r="BY126" s="2">
        <v>2400</v>
      </c>
      <c r="CC126" s="2" t="s">
        <v>75</v>
      </c>
      <c r="CD126" s="2">
        <v>8000</v>
      </c>
      <c r="CE126" s="2" t="s">
        <v>85</v>
      </c>
      <c r="CF126" s="3">
        <v>42880</v>
      </c>
      <c r="CI126" s="2">
        <v>2</v>
      </c>
      <c r="CJ126" s="2">
        <v>1</v>
      </c>
      <c r="CK126" s="2" t="s">
        <v>137</v>
      </c>
      <c r="CL126" s="2" t="s">
        <v>86</v>
      </c>
    </row>
    <row r="127" spans="1:90">
      <c r="A127" s="2" t="s">
        <v>71</v>
      </c>
      <c r="B127" s="2" t="s">
        <v>72</v>
      </c>
      <c r="C127" s="2" t="s">
        <v>73</v>
      </c>
      <c r="E127" s="2" t="str">
        <f>"009936325335"</f>
        <v>009936325335</v>
      </c>
      <c r="F127" s="3">
        <v>42878</v>
      </c>
      <c r="G127" s="2">
        <v>201711</v>
      </c>
      <c r="H127" s="2" t="s">
        <v>78</v>
      </c>
      <c r="I127" s="2" t="s">
        <v>79</v>
      </c>
      <c r="J127" s="2" t="s">
        <v>76</v>
      </c>
      <c r="K127" s="2" t="s">
        <v>77</v>
      </c>
      <c r="L127" s="2" t="s">
        <v>276</v>
      </c>
      <c r="M127" s="2" t="s">
        <v>277</v>
      </c>
      <c r="N127" s="2" t="s">
        <v>576</v>
      </c>
      <c r="O127" s="2" t="s">
        <v>90</v>
      </c>
      <c r="P127" s="2" t="str">
        <f t="shared" si="5"/>
        <v xml:space="preserve">NA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11.35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0.8</v>
      </c>
      <c r="BJ127" s="2">
        <v>0.2</v>
      </c>
      <c r="BK127" s="2">
        <v>1</v>
      </c>
      <c r="BL127" s="2">
        <v>107.61</v>
      </c>
      <c r="BM127" s="2">
        <v>15.07</v>
      </c>
      <c r="BN127" s="2">
        <v>122.68</v>
      </c>
      <c r="BO127" s="2">
        <v>122.68</v>
      </c>
      <c r="BQ127" s="2" t="s">
        <v>560</v>
      </c>
      <c r="BR127" s="2" t="s">
        <v>92</v>
      </c>
      <c r="BS127" s="3">
        <v>42879</v>
      </c>
      <c r="BT127" s="4">
        <v>0.48958333333333331</v>
      </c>
      <c r="BU127" s="2" t="s">
        <v>577</v>
      </c>
      <c r="BV127" s="2" t="s">
        <v>84</v>
      </c>
      <c r="BY127" s="2">
        <v>1200</v>
      </c>
      <c r="CA127" s="2" t="s">
        <v>490</v>
      </c>
      <c r="CC127" s="2" t="s">
        <v>277</v>
      </c>
      <c r="CD127" s="2">
        <v>2745</v>
      </c>
      <c r="CE127" s="2" t="s">
        <v>85</v>
      </c>
      <c r="CF127" s="3">
        <v>42880</v>
      </c>
      <c r="CI127" s="2">
        <v>1</v>
      </c>
      <c r="CJ127" s="2">
        <v>1</v>
      </c>
      <c r="CK127" s="2" t="s">
        <v>173</v>
      </c>
      <c r="CL127" s="2" t="s">
        <v>86</v>
      </c>
    </row>
    <row r="128" spans="1:90">
      <c r="A128" s="2" t="s">
        <v>71</v>
      </c>
      <c r="B128" s="2" t="s">
        <v>72</v>
      </c>
      <c r="C128" s="2" t="s">
        <v>73</v>
      </c>
      <c r="E128" s="2" t="str">
        <f>"009936325364"</f>
        <v>009936325364</v>
      </c>
      <c r="F128" s="3">
        <v>42878</v>
      </c>
      <c r="G128" s="2">
        <v>201711</v>
      </c>
      <c r="H128" s="2" t="s">
        <v>78</v>
      </c>
      <c r="I128" s="2" t="s">
        <v>79</v>
      </c>
      <c r="J128" s="2" t="s">
        <v>76</v>
      </c>
      <c r="K128" s="2" t="s">
        <v>77</v>
      </c>
      <c r="L128" s="2" t="s">
        <v>405</v>
      </c>
      <c r="M128" s="2" t="s">
        <v>406</v>
      </c>
      <c r="N128" s="2" t="s">
        <v>578</v>
      </c>
      <c r="O128" s="2" t="s">
        <v>90</v>
      </c>
      <c r="P128" s="2" t="str">
        <f t="shared" si="5"/>
        <v xml:space="preserve">NA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6.55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1</v>
      </c>
      <c r="BJ128" s="2">
        <v>0.2</v>
      </c>
      <c r="BK128" s="2">
        <v>1</v>
      </c>
      <c r="BL128" s="2">
        <v>64.2</v>
      </c>
      <c r="BM128" s="2">
        <v>8.99</v>
      </c>
      <c r="BN128" s="2">
        <v>73.19</v>
      </c>
      <c r="BO128" s="2">
        <v>73.19</v>
      </c>
      <c r="BQ128" s="2" t="s">
        <v>579</v>
      </c>
      <c r="BR128" s="2" t="s">
        <v>92</v>
      </c>
      <c r="BS128" s="3">
        <v>42879</v>
      </c>
      <c r="BT128" s="4">
        <v>0.53402777777777777</v>
      </c>
      <c r="BU128" s="2" t="s">
        <v>409</v>
      </c>
      <c r="BV128" s="2" t="s">
        <v>84</v>
      </c>
      <c r="BY128" s="2">
        <v>1200</v>
      </c>
      <c r="CC128" s="2" t="s">
        <v>406</v>
      </c>
      <c r="CD128" s="2">
        <v>1559</v>
      </c>
      <c r="CE128" s="2" t="s">
        <v>85</v>
      </c>
      <c r="CF128" s="3">
        <v>42880</v>
      </c>
      <c r="CI128" s="2">
        <v>1</v>
      </c>
      <c r="CJ128" s="2">
        <v>1</v>
      </c>
      <c r="CK128" s="2" t="s">
        <v>123</v>
      </c>
      <c r="CL128" s="2" t="s">
        <v>86</v>
      </c>
    </row>
    <row r="129" spans="1:90">
      <c r="A129" s="2" t="s">
        <v>71</v>
      </c>
      <c r="B129" s="2" t="s">
        <v>72</v>
      </c>
      <c r="C129" s="2" t="s">
        <v>73</v>
      </c>
      <c r="E129" s="2" t="str">
        <f>"009936325385"</f>
        <v>009936325385</v>
      </c>
      <c r="F129" s="3">
        <v>42878</v>
      </c>
      <c r="G129" s="2">
        <v>201711</v>
      </c>
      <c r="H129" s="2" t="s">
        <v>78</v>
      </c>
      <c r="I129" s="2" t="s">
        <v>79</v>
      </c>
      <c r="J129" s="2" t="s">
        <v>76</v>
      </c>
      <c r="K129" s="2" t="s">
        <v>77</v>
      </c>
      <c r="L129" s="2" t="s">
        <v>168</v>
      </c>
      <c r="M129" s="2" t="s">
        <v>169</v>
      </c>
      <c r="N129" s="2" t="s">
        <v>580</v>
      </c>
      <c r="O129" s="2" t="s">
        <v>90</v>
      </c>
      <c r="P129" s="2" t="str">
        <f t="shared" si="5"/>
        <v xml:space="preserve">NA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11.35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</v>
      </c>
      <c r="BJ129" s="2">
        <v>0.2</v>
      </c>
      <c r="BK129" s="2">
        <v>1</v>
      </c>
      <c r="BL129" s="2">
        <v>107.61</v>
      </c>
      <c r="BM129" s="2">
        <v>15.07</v>
      </c>
      <c r="BN129" s="2">
        <v>122.68</v>
      </c>
      <c r="BO129" s="2">
        <v>122.68</v>
      </c>
      <c r="BQ129" s="2" t="s">
        <v>581</v>
      </c>
      <c r="BR129" s="2" t="s">
        <v>92</v>
      </c>
      <c r="BS129" s="3">
        <v>42879</v>
      </c>
      <c r="BT129" s="4">
        <v>0.46458333333333335</v>
      </c>
      <c r="BU129" s="2" t="s">
        <v>172</v>
      </c>
      <c r="BV129" s="2" t="s">
        <v>84</v>
      </c>
      <c r="BY129" s="2">
        <v>1200</v>
      </c>
      <c r="CC129" s="2" t="s">
        <v>169</v>
      </c>
      <c r="CD129" s="2">
        <v>2865</v>
      </c>
      <c r="CE129" s="2" t="s">
        <v>85</v>
      </c>
      <c r="CF129" s="3">
        <v>42881</v>
      </c>
      <c r="CI129" s="2">
        <v>2</v>
      </c>
      <c r="CJ129" s="2">
        <v>1</v>
      </c>
      <c r="CK129" s="2" t="s">
        <v>173</v>
      </c>
      <c r="CL129" s="2" t="s">
        <v>86</v>
      </c>
    </row>
    <row r="130" spans="1:90">
      <c r="A130" s="2" t="s">
        <v>71</v>
      </c>
      <c r="B130" s="2" t="s">
        <v>72</v>
      </c>
      <c r="C130" s="2" t="s">
        <v>73</v>
      </c>
      <c r="E130" s="2" t="str">
        <f>"009936325340"</f>
        <v>009936325340</v>
      </c>
      <c r="F130" s="3">
        <v>42878</v>
      </c>
      <c r="G130" s="2">
        <v>201711</v>
      </c>
      <c r="H130" s="2" t="s">
        <v>78</v>
      </c>
      <c r="I130" s="2" t="s">
        <v>79</v>
      </c>
      <c r="J130" s="2" t="s">
        <v>76</v>
      </c>
      <c r="K130" s="2" t="s">
        <v>77</v>
      </c>
      <c r="L130" s="2" t="s">
        <v>138</v>
      </c>
      <c r="M130" s="2" t="s">
        <v>139</v>
      </c>
      <c r="N130" s="2" t="s">
        <v>582</v>
      </c>
      <c r="O130" s="2" t="s">
        <v>90</v>
      </c>
      <c r="P130" s="2" t="str">
        <f t="shared" si="5"/>
        <v xml:space="preserve">NA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11.35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0.2</v>
      </c>
      <c r="BK130" s="2">
        <v>1</v>
      </c>
      <c r="BL130" s="2">
        <v>107.61</v>
      </c>
      <c r="BM130" s="2">
        <v>15.07</v>
      </c>
      <c r="BN130" s="2">
        <v>122.68</v>
      </c>
      <c r="BO130" s="2">
        <v>122.68</v>
      </c>
      <c r="BQ130" s="2" t="s">
        <v>583</v>
      </c>
      <c r="BR130" s="2" t="s">
        <v>92</v>
      </c>
      <c r="BS130" s="3">
        <v>42880</v>
      </c>
      <c r="BT130" s="4">
        <v>0.49305555555555558</v>
      </c>
      <c r="BU130" s="2" t="s">
        <v>584</v>
      </c>
      <c r="BV130" s="2" t="s">
        <v>84</v>
      </c>
      <c r="BY130" s="2">
        <v>1200</v>
      </c>
      <c r="CA130" s="2" t="s">
        <v>447</v>
      </c>
      <c r="CC130" s="2" t="s">
        <v>139</v>
      </c>
      <c r="CD130" s="2">
        <v>7365</v>
      </c>
      <c r="CE130" s="2" t="s">
        <v>85</v>
      </c>
      <c r="CF130" s="3">
        <v>42880</v>
      </c>
      <c r="CI130" s="2">
        <v>4</v>
      </c>
      <c r="CJ130" s="2">
        <v>2</v>
      </c>
      <c r="CK130" s="2" t="s">
        <v>128</v>
      </c>
      <c r="CL130" s="2" t="s">
        <v>86</v>
      </c>
    </row>
    <row r="131" spans="1:90">
      <c r="A131" s="2" t="s">
        <v>71</v>
      </c>
      <c r="B131" s="2" t="s">
        <v>72</v>
      </c>
      <c r="C131" s="2" t="s">
        <v>73</v>
      </c>
      <c r="E131" s="2" t="str">
        <f>"009936325347"</f>
        <v>009936325347</v>
      </c>
      <c r="F131" s="3">
        <v>42878</v>
      </c>
      <c r="G131" s="2">
        <v>201711</v>
      </c>
      <c r="H131" s="2" t="s">
        <v>78</v>
      </c>
      <c r="I131" s="2" t="s">
        <v>79</v>
      </c>
      <c r="J131" s="2" t="s">
        <v>76</v>
      </c>
      <c r="K131" s="2" t="s">
        <v>77</v>
      </c>
      <c r="L131" s="2" t="s">
        <v>309</v>
      </c>
      <c r="M131" s="2" t="s">
        <v>310</v>
      </c>
      <c r="N131" s="2" t="s">
        <v>311</v>
      </c>
      <c r="O131" s="2" t="s">
        <v>90</v>
      </c>
      <c r="P131" s="2" t="str">
        <f t="shared" si="5"/>
        <v xml:space="preserve">NA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6.55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</v>
      </c>
      <c r="BJ131" s="2">
        <v>0.2</v>
      </c>
      <c r="BK131" s="2">
        <v>1</v>
      </c>
      <c r="BL131" s="2">
        <v>64.2</v>
      </c>
      <c r="BM131" s="2">
        <v>8.99</v>
      </c>
      <c r="BN131" s="2">
        <v>73.19</v>
      </c>
      <c r="BO131" s="2">
        <v>73.19</v>
      </c>
      <c r="BQ131" s="2" t="s">
        <v>312</v>
      </c>
      <c r="BR131" s="2" t="s">
        <v>92</v>
      </c>
      <c r="BS131" s="3">
        <v>42879</v>
      </c>
      <c r="BT131" s="4">
        <v>0.34652777777777777</v>
      </c>
      <c r="BU131" s="2" t="s">
        <v>585</v>
      </c>
      <c r="BV131" s="2" t="s">
        <v>84</v>
      </c>
      <c r="BY131" s="2">
        <v>1200</v>
      </c>
      <c r="CC131" s="2" t="s">
        <v>310</v>
      </c>
      <c r="CD131" s="2">
        <v>1619</v>
      </c>
      <c r="CE131" s="2" t="s">
        <v>85</v>
      </c>
      <c r="CF131" s="3">
        <v>42880</v>
      </c>
      <c r="CI131" s="2">
        <v>1</v>
      </c>
      <c r="CJ131" s="2">
        <v>1</v>
      </c>
      <c r="CK131" s="2" t="s">
        <v>123</v>
      </c>
      <c r="CL131" s="2" t="s">
        <v>86</v>
      </c>
    </row>
    <row r="132" spans="1:90">
      <c r="A132" s="2" t="s">
        <v>71</v>
      </c>
      <c r="B132" s="2" t="s">
        <v>72</v>
      </c>
      <c r="C132" s="2" t="s">
        <v>73</v>
      </c>
      <c r="E132" s="2" t="str">
        <f>"009936325472"</f>
        <v>009936325472</v>
      </c>
      <c r="F132" s="3">
        <v>42880</v>
      </c>
      <c r="G132" s="2">
        <v>201711</v>
      </c>
      <c r="H132" s="2" t="s">
        <v>78</v>
      </c>
      <c r="I132" s="2" t="s">
        <v>79</v>
      </c>
      <c r="J132" s="2" t="s">
        <v>76</v>
      </c>
      <c r="K132" s="2" t="s">
        <v>77</v>
      </c>
      <c r="L132" s="2" t="s">
        <v>272</v>
      </c>
      <c r="M132" s="2" t="s">
        <v>273</v>
      </c>
      <c r="N132" s="2" t="s">
        <v>586</v>
      </c>
      <c r="O132" s="2" t="s">
        <v>90</v>
      </c>
      <c r="P132" s="2" t="str">
        <f t="shared" si="5"/>
        <v xml:space="preserve">NA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6.55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9.4</v>
      </c>
      <c r="BJ132" s="2">
        <v>4.2</v>
      </c>
      <c r="BK132" s="2">
        <v>10</v>
      </c>
      <c r="BL132" s="2">
        <v>64.2</v>
      </c>
      <c r="BM132" s="2">
        <v>8.99</v>
      </c>
      <c r="BN132" s="2">
        <v>73.19</v>
      </c>
      <c r="BO132" s="2">
        <v>73.19</v>
      </c>
      <c r="BQ132" s="2" t="s">
        <v>587</v>
      </c>
      <c r="BR132" s="2" t="s">
        <v>92</v>
      </c>
      <c r="BS132" s="3">
        <v>42881</v>
      </c>
      <c r="BT132" s="4">
        <v>0.60416666666666663</v>
      </c>
      <c r="BU132" s="2" t="s">
        <v>588</v>
      </c>
      <c r="BV132" s="2" t="s">
        <v>84</v>
      </c>
      <c r="BY132" s="2">
        <v>20974.85</v>
      </c>
      <c r="CC132" s="2" t="s">
        <v>273</v>
      </c>
      <c r="CD132" s="2">
        <v>3600</v>
      </c>
      <c r="CE132" s="2" t="s">
        <v>85</v>
      </c>
      <c r="CF132" s="3">
        <v>42884</v>
      </c>
      <c r="CI132" s="2">
        <v>1</v>
      </c>
      <c r="CJ132" s="2">
        <v>1</v>
      </c>
      <c r="CK132" s="2" t="s">
        <v>100</v>
      </c>
      <c r="CL132" s="2" t="s">
        <v>86</v>
      </c>
    </row>
    <row r="133" spans="1:90">
      <c r="A133" s="2" t="s">
        <v>71</v>
      </c>
      <c r="B133" s="2" t="s">
        <v>72</v>
      </c>
      <c r="C133" s="2" t="s">
        <v>73</v>
      </c>
      <c r="E133" s="2" t="str">
        <f>"009936325458"</f>
        <v>009936325458</v>
      </c>
      <c r="F133" s="3">
        <v>42880</v>
      </c>
      <c r="G133" s="2">
        <v>201711</v>
      </c>
      <c r="H133" s="2" t="s">
        <v>78</v>
      </c>
      <c r="I133" s="2" t="s">
        <v>79</v>
      </c>
      <c r="J133" s="2" t="s">
        <v>76</v>
      </c>
      <c r="K133" s="2" t="s">
        <v>77</v>
      </c>
      <c r="L133" s="2" t="s">
        <v>589</v>
      </c>
      <c r="M133" s="2" t="s">
        <v>590</v>
      </c>
      <c r="N133" s="2" t="s">
        <v>76</v>
      </c>
      <c r="O133" s="2" t="s">
        <v>90</v>
      </c>
      <c r="P133" s="2" t="str">
        <f t="shared" si="5"/>
        <v xml:space="preserve">NA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9.5299999999999994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12.7</v>
      </c>
      <c r="BJ133" s="2">
        <v>4.0999999999999996</v>
      </c>
      <c r="BK133" s="2">
        <v>13</v>
      </c>
      <c r="BL133" s="2">
        <v>91.17</v>
      </c>
      <c r="BM133" s="2">
        <v>12.76</v>
      </c>
      <c r="BN133" s="2">
        <v>103.93</v>
      </c>
      <c r="BO133" s="2">
        <v>103.93</v>
      </c>
      <c r="BQ133" s="2" t="s">
        <v>591</v>
      </c>
      <c r="BR133" s="2" t="s">
        <v>92</v>
      </c>
      <c r="BS133" s="3">
        <v>42885</v>
      </c>
      <c r="BT133" s="4">
        <v>0.54166666666666663</v>
      </c>
      <c r="BU133" s="2" t="s">
        <v>142</v>
      </c>
      <c r="BW133" s="2" t="s">
        <v>592</v>
      </c>
      <c r="BX133" s="2" t="s">
        <v>284</v>
      </c>
      <c r="BY133" s="2">
        <v>20286.560000000001</v>
      </c>
      <c r="CA133" s="2" t="s">
        <v>593</v>
      </c>
      <c r="CC133" s="2" t="s">
        <v>590</v>
      </c>
      <c r="CD133" s="2">
        <v>7140</v>
      </c>
      <c r="CE133" s="2" t="s">
        <v>85</v>
      </c>
      <c r="CF133" s="3">
        <v>42885</v>
      </c>
      <c r="CI133" s="2">
        <v>0</v>
      </c>
      <c r="CJ133" s="2">
        <v>0</v>
      </c>
      <c r="CK133" s="2" t="s">
        <v>137</v>
      </c>
      <c r="CL133" s="2" t="s">
        <v>86</v>
      </c>
    </row>
    <row r="134" spans="1:90">
      <c r="A134" s="2" t="s">
        <v>71</v>
      </c>
      <c r="B134" s="2" t="s">
        <v>72</v>
      </c>
      <c r="C134" s="2" t="s">
        <v>73</v>
      </c>
      <c r="E134" s="2" t="str">
        <f>"009936325339"</f>
        <v>009936325339</v>
      </c>
      <c r="F134" s="3">
        <v>42878</v>
      </c>
      <c r="G134" s="2">
        <v>201711</v>
      </c>
      <c r="H134" s="2" t="s">
        <v>78</v>
      </c>
      <c r="I134" s="2" t="s">
        <v>79</v>
      </c>
      <c r="J134" s="2" t="s">
        <v>76</v>
      </c>
      <c r="K134" s="2" t="s">
        <v>77</v>
      </c>
      <c r="L134" s="2" t="s">
        <v>405</v>
      </c>
      <c r="M134" s="2" t="s">
        <v>406</v>
      </c>
      <c r="N134" s="2" t="s">
        <v>407</v>
      </c>
      <c r="O134" s="2" t="s">
        <v>90</v>
      </c>
      <c r="P134" s="2" t="str">
        <f t="shared" si="5"/>
        <v xml:space="preserve">NA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6.55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1</v>
      </c>
      <c r="BJ134" s="2">
        <v>0.2</v>
      </c>
      <c r="BK134" s="2">
        <v>1</v>
      </c>
      <c r="BL134" s="2">
        <v>64.2</v>
      </c>
      <c r="BM134" s="2">
        <v>8.99</v>
      </c>
      <c r="BN134" s="2">
        <v>73.19</v>
      </c>
      <c r="BO134" s="2">
        <v>73.19</v>
      </c>
      <c r="BQ134" s="2" t="s">
        <v>408</v>
      </c>
      <c r="BR134" s="2" t="s">
        <v>92</v>
      </c>
      <c r="BS134" s="3">
        <v>42879</v>
      </c>
      <c r="BT134" s="4">
        <v>0.28472222222222221</v>
      </c>
      <c r="BU134" s="2" t="s">
        <v>594</v>
      </c>
      <c r="BV134" s="2" t="s">
        <v>84</v>
      </c>
      <c r="BY134" s="2">
        <v>1200</v>
      </c>
      <c r="CA134" s="2" t="s">
        <v>490</v>
      </c>
      <c r="CC134" s="2" t="s">
        <v>406</v>
      </c>
      <c r="CD134" s="2">
        <v>1560</v>
      </c>
      <c r="CE134" s="2" t="s">
        <v>85</v>
      </c>
      <c r="CF134" s="3">
        <v>42880</v>
      </c>
      <c r="CI134" s="2">
        <v>1</v>
      </c>
      <c r="CJ134" s="2">
        <v>1</v>
      </c>
      <c r="CK134" s="2" t="s">
        <v>123</v>
      </c>
      <c r="CL134" s="2" t="s">
        <v>86</v>
      </c>
    </row>
    <row r="135" spans="1:90">
      <c r="A135" s="2" t="s">
        <v>71</v>
      </c>
      <c r="B135" s="2" t="s">
        <v>72</v>
      </c>
      <c r="C135" s="2" t="s">
        <v>73</v>
      </c>
      <c r="E135" s="2" t="str">
        <f>"009936325323"</f>
        <v>009936325323</v>
      </c>
      <c r="F135" s="3">
        <v>42885</v>
      </c>
      <c r="G135" s="2">
        <v>201711</v>
      </c>
      <c r="H135" s="2" t="s">
        <v>78</v>
      </c>
      <c r="I135" s="2" t="s">
        <v>79</v>
      </c>
      <c r="J135" s="2" t="s">
        <v>76</v>
      </c>
      <c r="K135" s="2" t="s">
        <v>77</v>
      </c>
      <c r="L135" s="2" t="s">
        <v>451</v>
      </c>
      <c r="M135" s="2" t="s">
        <v>452</v>
      </c>
      <c r="N135" s="2" t="s">
        <v>595</v>
      </c>
      <c r="O135" s="2" t="s">
        <v>539</v>
      </c>
      <c r="P135" s="2" t="str">
        <f t="shared" si="5"/>
        <v xml:space="preserve">NA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50.67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202.88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0.4</v>
      </c>
      <c r="BJ135" s="2">
        <v>2.7</v>
      </c>
      <c r="BK135" s="2">
        <v>3</v>
      </c>
      <c r="BL135" s="2">
        <v>660.86</v>
      </c>
      <c r="BM135" s="2">
        <v>0</v>
      </c>
      <c r="BN135" s="2">
        <v>660.86</v>
      </c>
      <c r="BO135" s="2">
        <v>660.86</v>
      </c>
      <c r="BQ135" s="2" t="s">
        <v>543</v>
      </c>
      <c r="BR135" s="2" t="s">
        <v>92</v>
      </c>
      <c r="BS135" s="2" t="s">
        <v>455</v>
      </c>
      <c r="BY135" s="2">
        <v>13621.02</v>
      </c>
      <c r="BZ135" s="2" t="s">
        <v>542</v>
      </c>
      <c r="CC135" s="2" t="s">
        <v>452</v>
      </c>
      <c r="CD135" s="2" t="s">
        <v>456</v>
      </c>
      <c r="CE135" s="2" t="s">
        <v>85</v>
      </c>
      <c r="CI135" s="2">
        <v>0</v>
      </c>
      <c r="CJ135" s="2">
        <v>0</v>
      </c>
      <c r="CK135" s="2">
        <v>521</v>
      </c>
      <c r="CL135" s="2" t="s">
        <v>86</v>
      </c>
    </row>
    <row r="136" spans="1:90">
      <c r="A136" s="2" t="s">
        <v>71</v>
      </c>
      <c r="B136" s="2" t="s">
        <v>72</v>
      </c>
      <c r="C136" s="2" t="s">
        <v>73</v>
      </c>
      <c r="E136" s="2" t="str">
        <f>"009936325468"</f>
        <v>009936325468</v>
      </c>
      <c r="F136" s="3">
        <v>42885</v>
      </c>
      <c r="G136" s="2">
        <v>201711</v>
      </c>
      <c r="H136" s="2" t="s">
        <v>78</v>
      </c>
      <c r="I136" s="2" t="s">
        <v>79</v>
      </c>
      <c r="J136" s="2" t="s">
        <v>76</v>
      </c>
      <c r="K136" s="2" t="s">
        <v>77</v>
      </c>
      <c r="L136" s="2" t="s">
        <v>596</v>
      </c>
      <c r="M136" s="2" t="s">
        <v>597</v>
      </c>
      <c r="N136" s="2" t="s">
        <v>598</v>
      </c>
      <c r="O136" s="2" t="s">
        <v>539</v>
      </c>
      <c r="P136" s="2" t="str">
        <f t="shared" si="5"/>
        <v xml:space="preserve">NA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37.659999999999997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150.79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157.15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1</v>
      </c>
      <c r="BJ136" s="2">
        <v>0.9</v>
      </c>
      <c r="BK136" s="2">
        <v>1</v>
      </c>
      <c r="BL136" s="2">
        <v>648.34</v>
      </c>
      <c r="BM136" s="2">
        <v>0</v>
      </c>
      <c r="BN136" s="2">
        <v>648.34</v>
      </c>
      <c r="BO136" s="2">
        <v>648.34</v>
      </c>
      <c r="BQ136" s="2" t="s">
        <v>415</v>
      </c>
      <c r="BR136" s="2" t="s">
        <v>92</v>
      </c>
      <c r="BS136" s="2" t="s">
        <v>455</v>
      </c>
      <c r="BY136" s="2">
        <v>4296.29</v>
      </c>
      <c r="BZ136" s="2" t="s">
        <v>599</v>
      </c>
      <c r="CC136" s="2" t="s">
        <v>597</v>
      </c>
      <c r="CD136" s="2" t="s">
        <v>600</v>
      </c>
      <c r="CE136" s="2" t="s">
        <v>85</v>
      </c>
      <c r="CI136" s="2">
        <v>0</v>
      </c>
      <c r="CJ136" s="2">
        <v>0</v>
      </c>
      <c r="CK136" s="2">
        <v>522</v>
      </c>
      <c r="CL136" s="2" t="s">
        <v>86</v>
      </c>
    </row>
    <row r="137" spans="1:90">
      <c r="A137" s="2" t="s">
        <v>71</v>
      </c>
      <c r="B137" s="2" t="s">
        <v>72</v>
      </c>
      <c r="C137" s="2" t="s">
        <v>73</v>
      </c>
      <c r="E137" s="2" t="str">
        <f>"009936325325"</f>
        <v>009936325325</v>
      </c>
      <c r="F137" s="3">
        <v>42885</v>
      </c>
      <c r="G137" s="2">
        <v>201711</v>
      </c>
      <c r="H137" s="2" t="s">
        <v>78</v>
      </c>
      <c r="I137" s="2" t="s">
        <v>79</v>
      </c>
      <c r="J137" s="2" t="s">
        <v>76</v>
      </c>
      <c r="K137" s="2" t="s">
        <v>77</v>
      </c>
      <c r="L137" s="2" t="s">
        <v>601</v>
      </c>
      <c r="M137" s="2" t="s">
        <v>602</v>
      </c>
      <c r="N137" s="2" t="s">
        <v>603</v>
      </c>
      <c r="O137" s="2" t="s">
        <v>90</v>
      </c>
      <c r="P137" s="2" t="str">
        <f t="shared" si="5"/>
        <v xml:space="preserve">NA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6.55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</v>
      </c>
      <c r="BJ137" s="2">
        <v>0.2</v>
      </c>
      <c r="BK137" s="2">
        <v>1</v>
      </c>
      <c r="BL137" s="2">
        <v>64.2</v>
      </c>
      <c r="BM137" s="2">
        <v>8.99</v>
      </c>
      <c r="BN137" s="2">
        <v>73.19</v>
      </c>
      <c r="BO137" s="2">
        <v>73.19</v>
      </c>
      <c r="BQ137" s="2" t="s">
        <v>604</v>
      </c>
      <c r="BR137" s="2" t="s">
        <v>92</v>
      </c>
      <c r="BS137" s="3">
        <v>42886</v>
      </c>
      <c r="BT137" s="4">
        <v>0.4694444444444445</v>
      </c>
      <c r="BU137" s="2" t="s">
        <v>409</v>
      </c>
      <c r="BV137" s="2" t="s">
        <v>84</v>
      </c>
      <c r="BY137" s="2">
        <v>1200</v>
      </c>
      <c r="CC137" s="2" t="s">
        <v>602</v>
      </c>
      <c r="CD137" s="2">
        <v>1500</v>
      </c>
      <c r="CE137" s="2" t="s">
        <v>85</v>
      </c>
      <c r="CI137" s="2">
        <v>1</v>
      </c>
      <c r="CJ137" s="2">
        <v>1</v>
      </c>
      <c r="CK137" s="2" t="s">
        <v>123</v>
      </c>
      <c r="CL137" s="2" t="s">
        <v>86</v>
      </c>
    </row>
    <row r="138" spans="1:90">
      <c r="A138" s="2" t="s">
        <v>71</v>
      </c>
      <c r="B138" s="2" t="s">
        <v>72</v>
      </c>
      <c r="C138" s="2" t="s">
        <v>73</v>
      </c>
      <c r="E138" s="2" t="str">
        <f>"009936325320"</f>
        <v>009936325320</v>
      </c>
      <c r="F138" s="3">
        <v>42885</v>
      </c>
      <c r="G138" s="2">
        <v>201711</v>
      </c>
      <c r="H138" s="2" t="s">
        <v>78</v>
      </c>
      <c r="I138" s="2" t="s">
        <v>79</v>
      </c>
      <c r="J138" s="2" t="s">
        <v>76</v>
      </c>
      <c r="K138" s="2" t="s">
        <v>77</v>
      </c>
      <c r="L138" s="2" t="s">
        <v>354</v>
      </c>
      <c r="M138" s="2" t="s">
        <v>355</v>
      </c>
      <c r="N138" s="2" t="s">
        <v>77</v>
      </c>
      <c r="O138" s="2" t="s">
        <v>90</v>
      </c>
      <c r="P138" s="2" t="str">
        <f t="shared" si="5"/>
        <v xml:space="preserve">NA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9.5299999999999994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0.8</v>
      </c>
      <c r="BJ138" s="2">
        <v>0.2</v>
      </c>
      <c r="BK138" s="2">
        <v>1</v>
      </c>
      <c r="BL138" s="2">
        <v>91.17</v>
      </c>
      <c r="BM138" s="2">
        <v>12.76</v>
      </c>
      <c r="BN138" s="2">
        <v>103.93</v>
      </c>
      <c r="BO138" s="2">
        <v>103.93</v>
      </c>
      <c r="BQ138" s="2" t="s">
        <v>605</v>
      </c>
      <c r="BR138" s="2" t="s">
        <v>92</v>
      </c>
      <c r="BS138" s="3">
        <v>42886</v>
      </c>
      <c r="BT138" s="4">
        <v>0.60416666666666663</v>
      </c>
      <c r="BU138" s="2" t="s">
        <v>185</v>
      </c>
      <c r="BV138" s="2" t="s">
        <v>84</v>
      </c>
      <c r="BY138" s="2">
        <v>1200</v>
      </c>
      <c r="CC138" s="2" t="s">
        <v>355</v>
      </c>
      <c r="CD138" s="2">
        <v>4240</v>
      </c>
      <c r="CE138" s="2" t="s">
        <v>85</v>
      </c>
      <c r="CI138" s="2">
        <v>1</v>
      </c>
      <c r="CJ138" s="2">
        <v>1</v>
      </c>
      <c r="CK138" s="2" t="s">
        <v>119</v>
      </c>
      <c r="CL138" s="2" t="s">
        <v>86</v>
      </c>
    </row>
    <row r="139" spans="1:90">
      <c r="A139" s="2" t="s">
        <v>71</v>
      </c>
      <c r="B139" s="2" t="s">
        <v>72</v>
      </c>
      <c r="C139" s="2" t="s">
        <v>73</v>
      </c>
      <c r="E139" s="2" t="str">
        <f>"009936325470"</f>
        <v>009936325470</v>
      </c>
      <c r="F139" s="3">
        <v>42885</v>
      </c>
      <c r="G139" s="2">
        <v>201711</v>
      </c>
      <c r="H139" s="2" t="s">
        <v>78</v>
      </c>
      <c r="I139" s="2" t="s">
        <v>79</v>
      </c>
      <c r="J139" s="2" t="s">
        <v>76</v>
      </c>
      <c r="K139" s="2" t="s">
        <v>77</v>
      </c>
      <c r="L139" s="2" t="s">
        <v>251</v>
      </c>
      <c r="M139" s="2" t="s">
        <v>252</v>
      </c>
      <c r="N139" s="2" t="s">
        <v>606</v>
      </c>
      <c r="O139" s="2" t="s">
        <v>90</v>
      </c>
      <c r="P139" s="2" t="str">
        <f t="shared" si="5"/>
        <v xml:space="preserve">NA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6.55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1</v>
      </c>
      <c r="BJ139" s="2">
        <v>1</v>
      </c>
      <c r="BK139" s="2">
        <v>1</v>
      </c>
      <c r="BL139" s="2">
        <v>64.2</v>
      </c>
      <c r="BM139" s="2">
        <v>8.99</v>
      </c>
      <c r="BN139" s="2">
        <v>73.19</v>
      </c>
      <c r="BO139" s="2">
        <v>73.19</v>
      </c>
      <c r="BQ139" s="2" t="s">
        <v>607</v>
      </c>
      <c r="BR139" s="2" t="s">
        <v>92</v>
      </c>
      <c r="BS139" s="3">
        <v>42886</v>
      </c>
      <c r="BT139" s="4">
        <v>0.46319444444444446</v>
      </c>
      <c r="BU139" s="2" t="s">
        <v>608</v>
      </c>
      <c r="BV139" s="2" t="s">
        <v>84</v>
      </c>
      <c r="BY139" s="2">
        <v>4893.88</v>
      </c>
      <c r="CA139" s="2" t="s">
        <v>490</v>
      </c>
      <c r="CC139" s="2" t="s">
        <v>252</v>
      </c>
      <c r="CD139" s="2">
        <v>2940</v>
      </c>
      <c r="CE139" s="2" t="s">
        <v>85</v>
      </c>
      <c r="CI139" s="2">
        <v>1</v>
      </c>
      <c r="CJ139" s="2">
        <v>1</v>
      </c>
      <c r="CK139" s="2" t="s">
        <v>100</v>
      </c>
      <c r="CL139" s="2" t="s">
        <v>86</v>
      </c>
    </row>
    <row r="140" spans="1:90">
      <c r="A140" s="2" t="s">
        <v>71</v>
      </c>
      <c r="B140" s="2" t="s">
        <v>72</v>
      </c>
      <c r="C140" s="2" t="s">
        <v>73</v>
      </c>
      <c r="E140" s="2" t="str">
        <f>"009936325324"</f>
        <v>009936325324</v>
      </c>
      <c r="F140" s="3">
        <v>42885</v>
      </c>
      <c r="G140" s="2">
        <v>201711</v>
      </c>
      <c r="H140" s="2" t="s">
        <v>78</v>
      </c>
      <c r="I140" s="2" t="s">
        <v>79</v>
      </c>
      <c r="J140" s="2" t="s">
        <v>76</v>
      </c>
      <c r="K140" s="2" t="s">
        <v>77</v>
      </c>
      <c r="L140" s="2" t="s">
        <v>349</v>
      </c>
      <c r="M140" s="2" t="s">
        <v>350</v>
      </c>
      <c r="N140" s="2" t="s">
        <v>609</v>
      </c>
      <c r="O140" s="2" t="s">
        <v>90</v>
      </c>
      <c r="P140" s="2" t="str">
        <f t="shared" si="5"/>
        <v xml:space="preserve">NA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9.5299999999999994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</v>
      </c>
      <c r="BJ140" s="2">
        <v>0.2</v>
      </c>
      <c r="BK140" s="2">
        <v>1</v>
      </c>
      <c r="BL140" s="2">
        <v>91.17</v>
      </c>
      <c r="BM140" s="2">
        <v>12.76</v>
      </c>
      <c r="BN140" s="2">
        <v>103.93</v>
      </c>
      <c r="BO140" s="2">
        <v>103.93</v>
      </c>
      <c r="BQ140" s="2" t="s">
        <v>610</v>
      </c>
      <c r="BR140" s="2" t="s">
        <v>92</v>
      </c>
      <c r="BS140" s="3">
        <v>42886</v>
      </c>
      <c r="BT140" s="4">
        <v>0.5395833333333333</v>
      </c>
      <c r="BU140" s="2" t="s">
        <v>611</v>
      </c>
      <c r="BV140" s="2" t="s">
        <v>84</v>
      </c>
      <c r="BY140" s="2">
        <v>1200</v>
      </c>
      <c r="CC140" s="2" t="s">
        <v>350</v>
      </c>
      <c r="CD140" s="2">
        <v>2350</v>
      </c>
      <c r="CE140" s="2" t="s">
        <v>85</v>
      </c>
      <c r="CI140" s="2">
        <v>1</v>
      </c>
      <c r="CJ140" s="2">
        <v>1</v>
      </c>
      <c r="CK140" s="2" t="s">
        <v>137</v>
      </c>
      <c r="CL140" s="2" t="s">
        <v>86</v>
      </c>
    </row>
    <row r="141" spans="1:90">
      <c r="A141" s="2" t="s">
        <v>71</v>
      </c>
      <c r="B141" s="2" t="s">
        <v>72</v>
      </c>
      <c r="C141" s="2" t="s">
        <v>73</v>
      </c>
      <c r="E141" s="2" t="str">
        <f>"009936325322"</f>
        <v>009936325322</v>
      </c>
      <c r="F141" s="3">
        <v>42885</v>
      </c>
      <c r="G141" s="2">
        <v>201711</v>
      </c>
      <c r="H141" s="2" t="s">
        <v>78</v>
      </c>
      <c r="I141" s="2" t="s">
        <v>79</v>
      </c>
      <c r="J141" s="2" t="s">
        <v>76</v>
      </c>
      <c r="K141" s="2" t="s">
        <v>77</v>
      </c>
      <c r="L141" s="2" t="s">
        <v>266</v>
      </c>
      <c r="M141" s="2" t="s">
        <v>267</v>
      </c>
      <c r="N141" s="2" t="s">
        <v>612</v>
      </c>
      <c r="O141" s="2" t="s">
        <v>90</v>
      </c>
      <c r="P141" s="2" t="str">
        <f t="shared" si="5"/>
        <v xml:space="preserve">NA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6.55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0.8</v>
      </c>
      <c r="BJ141" s="2">
        <v>0.2</v>
      </c>
      <c r="BK141" s="2">
        <v>1</v>
      </c>
      <c r="BL141" s="2">
        <v>64.2</v>
      </c>
      <c r="BM141" s="2">
        <v>8.99</v>
      </c>
      <c r="BN141" s="2">
        <v>73.19</v>
      </c>
      <c r="BO141" s="2">
        <v>73.19</v>
      </c>
      <c r="BQ141" s="2" t="s">
        <v>338</v>
      </c>
      <c r="BR141" s="2" t="s">
        <v>92</v>
      </c>
      <c r="BS141" s="3">
        <v>42886</v>
      </c>
      <c r="BT141" s="4">
        <v>0.43333333333333335</v>
      </c>
      <c r="BU141" s="2" t="s">
        <v>338</v>
      </c>
      <c r="BV141" s="2" t="s">
        <v>84</v>
      </c>
      <c r="BY141" s="2">
        <v>1200</v>
      </c>
      <c r="CA141" s="2" t="s">
        <v>613</v>
      </c>
      <c r="CC141" s="2" t="s">
        <v>267</v>
      </c>
      <c r="CD141" s="2">
        <v>8300</v>
      </c>
      <c r="CE141" s="2" t="s">
        <v>85</v>
      </c>
      <c r="CF141" s="3">
        <v>42886</v>
      </c>
      <c r="CI141" s="2">
        <v>1</v>
      </c>
      <c r="CJ141" s="2">
        <v>1</v>
      </c>
      <c r="CK141" s="2" t="s">
        <v>112</v>
      </c>
      <c r="CL141" s="2" t="s">
        <v>86</v>
      </c>
    </row>
    <row r="142" spans="1:90">
      <c r="A142" s="2" t="s">
        <v>71</v>
      </c>
      <c r="B142" s="2" t="s">
        <v>72</v>
      </c>
      <c r="C142" s="2" t="s">
        <v>73</v>
      </c>
      <c r="E142" s="2" t="str">
        <f>"009936325319"</f>
        <v>009936325319</v>
      </c>
      <c r="F142" s="3">
        <v>42885</v>
      </c>
      <c r="G142" s="2">
        <v>201711</v>
      </c>
      <c r="H142" s="2" t="s">
        <v>78</v>
      </c>
      <c r="I142" s="2" t="s">
        <v>79</v>
      </c>
      <c r="J142" s="2" t="s">
        <v>76</v>
      </c>
      <c r="K142" s="2" t="s">
        <v>77</v>
      </c>
      <c r="L142" s="2" t="s">
        <v>129</v>
      </c>
      <c r="M142" s="2" t="s">
        <v>130</v>
      </c>
      <c r="N142" s="2" t="s">
        <v>614</v>
      </c>
      <c r="O142" s="2" t="s">
        <v>90</v>
      </c>
      <c r="P142" s="2" t="str">
        <f t="shared" si="5"/>
        <v xml:space="preserve">NA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6.55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1</v>
      </c>
      <c r="BJ142" s="2">
        <v>0.2</v>
      </c>
      <c r="BK142" s="2">
        <v>1</v>
      </c>
      <c r="BL142" s="2">
        <v>64.2</v>
      </c>
      <c r="BM142" s="2">
        <v>8.99</v>
      </c>
      <c r="BN142" s="2">
        <v>73.19</v>
      </c>
      <c r="BO142" s="2">
        <v>73.19</v>
      </c>
      <c r="BQ142" s="2" t="s">
        <v>615</v>
      </c>
      <c r="BR142" s="2" t="s">
        <v>92</v>
      </c>
      <c r="BS142" s="3">
        <v>42886</v>
      </c>
      <c r="BT142" s="4">
        <v>0.38541666666666669</v>
      </c>
      <c r="BU142" s="2" t="s">
        <v>507</v>
      </c>
      <c r="BV142" s="2" t="s">
        <v>84</v>
      </c>
      <c r="BY142" s="2">
        <v>1200</v>
      </c>
      <c r="CC142" s="2" t="s">
        <v>130</v>
      </c>
      <c r="CD142" s="2">
        <v>9300</v>
      </c>
      <c r="CE142" s="2" t="s">
        <v>85</v>
      </c>
      <c r="CI142" s="2">
        <v>1</v>
      </c>
      <c r="CJ142" s="2">
        <v>1</v>
      </c>
      <c r="CK142" s="2" t="s">
        <v>112</v>
      </c>
      <c r="CL142" s="2" t="s">
        <v>86</v>
      </c>
    </row>
    <row r="143" spans="1:90">
      <c r="A143" s="2" t="s">
        <v>71</v>
      </c>
      <c r="B143" s="2" t="s">
        <v>72</v>
      </c>
      <c r="C143" s="2" t="s">
        <v>73</v>
      </c>
      <c r="E143" s="2" t="str">
        <f>"009936325469"</f>
        <v>009936325469</v>
      </c>
      <c r="F143" s="3">
        <v>42885</v>
      </c>
      <c r="G143" s="2">
        <v>201711</v>
      </c>
      <c r="H143" s="2" t="s">
        <v>78</v>
      </c>
      <c r="I143" s="2" t="s">
        <v>79</v>
      </c>
      <c r="J143" s="2" t="s">
        <v>76</v>
      </c>
      <c r="K143" s="2" t="s">
        <v>77</v>
      </c>
      <c r="L143" s="2" t="s">
        <v>153</v>
      </c>
      <c r="M143" s="2" t="s">
        <v>154</v>
      </c>
      <c r="N143" s="2" t="s">
        <v>616</v>
      </c>
      <c r="O143" s="2" t="s">
        <v>90</v>
      </c>
      <c r="P143" s="2" t="str">
        <f t="shared" si="5"/>
        <v xml:space="preserve">NA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9.4600000000000009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0.8</v>
      </c>
      <c r="BJ143" s="2">
        <v>0.2</v>
      </c>
      <c r="BK143" s="2">
        <v>1</v>
      </c>
      <c r="BL143" s="2">
        <v>90.51</v>
      </c>
      <c r="BM143" s="2">
        <v>12.67</v>
      </c>
      <c r="BN143" s="2">
        <v>103.18</v>
      </c>
      <c r="BO143" s="2">
        <v>103.18</v>
      </c>
      <c r="BQ143" s="2" t="s">
        <v>617</v>
      </c>
      <c r="BR143" s="2" t="s">
        <v>92</v>
      </c>
      <c r="BS143" s="3">
        <v>42886</v>
      </c>
      <c r="BT143" s="4">
        <v>0.39861111111111108</v>
      </c>
      <c r="BU143" s="2" t="s">
        <v>618</v>
      </c>
      <c r="BV143" s="2" t="s">
        <v>84</v>
      </c>
      <c r="BY143" s="2">
        <v>1200</v>
      </c>
      <c r="CA143" s="2" t="s">
        <v>329</v>
      </c>
      <c r="CC143" s="2" t="s">
        <v>154</v>
      </c>
      <c r="CD143" s="2">
        <v>3201</v>
      </c>
      <c r="CE143" s="2" t="s">
        <v>85</v>
      </c>
      <c r="CF143" s="3">
        <v>42886</v>
      </c>
      <c r="CI143" s="2">
        <v>1</v>
      </c>
      <c r="CJ143" s="2">
        <v>1</v>
      </c>
      <c r="CK143" s="2" t="s">
        <v>158</v>
      </c>
      <c r="CL143" s="2" t="s">
        <v>86</v>
      </c>
    </row>
    <row r="144" spans="1:90">
      <c r="A144" s="2" t="s">
        <v>71</v>
      </c>
      <c r="B144" s="2" t="s">
        <v>72</v>
      </c>
      <c r="C144" s="2" t="s">
        <v>73</v>
      </c>
      <c r="E144" s="2" t="str">
        <f>"009936325471"</f>
        <v>009936325471</v>
      </c>
      <c r="F144" s="3">
        <v>42885</v>
      </c>
      <c r="G144" s="2">
        <v>201711</v>
      </c>
      <c r="H144" s="2" t="s">
        <v>78</v>
      </c>
      <c r="I144" s="2" t="s">
        <v>79</v>
      </c>
      <c r="J144" s="2" t="s">
        <v>76</v>
      </c>
      <c r="K144" s="2" t="s">
        <v>77</v>
      </c>
      <c r="L144" s="2" t="s">
        <v>101</v>
      </c>
      <c r="M144" s="2" t="s">
        <v>102</v>
      </c>
      <c r="N144" s="2" t="s">
        <v>619</v>
      </c>
      <c r="O144" s="2" t="s">
        <v>90</v>
      </c>
      <c r="P144" s="2" t="str">
        <f t="shared" si="5"/>
        <v xml:space="preserve">NA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6.55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0.8</v>
      </c>
      <c r="BJ144" s="2">
        <v>0.2</v>
      </c>
      <c r="BK144" s="2">
        <v>1</v>
      </c>
      <c r="BL144" s="2">
        <v>64.2</v>
      </c>
      <c r="BM144" s="2">
        <v>8.99</v>
      </c>
      <c r="BN144" s="2">
        <v>73.19</v>
      </c>
      <c r="BO144" s="2">
        <v>73.19</v>
      </c>
      <c r="BQ144" s="2" t="s">
        <v>620</v>
      </c>
      <c r="BR144" s="2" t="s">
        <v>92</v>
      </c>
      <c r="BS144" s="3">
        <v>42886</v>
      </c>
      <c r="BT144" s="4">
        <v>0.31944444444444448</v>
      </c>
      <c r="BU144" s="2" t="s">
        <v>621</v>
      </c>
      <c r="BV144" s="2" t="s">
        <v>84</v>
      </c>
      <c r="BY144" s="2">
        <v>1200</v>
      </c>
      <c r="CC144" s="2" t="s">
        <v>102</v>
      </c>
      <c r="CD144" s="2">
        <v>4019</v>
      </c>
      <c r="CE144" s="2" t="s">
        <v>85</v>
      </c>
      <c r="CF144" s="3">
        <v>42887</v>
      </c>
      <c r="CI144" s="2">
        <v>1</v>
      </c>
      <c r="CJ144" s="2">
        <v>1</v>
      </c>
      <c r="CK144" s="2" t="s">
        <v>100</v>
      </c>
      <c r="CL144" s="2" t="s">
        <v>86</v>
      </c>
    </row>
    <row r="145" spans="1:90">
      <c r="A145" s="2" t="s">
        <v>71</v>
      </c>
      <c r="B145" s="2" t="s">
        <v>72</v>
      </c>
      <c r="C145" s="2" t="s">
        <v>73</v>
      </c>
      <c r="E145" s="2" t="str">
        <f>"009936325321"</f>
        <v>009936325321</v>
      </c>
      <c r="F145" s="3">
        <v>42885</v>
      </c>
      <c r="G145" s="2">
        <v>201711</v>
      </c>
      <c r="H145" s="2" t="s">
        <v>78</v>
      </c>
      <c r="I145" s="2" t="s">
        <v>79</v>
      </c>
      <c r="J145" s="2" t="s">
        <v>76</v>
      </c>
      <c r="K145" s="2" t="s">
        <v>77</v>
      </c>
      <c r="L145" s="2" t="s">
        <v>622</v>
      </c>
      <c r="M145" s="2" t="s">
        <v>623</v>
      </c>
      <c r="N145" s="2" t="s">
        <v>624</v>
      </c>
      <c r="O145" s="2" t="s">
        <v>90</v>
      </c>
      <c r="P145" s="2" t="str">
        <f t="shared" si="5"/>
        <v xml:space="preserve">NA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8.73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</v>
      </c>
      <c r="BJ145" s="2">
        <v>0.8</v>
      </c>
      <c r="BK145" s="2">
        <v>1</v>
      </c>
      <c r="BL145" s="2">
        <v>83.93</v>
      </c>
      <c r="BM145" s="2">
        <v>11.75</v>
      </c>
      <c r="BN145" s="2">
        <v>95.68</v>
      </c>
      <c r="BO145" s="2">
        <v>95.68</v>
      </c>
      <c r="BQ145" s="2" t="s">
        <v>625</v>
      </c>
      <c r="BR145" s="2" t="s">
        <v>92</v>
      </c>
      <c r="BS145" s="3">
        <v>42886</v>
      </c>
      <c r="BT145" s="4">
        <v>0.54166666666666663</v>
      </c>
      <c r="BU145" s="2" t="s">
        <v>626</v>
      </c>
      <c r="BV145" s="2" t="s">
        <v>84</v>
      </c>
      <c r="BY145" s="2">
        <v>4197.96</v>
      </c>
      <c r="CC145" s="2" t="s">
        <v>623</v>
      </c>
      <c r="CD145" s="2">
        <v>1441</v>
      </c>
      <c r="CE145" s="2" t="s">
        <v>85</v>
      </c>
      <c r="CF145" s="3">
        <v>42887</v>
      </c>
      <c r="CI145" s="2">
        <v>1</v>
      </c>
      <c r="CJ145" s="2">
        <v>1</v>
      </c>
      <c r="CK145" s="2" t="s">
        <v>385</v>
      </c>
      <c r="CL145" s="2" t="s">
        <v>86</v>
      </c>
    </row>
    <row r="146" spans="1:90">
      <c r="A146" s="2" t="s">
        <v>71</v>
      </c>
      <c r="B146" s="2" t="s">
        <v>72</v>
      </c>
      <c r="C146" s="2" t="s">
        <v>73</v>
      </c>
      <c r="E146" s="2" t="str">
        <f>"009936325304"</f>
        <v>009936325304</v>
      </c>
      <c r="F146" s="3">
        <v>42886</v>
      </c>
      <c r="G146" s="2">
        <v>201711</v>
      </c>
      <c r="H146" s="2" t="s">
        <v>78</v>
      </c>
      <c r="I146" s="2" t="s">
        <v>79</v>
      </c>
      <c r="J146" s="2" t="s">
        <v>76</v>
      </c>
      <c r="K146" s="2" t="s">
        <v>77</v>
      </c>
      <c r="L146" s="2" t="s">
        <v>491</v>
      </c>
      <c r="M146" s="2" t="s">
        <v>492</v>
      </c>
      <c r="N146" s="2" t="s">
        <v>627</v>
      </c>
      <c r="O146" s="2" t="s">
        <v>539</v>
      </c>
      <c r="P146" s="2" t="str">
        <f t="shared" si="5"/>
        <v xml:space="preserve">NA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37.659999999999997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150.79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</v>
      </c>
      <c r="BJ146" s="2">
        <v>0.2</v>
      </c>
      <c r="BK146" s="2">
        <v>1</v>
      </c>
      <c r="BL146" s="2">
        <v>491.19</v>
      </c>
      <c r="BM146" s="2">
        <v>0</v>
      </c>
      <c r="BN146" s="2">
        <v>491.19</v>
      </c>
      <c r="BO146" s="2">
        <v>491.19</v>
      </c>
      <c r="BQ146" s="2" t="s">
        <v>628</v>
      </c>
      <c r="BR146" s="2" t="s">
        <v>92</v>
      </c>
      <c r="BS146" s="2" t="s">
        <v>455</v>
      </c>
      <c r="BY146" s="2">
        <v>1200</v>
      </c>
      <c r="BZ146" s="2" t="s">
        <v>542</v>
      </c>
      <c r="CC146" s="2" t="s">
        <v>492</v>
      </c>
      <c r="CD146" s="2" t="s">
        <v>496</v>
      </c>
      <c r="CE146" s="2" t="s">
        <v>85</v>
      </c>
      <c r="CI146" s="2">
        <v>0</v>
      </c>
      <c r="CJ146" s="2">
        <v>0</v>
      </c>
      <c r="CK146" s="2">
        <v>522</v>
      </c>
      <c r="CL146" s="2" t="s">
        <v>86</v>
      </c>
    </row>
    <row r="147" spans="1:90">
      <c r="A147" s="2" t="s">
        <v>71</v>
      </c>
      <c r="B147" s="2" t="s">
        <v>72</v>
      </c>
      <c r="C147" s="2" t="s">
        <v>73</v>
      </c>
      <c r="E147" s="2" t="str">
        <f>"R009936325343"</f>
        <v>R009936325343</v>
      </c>
      <c r="F147" s="3">
        <v>42886</v>
      </c>
      <c r="G147" s="2">
        <v>201711</v>
      </c>
      <c r="H147" s="2" t="s">
        <v>74</v>
      </c>
      <c r="I147" s="2" t="s">
        <v>75</v>
      </c>
      <c r="J147" s="2" t="s">
        <v>561</v>
      </c>
      <c r="K147" s="2" t="s">
        <v>77</v>
      </c>
      <c r="L147" s="2" t="s">
        <v>78</v>
      </c>
      <c r="M147" s="2" t="s">
        <v>79</v>
      </c>
      <c r="N147" s="2" t="s">
        <v>76</v>
      </c>
      <c r="O147" s="2" t="s">
        <v>90</v>
      </c>
      <c r="P147" s="2" t="str">
        <f t="shared" si="5"/>
        <v xml:space="preserve">NA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9.5299999999999994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0.4</v>
      </c>
      <c r="BJ147" s="2">
        <v>0.9</v>
      </c>
      <c r="BK147" s="2">
        <v>1</v>
      </c>
      <c r="BL147" s="2">
        <v>91.17</v>
      </c>
      <c r="BM147" s="2">
        <v>12.76</v>
      </c>
      <c r="BN147" s="2">
        <v>103.93</v>
      </c>
      <c r="BO147" s="2">
        <v>103.93</v>
      </c>
      <c r="BQ147" s="2" t="s">
        <v>92</v>
      </c>
      <c r="BR147" s="2" t="s">
        <v>387</v>
      </c>
      <c r="BS147" s="2" t="s">
        <v>455</v>
      </c>
      <c r="BY147" s="2">
        <v>4715.1000000000004</v>
      </c>
      <c r="CC147" s="2" t="s">
        <v>79</v>
      </c>
      <c r="CD147" s="2">
        <v>2196</v>
      </c>
      <c r="CE147" s="2" t="s">
        <v>85</v>
      </c>
      <c r="CI147" s="2">
        <v>2</v>
      </c>
      <c r="CJ147" s="2" t="s">
        <v>455</v>
      </c>
      <c r="CK147" s="2" t="s">
        <v>137</v>
      </c>
      <c r="CL147" s="2" t="s">
        <v>86</v>
      </c>
    </row>
    <row r="148" spans="1:90">
      <c r="A148" s="2" t="s">
        <v>71</v>
      </c>
      <c r="B148" s="2" t="s">
        <v>72</v>
      </c>
      <c r="C148" s="2" t="s">
        <v>73</v>
      </c>
      <c r="E148" s="2" t="str">
        <f>"009936325306"</f>
        <v>009936325306</v>
      </c>
      <c r="F148" s="3">
        <v>42886</v>
      </c>
      <c r="G148" s="2">
        <v>201711</v>
      </c>
      <c r="H148" s="2" t="s">
        <v>78</v>
      </c>
      <c r="I148" s="2" t="s">
        <v>79</v>
      </c>
      <c r="J148" s="2" t="s">
        <v>76</v>
      </c>
      <c r="K148" s="2" t="s">
        <v>77</v>
      </c>
      <c r="L148" s="2" t="s">
        <v>101</v>
      </c>
      <c r="M148" s="2" t="s">
        <v>102</v>
      </c>
      <c r="N148" s="2" t="s">
        <v>629</v>
      </c>
      <c r="O148" s="2" t="s">
        <v>90</v>
      </c>
      <c r="P148" s="2" t="str">
        <f t="shared" si="5"/>
        <v xml:space="preserve">NA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6.55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0.5</v>
      </c>
      <c r="BJ148" s="2">
        <v>0.4</v>
      </c>
      <c r="BK148" s="2">
        <v>1</v>
      </c>
      <c r="BL148" s="2">
        <v>64.2</v>
      </c>
      <c r="BM148" s="2">
        <v>8.99</v>
      </c>
      <c r="BN148" s="2">
        <v>73.19</v>
      </c>
      <c r="BO148" s="2">
        <v>73.19</v>
      </c>
      <c r="BQ148" s="2" t="s">
        <v>630</v>
      </c>
      <c r="BR148" s="2" t="s">
        <v>92</v>
      </c>
      <c r="BS148" s="2" t="s">
        <v>455</v>
      </c>
      <c r="BY148" s="2">
        <v>1884.96</v>
      </c>
      <c r="CC148" s="2" t="s">
        <v>102</v>
      </c>
      <c r="CD148" s="2">
        <v>4000</v>
      </c>
      <c r="CE148" s="2" t="s">
        <v>85</v>
      </c>
      <c r="CI148" s="2">
        <v>1</v>
      </c>
      <c r="CJ148" s="2" t="s">
        <v>455</v>
      </c>
      <c r="CK148" s="2" t="s">
        <v>100</v>
      </c>
      <c r="CL148" s="2" t="s">
        <v>86</v>
      </c>
    </row>
    <row r="149" spans="1:90">
      <c r="A149" s="2" t="s">
        <v>71</v>
      </c>
      <c r="B149" s="2" t="s">
        <v>72</v>
      </c>
      <c r="C149" s="2" t="s">
        <v>73</v>
      </c>
      <c r="E149" s="2" t="str">
        <f>"009936325309"</f>
        <v>009936325309</v>
      </c>
      <c r="F149" s="3">
        <v>42886</v>
      </c>
      <c r="G149" s="2">
        <v>201711</v>
      </c>
      <c r="H149" s="2" t="s">
        <v>78</v>
      </c>
      <c r="I149" s="2" t="s">
        <v>79</v>
      </c>
      <c r="J149" s="2" t="s">
        <v>76</v>
      </c>
      <c r="K149" s="2" t="s">
        <v>77</v>
      </c>
      <c r="L149" s="2" t="s">
        <v>237</v>
      </c>
      <c r="M149" s="2" t="s">
        <v>238</v>
      </c>
      <c r="N149" s="2" t="s">
        <v>631</v>
      </c>
      <c r="O149" s="2" t="s">
        <v>90</v>
      </c>
      <c r="P149" s="2" t="str">
        <f t="shared" si="5"/>
        <v xml:space="preserve">NA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9.5299999999999994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0.5</v>
      </c>
      <c r="BJ149" s="2">
        <v>0.8</v>
      </c>
      <c r="BK149" s="2">
        <v>1</v>
      </c>
      <c r="BL149" s="2">
        <v>91.17</v>
      </c>
      <c r="BM149" s="2">
        <v>12.76</v>
      </c>
      <c r="BN149" s="2">
        <v>103.93</v>
      </c>
      <c r="BO149" s="2">
        <v>103.93</v>
      </c>
      <c r="BQ149" s="2" t="s">
        <v>632</v>
      </c>
      <c r="BR149" s="2" t="s">
        <v>92</v>
      </c>
      <c r="BS149" s="2" t="s">
        <v>455</v>
      </c>
      <c r="BY149" s="2">
        <v>3866.06</v>
      </c>
      <c r="CC149" s="2" t="s">
        <v>238</v>
      </c>
      <c r="CD149" s="2">
        <v>4420</v>
      </c>
      <c r="CE149" s="2" t="s">
        <v>85</v>
      </c>
      <c r="CI149" s="2">
        <v>1</v>
      </c>
      <c r="CJ149" s="2" t="s">
        <v>455</v>
      </c>
      <c r="CK149" s="2" t="s">
        <v>119</v>
      </c>
      <c r="CL149" s="2" t="s">
        <v>86</v>
      </c>
    </row>
    <row r="150" spans="1:90">
      <c r="A150" s="2" t="s">
        <v>71</v>
      </c>
      <c r="B150" s="2" t="s">
        <v>72</v>
      </c>
      <c r="C150" s="2" t="s">
        <v>73</v>
      </c>
      <c r="E150" s="2" t="str">
        <f>"009936325310"</f>
        <v>009936325310</v>
      </c>
      <c r="F150" s="3">
        <v>42886</v>
      </c>
      <c r="G150" s="2">
        <v>201711</v>
      </c>
      <c r="H150" s="2" t="s">
        <v>78</v>
      </c>
      <c r="I150" s="2" t="s">
        <v>79</v>
      </c>
      <c r="J150" s="2" t="s">
        <v>76</v>
      </c>
      <c r="K150" s="2" t="s">
        <v>77</v>
      </c>
      <c r="L150" s="2" t="s">
        <v>153</v>
      </c>
      <c r="M150" s="2" t="s">
        <v>154</v>
      </c>
      <c r="N150" s="2" t="s">
        <v>629</v>
      </c>
      <c r="O150" s="2" t="s">
        <v>90</v>
      </c>
      <c r="P150" s="2" t="str">
        <f t="shared" si="5"/>
        <v xml:space="preserve">NA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9.4600000000000009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0.5</v>
      </c>
      <c r="BJ150" s="2">
        <v>0.7</v>
      </c>
      <c r="BK150" s="2">
        <v>1</v>
      </c>
      <c r="BL150" s="2">
        <v>90.51</v>
      </c>
      <c r="BM150" s="2">
        <v>12.67</v>
      </c>
      <c r="BN150" s="2">
        <v>103.18</v>
      </c>
      <c r="BO150" s="2">
        <v>103.18</v>
      </c>
      <c r="BQ150" s="2" t="s">
        <v>633</v>
      </c>
      <c r="BR150" s="2" t="s">
        <v>92</v>
      </c>
      <c r="BS150" s="3">
        <v>42887</v>
      </c>
      <c r="BT150" s="4">
        <v>0.37638888888888888</v>
      </c>
      <c r="BU150" s="2" t="s">
        <v>271</v>
      </c>
      <c r="BY150" s="2">
        <v>3378.85</v>
      </c>
      <c r="CC150" s="2" t="s">
        <v>154</v>
      </c>
      <c r="CD150" s="2">
        <v>3200</v>
      </c>
      <c r="CE150" s="2" t="s">
        <v>85</v>
      </c>
      <c r="CI150" s="2">
        <v>1</v>
      </c>
      <c r="CJ150" s="2">
        <v>1</v>
      </c>
      <c r="CK150" s="2" t="s">
        <v>158</v>
      </c>
      <c r="CL150" s="2" t="s">
        <v>86</v>
      </c>
    </row>
    <row r="151" spans="1:90">
      <c r="A151" s="2" t="s">
        <v>71</v>
      </c>
      <c r="B151" s="2" t="s">
        <v>72</v>
      </c>
      <c r="C151" s="2" t="s">
        <v>73</v>
      </c>
      <c r="E151" s="2" t="str">
        <f>"009936325311"</f>
        <v>009936325311</v>
      </c>
      <c r="F151" s="3">
        <v>42886</v>
      </c>
      <c r="G151" s="2">
        <v>201711</v>
      </c>
      <c r="H151" s="2" t="s">
        <v>78</v>
      </c>
      <c r="I151" s="2" t="s">
        <v>79</v>
      </c>
      <c r="J151" s="2" t="s">
        <v>76</v>
      </c>
      <c r="K151" s="2" t="s">
        <v>77</v>
      </c>
      <c r="L151" s="2" t="s">
        <v>237</v>
      </c>
      <c r="M151" s="2" t="s">
        <v>238</v>
      </c>
      <c r="N151" s="2" t="s">
        <v>634</v>
      </c>
      <c r="O151" s="2" t="s">
        <v>90</v>
      </c>
      <c r="P151" s="2" t="str">
        <f t="shared" si="5"/>
        <v xml:space="preserve">NA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9.5299999999999994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1</v>
      </c>
      <c r="BJ151" s="2">
        <v>0.9</v>
      </c>
      <c r="BK151" s="2">
        <v>1</v>
      </c>
      <c r="BL151" s="2">
        <v>91.17</v>
      </c>
      <c r="BM151" s="2">
        <v>12.76</v>
      </c>
      <c r="BN151" s="2">
        <v>103.93</v>
      </c>
      <c r="BO151" s="2">
        <v>103.93</v>
      </c>
      <c r="BQ151" s="2" t="s">
        <v>635</v>
      </c>
      <c r="BR151" s="2" t="s">
        <v>92</v>
      </c>
      <c r="BS151" s="2" t="s">
        <v>455</v>
      </c>
      <c r="BY151" s="2">
        <v>4585.8999999999996</v>
      </c>
      <c r="CC151" s="2" t="s">
        <v>238</v>
      </c>
      <c r="CD151" s="2">
        <v>4405</v>
      </c>
      <c r="CE151" s="2" t="s">
        <v>85</v>
      </c>
      <c r="CI151" s="2">
        <v>1</v>
      </c>
      <c r="CJ151" s="2" t="s">
        <v>455</v>
      </c>
      <c r="CK151" s="2" t="s">
        <v>119</v>
      </c>
      <c r="CL151" s="2" t="s">
        <v>86</v>
      </c>
    </row>
    <row r="152" spans="1:90">
      <c r="A152" s="2" t="s">
        <v>71</v>
      </c>
      <c r="B152" s="2" t="s">
        <v>72</v>
      </c>
      <c r="C152" s="2" t="s">
        <v>73</v>
      </c>
      <c r="E152" s="2" t="str">
        <f>"009936325307"</f>
        <v>009936325307</v>
      </c>
      <c r="F152" s="3">
        <v>42886</v>
      </c>
      <c r="G152" s="2">
        <v>201711</v>
      </c>
      <c r="H152" s="2" t="s">
        <v>78</v>
      </c>
      <c r="I152" s="2" t="s">
        <v>79</v>
      </c>
      <c r="J152" s="2" t="s">
        <v>76</v>
      </c>
      <c r="K152" s="2" t="s">
        <v>77</v>
      </c>
      <c r="L152" s="2" t="s">
        <v>272</v>
      </c>
      <c r="M152" s="2" t="s">
        <v>273</v>
      </c>
      <c r="N152" s="2" t="s">
        <v>629</v>
      </c>
      <c r="O152" s="2" t="s">
        <v>90</v>
      </c>
      <c r="P152" s="2" t="str">
        <f t="shared" si="5"/>
        <v xml:space="preserve">NA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6.55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0.5</v>
      </c>
      <c r="BJ152" s="2">
        <v>0.5</v>
      </c>
      <c r="BK152" s="2">
        <v>1</v>
      </c>
      <c r="BL152" s="2">
        <v>64.2</v>
      </c>
      <c r="BM152" s="2">
        <v>8.99</v>
      </c>
      <c r="BN152" s="2">
        <v>73.19</v>
      </c>
      <c r="BO152" s="2">
        <v>73.19</v>
      </c>
      <c r="BQ152" s="2" t="s">
        <v>274</v>
      </c>
      <c r="BR152" s="2" t="s">
        <v>92</v>
      </c>
      <c r="BS152" s="2" t="s">
        <v>455</v>
      </c>
      <c r="BY152" s="2">
        <v>2400</v>
      </c>
      <c r="CC152" s="2" t="s">
        <v>273</v>
      </c>
      <c r="CD152" s="2">
        <v>3600</v>
      </c>
      <c r="CE152" s="2" t="s">
        <v>85</v>
      </c>
      <c r="CI152" s="2">
        <v>1</v>
      </c>
      <c r="CJ152" s="2" t="s">
        <v>455</v>
      </c>
      <c r="CK152" s="2" t="s">
        <v>100</v>
      </c>
      <c r="CL152" s="2" t="s">
        <v>86</v>
      </c>
    </row>
    <row r="153" spans="1:90">
      <c r="A153" s="2" t="s">
        <v>71</v>
      </c>
      <c r="B153" s="2" t="s">
        <v>72</v>
      </c>
      <c r="C153" s="2" t="s">
        <v>73</v>
      </c>
      <c r="E153" s="2" t="str">
        <f>"009936325305"</f>
        <v>009936325305</v>
      </c>
      <c r="F153" s="3">
        <v>42886</v>
      </c>
      <c r="G153" s="2">
        <v>201711</v>
      </c>
      <c r="H153" s="2" t="s">
        <v>78</v>
      </c>
      <c r="I153" s="2" t="s">
        <v>79</v>
      </c>
      <c r="J153" s="2" t="s">
        <v>76</v>
      </c>
      <c r="K153" s="2" t="s">
        <v>77</v>
      </c>
      <c r="L153" s="2" t="s">
        <v>153</v>
      </c>
      <c r="M153" s="2" t="s">
        <v>154</v>
      </c>
      <c r="N153" s="2" t="s">
        <v>636</v>
      </c>
      <c r="O153" s="2" t="s">
        <v>90</v>
      </c>
      <c r="P153" s="2" t="str">
        <f t="shared" si="5"/>
        <v xml:space="preserve">NA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9.4600000000000009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0.5</v>
      </c>
      <c r="BJ153" s="2">
        <v>0.2</v>
      </c>
      <c r="BK153" s="2">
        <v>1</v>
      </c>
      <c r="BL153" s="2">
        <v>90.51</v>
      </c>
      <c r="BM153" s="2">
        <v>12.67</v>
      </c>
      <c r="BN153" s="2">
        <v>103.18</v>
      </c>
      <c r="BO153" s="2">
        <v>103.18</v>
      </c>
      <c r="BQ153" s="2" t="s">
        <v>637</v>
      </c>
      <c r="BR153" s="2" t="s">
        <v>92</v>
      </c>
      <c r="BS153" s="2" t="s">
        <v>455</v>
      </c>
      <c r="BY153" s="2">
        <v>1200</v>
      </c>
      <c r="CC153" s="2" t="s">
        <v>154</v>
      </c>
      <c r="CD153" s="2">
        <v>3200</v>
      </c>
      <c r="CE153" s="2" t="s">
        <v>85</v>
      </c>
      <c r="CI153" s="2">
        <v>1</v>
      </c>
      <c r="CJ153" s="2" t="s">
        <v>455</v>
      </c>
      <c r="CK153" s="2" t="s">
        <v>158</v>
      </c>
      <c r="CL153" s="2" t="s">
        <v>86</v>
      </c>
    </row>
    <row r="154" spans="1:90">
      <c r="A154" s="2" t="s">
        <v>71</v>
      </c>
      <c r="B154" s="2" t="s">
        <v>72</v>
      </c>
      <c r="C154" s="2" t="s">
        <v>73</v>
      </c>
      <c r="E154" s="2" t="str">
        <f>"009936325308"</f>
        <v>009936325308</v>
      </c>
      <c r="F154" s="3">
        <v>42886</v>
      </c>
      <c r="G154" s="2">
        <v>201711</v>
      </c>
      <c r="H154" s="2" t="s">
        <v>78</v>
      </c>
      <c r="I154" s="2" t="s">
        <v>79</v>
      </c>
      <c r="J154" s="2" t="s">
        <v>76</v>
      </c>
      <c r="K154" s="2" t="s">
        <v>77</v>
      </c>
      <c r="L154" s="2" t="s">
        <v>223</v>
      </c>
      <c r="M154" s="2" t="s">
        <v>224</v>
      </c>
      <c r="N154" s="2" t="s">
        <v>629</v>
      </c>
      <c r="O154" s="2" t="s">
        <v>90</v>
      </c>
      <c r="P154" s="2" t="str">
        <f t="shared" si="5"/>
        <v xml:space="preserve">NA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6.55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0.5</v>
      </c>
      <c r="BJ154" s="2">
        <v>0.7</v>
      </c>
      <c r="BK154" s="2">
        <v>1</v>
      </c>
      <c r="BL154" s="2">
        <v>64.2</v>
      </c>
      <c r="BM154" s="2">
        <v>8.99</v>
      </c>
      <c r="BN154" s="2">
        <v>73.19</v>
      </c>
      <c r="BO154" s="2">
        <v>73.19</v>
      </c>
      <c r="BQ154" s="2" t="s">
        <v>638</v>
      </c>
      <c r="BR154" s="2" t="s">
        <v>92</v>
      </c>
      <c r="BS154" s="2" t="s">
        <v>455</v>
      </c>
      <c r="BY154" s="2">
        <v>3389.28</v>
      </c>
      <c r="CC154" s="2" t="s">
        <v>224</v>
      </c>
      <c r="CD154" s="2">
        <v>4321</v>
      </c>
      <c r="CE154" s="2" t="s">
        <v>85</v>
      </c>
      <c r="CI154" s="2">
        <v>1</v>
      </c>
      <c r="CJ154" s="2" t="s">
        <v>455</v>
      </c>
      <c r="CK154" s="2" t="s">
        <v>100</v>
      </c>
      <c r="CL154" s="2" t="s">
        <v>86</v>
      </c>
    </row>
    <row r="156" spans="1:90">
      <c r="E156" s="2" t="s">
        <v>639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1535.07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1089.55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157.15</v>
      </c>
      <c r="BD156" s="2">
        <v>0</v>
      </c>
      <c r="BE156" s="2">
        <v>0</v>
      </c>
      <c r="BF156" s="2">
        <v>0</v>
      </c>
      <c r="BG156" s="2">
        <v>0</v>
      </c>
      <c r="BI156" s="2">
        <v>147.9</v>
      </c>
      <c r="BJ156" s="2">
        <v>108.7</v>
      </c>
      <c r="BK156" s="2">
        <v>223.5</v>
      </c>
      <c r="BL156" s="2">
        <v>15824.34</v>
      </c>
      <c r="BM156" s="2">
        <v>1696.61</v>
      </c>
      <c r="BN156" s="2">
        <v>17520.95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2017-06-01T13:30:35Z</dcterms:created>
  <dcterms:modified xsi:type="dcterms:W3CDTF">2017-06-01T13:30:56Z</dcterms:modified>
</cp:coreProperties>
</file>