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4297" i="1"/>
  <c r="J4297"/>
  <c r="G4297"/>
  <c r="F4297"/>
  <c r="C4297"/>
  <c r="K4296"/>
  <c r="J4296"/>
  <c r="G4296"/>
  <c r="F4296"/>
  <c r="C4296"/>
  <c r="K4295"/>
  <c r="J4295"/>
  <c r="G4295"/>
  <c r="F4295"/>
  <c r="C4295"/>
  <c r="K4294"/>
  <c r="J4294"/>
  <c r="G4294"/>
  <c r="F4294"/>
  <c r="C4294"/>
  <c r="K4293"/>
  <c r="J4293"/>
  <c r="G4293"/>
  <c r="F4293"/>
  <c r="C4293"/>
  <c r="K4292"/>
  <c r="J4292"/>
  <c r="G4292"/>
  <c r="F4292"/>
  <c r="C4292"/>
  <c r="K4291"/>
  <c r="J4291"/>
  <c r="G4291"/>
  <c r="F4291"/>
  <c r="C4291"/>
  <c r="K4290"/>
  <c r="J4290"/>
  <c r="G4290"/>
  <c r="F4290"/>
  <c r="C4290"/>
  <c r="K4289"/>
  <c r="J4289"/>
  <c r="G4289"/>
  <c r="F4289"/>
  <c r="C4289"/>
  <c r="K4288"/>
  <c r="J4288"/>
  <c r="G4288"/>
  <c r="F4288"/>
  <c r="C4288"/>
  <c r="K4287"/>
  <c r="J4287"/>
  <c r="G4287"/>
  <c r="F4287"/>
  <c r="C4287"/>
  <c r="K4286"/>
  <c r="J4286"/>
  <c r="G4286"/>
  <c r="F4286"/>
  <c r="C4286"/>
  <c r="K4285"/>
  <c r="J4285"/>
  <c r="G4285"/>
  <c r="F4285"/>
  <c r="C4285"/>
  <c r="K4284"/>
  <c r="J4284"/>
  <c r="G4284"/>
  <c r="F4284"/>
  <c r="C4284"/>
  <c r="K4283"/>
  <c r="J4283"/>
  <c r="G4283"/>
  <c r="F4283"/>
  <c r="C4283"/>
  <c r="K4282"/>
  <c r="J4282"/>
  <c r="G4282"/>
  <c r="F4282"/>
  <c r="C4282"/>
  <c r="K4281"/>
  <c r="J4281"/>
  <c r="G4281"/>
  <c r="F4281"/>
  <c r="C4281"/>
  <c r="K4280"/>
  <c r="J4280"/>
  <c r="G4280"/>
  <c r="F4280"/>
  <c r="C4280"/>
  <c r="K4279"/>
  <c r="J4279"/>
  <c r="G4279"/>
  <c r="F4279"/>
  <c r="C4279"/>
  <c r="K4278"/>
  <c r="J4278"/>
  <c r="G4278"/>
  <c r="F4278"/>
  <c r="C4278"/>
  <c r="K4277"/>
  <c r="J4277"/>
  <c r="G4277"/>
  <c r="F4277"/>
  <c r="C4277"/>
  <c r="K4276"/>
  <c r="J4276"/>
  <c r="G4276"/>
  <c r="F4276"/>
  <c r="C4276"/>
  <c r="K4275"/>
  <c r="J4275"/>
  <c r="G4275"/>
  <c r="F4275"/>
  <c r="C4275"/>
  <c r="K4274"/>
  <c r="J4274"/>
  <c r="G4274"/>
  <c r="F4274"/>
  <c r="C4274"/>
  <c r="K4273"/>
  <c r="J4273"/>
  <c r="G4273"/>
  <c r="F4273"/>
  <c r="C4273"/>
  <c r="K4272"/>
  <c r="J4272"/>
  <c r="G4272"/>
  <c r="F4272"/>
  <c r="C4272"/>
  <c r="K4271"/>
  <c r="J4271"/>
  <c r="G4271"/>
  <c r="F4271"/>
  <c r="C4271"/>
  <c r="K4270"/>
  <c r="J4270"/>
  <c r="G4270"/>
  <c r="F4270"/>
  <c r="C4270"/>
  <c r="K4269"/>
  <c r="J4269"/>
  <c r="G4269"/>
  <c r="F4269"/>
  <c r="C4269"/>
  <c r="K4268"/>
  <c r="J4268"/>
  <c r="G4268"/>
  <c r="F4268"/>
  <c r="C4268"/>
  <c r="K4267"/>
  <c r="J4267"/>
  <c r="G4267"/>
  <c r="F4267"/>
  <c r="C4267"/>
  <c r="K4266"/>
  <c r="J4266"/>
  <c r="G4266"/>
  <c r="F4266"/>
  <c r="C4266"/>
  <c r="K4265"/>
  <c r="J4265"/>
  <c r="G4265"/>
  <c r="F4265"/>
  <c r="C4265"/>
  <c r="K4264"/>
  <c r="J4264"/>
  <c r="G4264"/>
  <c r="F4264"/>
  <c r="C4264"/>
  <c r="K4263"/>
  <c r="J4263"/>
  <c r="G4263"/>
  <c r="F4263"/>
  <c r="C4263"/>
  <c r="K4262"/>
  <c r="J4262"/>
  <c r="G4262"/>
  <c r="F4262"/>
  <c r="C4262"/>
  <c r="K4261"/>
  <c r="J4261"/>
  <c r="G4261"/>
  <c r="F4261"/>
  <c r="C4261"/>
  <c r="K4260"/>
  <c r="J4260"/>
  <c r="G4260"/>
  <c r="F4260"/>
  <c r="C4260"/>
  <c r="K4259"/>
  <c r="J4259"/>
  <c r="G4259"/>
  <c r="F4259"/>
  <c r="C4259"/>
  <c r="K4258"/>
  <c r="J4258"/>
  <c r="G4258"/>
  <c r="F4258"/>
  <c r="C4258"/>
  <c r="K4257"/>
  <c r="J4257"/>
  <c r="G4257"/>
  <c r="F4257"/>
  <c r="C4257"/>
  <c r="K4256"/>
  <c r="J4256"/>
  <c r="G4256"/>
  <c r="F4256"/>
  <c r="C4256"/>
  <c r="K4255"/>
  <c r="J4255"/>
  <c r="G4255"/>
  <c r="F4255"/>
  <c r="C4255"/>
  <c r="K4254"/>
  <c r="J4254"/>
  <c r="G4254"/>
  <c r="F4254"/>
  <c r="C4254"/>
  <c r="K4253"/>
  <c r="J4253"/>
  <c r="G4253"/>
  <c r="F4253"/>
  <c r="C4253"/>
  <c r="K4252"/>
  <c r="J4252"/>
  <c r="G4252"/>
  <c r="F4252"/>
  <c r="C4252"/>
  <c r="K4251"/>
  <c r="J4251"/>
  <c r="G4251"/>
  <c r="F4251"/>
  <c r="C4251"/>
  <c r="K4250"/>
  <c r="J4250"/>
  <c r="G4250"/>
  <c r="F4250"/>
  <c r="C4250"/>
  <c r="K4249"/>
  <c r="J4249"/>
  <c r="G4249"/>
  <c r="F4249"/>
  <c r="C4249"/>
  <c r="K4248"/>
  <c r="J4248"/>
  <c r="G4248"/>
  <c r="F4248"/>
  <c r="C4248"/>
  <c r="K4247"/>
  <c r="J4247"/>
  <c r="G4247"/>
  <c r="F4247"/>
  <c r="C4247"/>
  <c r="K4246"/>
  <c r="J4246"/>
  <c r="G4246"/>
  <c r="F4246"/>
  <c r="C4246"/>
  <c r="K4245"/>
  <c r="J4245"/>
  <c r="G4245"/>
  <c r="F4245"/>
  <c r="C4245"/>
  <c r="K4244"/>
  <c r="J4244"/>
  <c r="G4244"/>
  <c r="F4244"/>
  <c r="C4244"/>
  <c r="K4243"/>
  <c r="J4243"/>
  <c r="G4243"/>
  <c r="F4243"/>
  <c r="C4243"/>
  <c r="K4242"/>
  <c r="J4242"/>
  <c r="G4242"/>
  <c r="F4242"/>
  <c r="C4242"/>
  <c r="K4241"/>
  <c r="J4241"/>
  <c r="G4241"/>
  <c r="F4241"/>
  <c r="C4241"/>
  <c r="K4240"/>
  <c r="J4240"/>
  <c r="G4240"/>
  <c r="F4240"/>
  <c r="C4240"/>
  <c r="K4239"/>
  <c r="J4239"/>
  <c r="G4239"/>
  <c r="F4239"/>
  <c r="C4239"/>
  <c r="K4238"/>
  <c r="J4238"/>
  <c r="G4238"/>
  <c r="F4238"/>
  <c r="C4238"/>
  <c r="K4237"/>
  <c r="J4237"/>
  <c r="G4237"/>
  <c r="F4237"/>
  <c r="C4237"/>
  <c r="K4236"/>
  <c r="J4236"/>
  <c r="G4236"/>
  <c r="F4236"/>
  <c r="C4236"/>
  <c r="K4235"/>
  <c r="J4235"/>
  <c r="G4235"/>
  <c r="F4235"/>
  <c r="C4235"/>
  <c r="K4234"/>
  <c r="J4234"/>
  <c r="G4234"/>
  <c r="F4234"/>
  <c r="C4234"/>
  <c r="K4233"/>
  <c r="J4233"/>
  <c r="G4233"/>
  <c r="F4233"/>
  <c r="C4233"/>
  <c r="K4232"/>
  <c r="J4232"/>
  <c r="G4232"/>
  <c r="F4232"/>
  <c r="C4232"/>
  <c r="K4231"/>
  <c r="J4231"/>
  <c r="G4231"/>
  <c r="F4231"/>
  <c r="C4231"/>
  <c r="K4230"/>
  <c r="J4230"/>
  <c r="G4230"/>
  <c r="F4230"/>
  <c r="C4230"/>
  <c r="K4229"/>
  <c r="J4229"/>
  <c r="G4229"/>
  <c r="F4229"/>
  <c r="C4229"/>
  <c r="K4228"/>
  <c r="J4228"/>
  <c r="G4228"/>
  <c r="F4228"/>
  <c r="C4228"/>
  <c r="K4227"/>
  <c r="J4227"/>
  <c r="G4227"/>
  <c r="F4227"/>
  <c r="C4227"/>
  <c r="K4226"/>
  <c r="J4226"/>
  <c r="G4226"/>
  <c r="F4226"/>
  <c r="C4226"/>
  <c r="K4225"/>
  <c r="J4225"/>
  <c r="G4225"/>
  <c r="F4225"/>
  <c r="C4225"/>
  <c r="K4224"/>
  <c r="J4224"/>
  <c r="G4224"/>
  <c r="F4224"/>
  <c r="C4224"/>
  <c r="K4223"/>
  <c r="J4223"/>
  <c r="G4223"/>
  <c r="F4223"/>
  <c r="C4223"/>
  <c r="K4222"/>
  <c r="J4222"/>
  <c r="G4222"/>
  <c r="F4222"/>
  <c r="C4222"/>
  <c r="K4221"/>
  <c r="J4221"/>
  <c r="G4221"/>
  <c r="F4221"/>
  <c r="C4221"/>
  <c r="K4220"/>
  <c r="J4220"/>
  <c r="G4220"/>
  <c r="F4220"/>
  <c r="C4220"/>
  <c r="K4219"/>
  <c r="J4219"/>
  <c r="G4219"/>
  <c r="F4219"/>
  <c r="C4219"/>
  <c r="K4218"/>
  <c r="J4218"/>
  <c r="G4218"/>
  <c r="F4218"/>
  <c r="C4218"/>
  <c r="K4217"/>
  <c r="J4217"/>
  <c r="G4217"/>
  <c r="F4217"/>
  <c r="C4217"/>
  <c r="K4216"/>
  <c r="J4216"/>
  <c r="G4216"/>
  <c r="F4216"/>
  <c r="C4216"/>
  <c r="K4215"/>
  <c r="G4215"/>
  <c r="F4215"/>
  <c r="C4215"/>
  <c r="K4214"/>
  <c r="J4214"/>
  <c r="G4214"/>
  <c r="F4214"/>
  <c r="C4214"/>
  <c r="K4213"/>
  <c r="J4213"/>
  <c r="G4213"/>
  <c r="F4213"/>
  <c r="C4213"/>
  <c r="K4212"/>
  <c r="J4212"/>
  <c r="G4212"/>
  <c r="F4212"/>
  <c r="C4212"/>
  <c r="K4211"/>
  <c r="J4211"/>
  <c r="G4211"/>
  <c r="F4211"/>
  <c r="C4211"/>
  <c r="K4210"/>
  <c r="J4210"/>
  <c r="G4210"/>
  <c r="F4210"/>
  <c r="C4210"/>
  <c r="K4209"/>
  <c r="J4209"/>
  <c r="G4209"/>
  <c r="F4209"/>
  <c r="C4209"/>
  <c r="K4208"/>
  <c r="J4208"/>
  <c r="G4208"/>
  <c r="F4208"/>
  <c r="C4208"/>
  <c r="K4207"/>
  <c r="J4207"/>
  <c r="G4207"/>
  <c r="F4207"/>
  <c r="C4207"/>
  <c r="K4206"/>
  <c r="J4206"/>
  <c r="G4206"/>
  <c r="F4206"/>
  <c r="C4206"/>
  <c r="K4205"/>
  <c r="J4205"/>
  <c r="G4205"/>
  <c r="F4205"/>
  <c r="C4205"/>
  <c r="K4204"/>
  <c r="J4204"/>
  <c r="G4204"/>
  <c r="F4204"/>
  <c r="C4204"/>
  <c r="K4203"/>
  <c r="J4203"/>
  <c r="G4203"/>
  <c r="F4203"/>
  <c r="C4203"/>
  <c r="K4202"/>
  <c r="J4202"/>
  <c r="G4202"/>
  <c r="F4202"/>
  <c r="C4202"/>
  <c r="K4201"/>
  <c r="J4201"/>
  <c r="G4201"/>
  <c r="F4201"/>
  <c r="C4201"/>
  <c r="K4200"/>
  <c r="J4200"/>
  <c r="G4200"/>
  <c r="F4200"/>
  <c r="C4200"/>
  <c r="K4199"/>
  <c r="J4199"/>
  <c r="G4199"/>
  <c r="F4199"/>
  <c r="C4199"/>
  <c r="K4198"/>
  <c r="J4198"/>
  <c r="G4198"/>
  <c r="F4198"/>
  <c r="C4198"/>
  <c r="K4197"/>
  <c r="J4197"/>
  <c r="G4197"/>
  <c r="F4197"/>
  <c r="C4197"/>
  <c r="K4196"/>
  <c r="J4196"/>
  <c r="G4196"/>
  <c r="F4196"/>
  <c r="C4196"/>
  <c r="K4195"/>
  <c r="J4195"/>
  <c r="G4195"/>
  <c r="F4195"/>
  <c r="C4195"/>
  <c r="K4194"/>
  <c r="J4194"/>
  <c r="G4194"/>
  <c r="F4194"/>
  <c r="C4194"/>
  <c r="K4193"/>
  <c r="J4193"/>
  <c r="G4193"/>
  <c r="F4193"/>
  <c r="C4193"/>
  <c r="K4192"/>
  <c r="J4192"/>
  <c r="G4192"/>
  <c r="F4192"/>
  <c r="C4192"/>
  <c r="K4191"/>
  <c r="J4191"/>
  <c r="G4191"/>
  <c r="F4191"/>
  <c r="C4191"/>
  <c r="K4190"/>
  <c r="J4190"/>
  <c r="G4190"/>
  <c r="F4190"/>
  <c r="C4190"/>
  <c r="K4189"/>
  <c r="J4189"/>
  <c r="G4189"/>
  <c r="F4189"/>
  <c r="C4189"/>
  <c r="K4188"/>
  <c r="J4188"/>
  <c r="G4188"/>
  <c r="F4188"/>
  <c r="C4188"/>
  <c r="K4187"/>
  <c r="J4187"/>
  <c r="G4187"/>
  <c r="F4187"/>
  <c r="C4187"/>
  <c r="K4186"/>
  <c r="J4186"/>
  <c r="G4186"/>
  <c r="F4186"/>
  <c r="C4186"/>
  <c r="K4185"/>
  <c r="J4185"/>
  <c r="G4185"/>
  <c r="F4185"/>
  <c r="C4185"/>
  <c r="K4184"/>
  <c r="J4184"/>
  <c r="G4184"/>
  <c r="F4184"/>
  <c r="C4184"/>
  <c r="K4183"/>
  <c r="J4183"/>
  <c r="G4183"/>
  <c r="F4183"/>
  <c r="C4183"/>
  <c r="K4182"/>
  <c r="J4182"/>
  <c r="G4182"/>
  <c r="F4182"/>
  <c r="C4182"/>
  <c r="K4181"/>
  <c r="J4181"/>
  <c r="G4181"/>
  <c r="F4181"/>
  <c r="C4181"/>
  <c r="K4180"/>
  <c r="J4180"/>
  <c r="G4180"/>
  <c r="F4180"/>
  <c r="C4180"/>
  <c r="K4179"/>
  <c r="J4179"/>
  <c r="G4179"/>
  <c r="F4179"/>
  <c r="C4179"/>
  <c r="K4178"/>
  <c r="J4178"/>
  <c r="G4178"/>
  <c r="F4178"/>
  <c r="C4178"/>
  <c r="K4177"/>
  <c r="J4177"/>
  <c r="G4177"/>
  <c r="F4177"/>
  <c r="C4177"/>
  <c r="K4176"/>
  <c r="J4176"/>
  <c r="G4176"/>
  <c r="F4176"/>
  <c r="C4176"/>
  <c r="K4175"/>
  <c r="J4175"/>
  <c r="G4175"/>
  <c r="F4175"/>
  <c r="C4175"/>
  <c r="K4174"/>
  <c r="J4174"/>
  <c r="G4174"/>
  <c r="F4174"/>
  <c r="C4174"/>
  <c r="K4173"/>
  <c r="J4173"/>
  <c r="G4173"/>
  <c r="F4173"/>
  <c r="C4173"/>
  <c r="K4172"/>
  <c r="J4172"/>
  <c r="G4172"/>
  <c r="F4172"/>
  <c r="C4172"/>
  <c r="K4171"/>
  <c r="J4171"/>
  <c r="G4171"/>
  <c r="F4171"/>
  <c r="C4171"/>
  <c r="K4170"/>
  <c r="J4170"/>
  <c r="G4170"/>
  <c r="F4170"/>
  <c r="C4170"/>
  <c r="K4169"/>
  <c r="J4169"/>
  <c r="G4169"/>
  <c r="F4169"/>
  <c r="C4169"/>
  <c r="K4168"/>
  <c r="J4168"/>
  <c r="G4168"/>
  <c r="F4168"/>
  <c r="C4168"/>
  <c r="K4167"/>
  <c r="J4167"/>
  <c r="G4167"/>
  <c r="F4167"/>
  <c r="C4167"/>
  <c r="K4166"/>
  <c r="J4166"/>
  <c r="G4166"/>
  <c r="F4166"/>
  <c r="C4166"/>
  <c r="K4165"/>
  <c r="J4165"/>
  <c r="G4165"/>
  <c r="F4165"/>
  <c r="C4165"/>
  <c r="K4164"/>
  <c r="J4164"/>
  <c r="G4164"/>
  <c r="F4164"/>
  <c r="C4164"/>
  <c r="K4163"/>
  <c r="J4163"/>
  <c r="G4163"/>
  <c r="F4163"/>
  <c r="C4163"/>
  <c r="K4162"/>
  <c r="J4162"/>
  <c r="G4162"/>
  <c r="F4162"/>
  <c r="C4162"/>
  <c r="K4161"/>
  <c r="J4161"/>
  <c r="G4161"/>
  <c r="F4161"/>
  <c r="C4161"/>
  <c r="K4160"/>
  <c r="J4160"/>
  <c r="G4160"/>
  <c r="F4160"/>
  <c r="C4160"/>
  <c r="K4159"/>
  <c r="J4159"/>
  <c r="G4159"/>
  <c r="F4159"/>
  <c r="C4159"/>
  <c r="K4158"/>
  <c r="J4158"/>
  <c r="G4158"/>
  <c r="F4158"/>
  <c r="C4158"/>
  <c r="K4157"/>
  <c r="J4157"/>
  <c r="G4157"/>
  <c r="F4157"/>
  <c r="C4157"/>
  <c r="K4156"/>
  <c r="J4156"/>
  <c r="G4156"/>
  <c r="F4156"/>
  <c r="C4156"/>
  <c r="K4155"/>
  <c r="J4155"/>
  <c r="G4155"/>
  <c r="F4155"/>
  <c r="C4155"/>
  <c r="K4154"/>
  <c r="J4154"/>
  <c r="G4154"/>
  <c r="F4154"/>
  <c r="C4154"/>
  <c r="K4153"/>
  <c r="J4153"/>
  <c r="G4153"/>
  <c r="F4153"/>
  <c r="C4153"/>
  <c r="K4152"/>
  <c r="J4152"/>
  <c r="G4152"/>
  <c r="F4152"/>
  <c r="C4152"/>
  <c r="K4151"/>
  <c r="J4151"/>
  <c r="G4151"/>
  <c r="F4151"/>
  <c r="C4151"/>
  <c r="K4150"/>
  <c r="J4150"/>
  <c r="G4150"/>
  <c r="F4150"/>
  <c r="C4150"/>
  <c r="K4149"/>
  <c r="J4149"/>
  <c r="G4149"/>
  <c r="F4149"/>
  <c r="C4149"/>
  <c r="K4148"/>
  <c r="J4148"/>
  <c r="G4148"/>
  <c r="F4148"/>
  <c r="C4148"/>
  <c r="K4147"/>
  <c r="J4147"/>
  <c r="G4147"/>
  <c r="F4147"/>
  <c r="C4147"/>
  <c r="K4146"/>
  <c r="J4146"/>
  <c r="G4146"/>
  <c r="F4146"/>
  <c r="C4146"/>
  <c r="K4145"/>
  <c r="J4145"/>
  <c r="G4145"/>
  <c r="F4145"/>
  <c r="C4145"/>
  <c r="K4144"/>
  <c r="J4144"/>
  <c r="G4144"/>
  <c r="F4144"/>
  <c r="C4144"/>
  <c r="K4143"/>
  <c r="J4143"/>
  <c r="G4143"/>
  <c r="F4143"/>
  <c r="C4143"/>
  <c r="K4142"/>
  <c r="J4142"/>
  <c r="G4142"/>
  <c r="F4142"/>
  <c r="C4142"/>
  <c r="K4141"/>
  <c r="J4141"/>
  <c r="G4141"/>
  <c r="F4141"/>
  <c r="C4141"/>
  <c r="K4140"/>
  <c r="J4140"/>
  <c r="G4140"/>
  <c r="F4140"/>
  <c r="C4140"/>
  <c r="K4139"/>
  <c r="J4139"/>
  <c r="G4139"/>
  <c r="F4139"/>
  <c r="C4139"/>
  <c r="K4138"/>
  <c r="J4138"/>
  <c r="G4138"/>
  <c r="F4138"/>
  <c r="C4138"/>
  <c r="K4137"/>
  <c r="J4137"/>
  <c r="G4137"/>
  <c r="F4137"/>
  <c r="C4137"/>
  <c r="K4136"/>
  <c r="J4136"/>
  <c r="G4136"/>
  <c r="F4136"/>
  <c r="C4136"/>
  <c r="K4135"/>
  <c r="J4135"/>
  <c r="G4135"/>
  <c r="F4135"/>
  <c r="C4135"/>
  <c r="K4134"/>
  <c r="J4134"/>
  <c r="G4134"/>
  <c r="F4134"/>
  <c r="C4134"/>
  <c r="K4133"/>
  <c r="J4133"/>
  <c r="G4133"/>
  <c r="F4133"/>
  <c r="C4133"/>
  <c r="K4132"/>
  <c r="J4132"/>
  <c r="G4132"/>
  <c r="F4132"/>
  <c r="C4132"/>
  <c r="K4131"/>
  <c r="J4131"/>
  <c r="G4131"/>
  <c r="F4131"/>
  <c r="C4131"/>
  <c r="K4130"/>
  <c r="J4130"/>
  <c r="G4130"/>
  <c r="F4130"/>
  <c r="C4130"/>
  <c r="K4129"/>
  <c r="J4129"/>
  <c r="G4129"/>
  <c r="F4129"/>
  <c r="C4129"/>
  <c r="K4128"/>
  <c r="J4128"/>
  <c r="G4128"/>
  <c r="F4128"/>
  <c r="C4128"/>
  <c r="K4127"/>
  <c r="J4127"/>
  <c r="G4127"/>
  <c r="F4127"/>
  <c r="C4127"/>
  <c r="K4126"/>
  <c r="J4126"/>
  <c r="G4126"/>
  <c r="F4126"/>
  <c r="C4126"/>
  <c r="K4125"/>
  <c r="J4125"/>
  <c r="G4125"/>
  <c r="F4125"/>
  <c r="C4125"/>
  <c r="K4124"/>
  <c r="J4124"/>
  <c r="G4124"/>
  <c r="F4124"/>
  <c r="C4124"/>
  <c r="K4123"/>
  <c r="J4123"/>
  <c r="G4123"/>
  <c r="F4123"/>
  <c r="C4123"/>
  <c r="K4122"/>
  <c r="J4122"/>
  <c r="G4122"/>
  <c r="F4122"/>
  <c r="C4122"/>
  <c r="K4121"/>
  <c r="J4121"/>
  <c r="G4121"/>
  <c r="F4121"/>
  <c r="C4121"/>
  <c r="K4120"/>
  <c r="J4120"/>
  <c r="G4120"/>
  <c r="F4120"/>
  <c r="C4120"/>
  <c r="K4119"/>
  <c r="J4119"/>
  <c r="G4119"/>
  <c r="F4119"/>
  <c r="C4119"/>
  <c r="K4118"/>
  <c r="J4118"/>
  <c r="G4118"/>
  <c r="F4118"/>
  <c r="C4118"/>
  <c r="K4117"/>
  <c r="J4117"/>
  <c r="G4117"/>
  <c r="F4117"/>
  <c r="C4117"/>
  <c r="K4116"/>
  <c r="J4116"/>
  <c r="G4116"/>
  <c r="F4116"/>
  <c r="C4116"/>
  <c r="K4115"/>
  <c r="J4115"/>
  <c r="G4115"/>
  <c r="F4115"/>
  <c r="C4115"/>
  <c r="K4114"/>
  <c r="J4114"/>
  <c r="G4114"/>
  <c r="F4114"/>
  <c r="C4114"/>
  <c r="K4113"/>
  <c r="J4113"/>
  <c r="G4113"/>
  <c r="F4113"/>
  <c r="C4113"/>
  <c r="K4112"/>
  <c r="J4112"/>
  <c r="G4112"/>
  <c r="F4112"/>
  <c r="C4112"/>
  <c r="K4111"/>
  <c r="J4111"/>
  <c r="G4111"/>
  <c r="F4111"/>
  <c r="C4111"/>
  <c r="K4110"/>
  <c r="J4110"/>
  <c r="G4110"/>
  <c r="F4110"/>
  <c r="C4110"/>
  <c r="K4109"/>
  <c r="J4109"/>
  <c r="G4109"/>
  <c r="F4109"/>
  <c r="C4109"/>
  <c r="K4108"/>
  <c r="J4108"/>
  <c r="G4108"/>
  <c r="F4108"/>
  <c r="C4108"/>
  <c r="K4107"/>
  <c r="J4107"/>
  <c r="G4107"/>
  <c r="F4107"/>
  <c r="C4107"/>
  <c r="K4106"/>
  <c r="J4106"/>
  <c r="G4106"/>
  <c r="F4106"/>
  <c r="C4106"/>
  <c r="K4105"/>
  <c r="J4105"/>
  <c r="G4105"/>
  <c r="F4105"/>
  <c r="C4105"/>
  <c r="K4104"/>
  <c r="G4104"/>
  <c r="F4104"/>
  <c r="C4104"/>
  <c r="K4103"/>
  <c r="G4103"/>
  <c r="F4103"/>
  <c r="C4103"/>
  <c r="K4102"/>
  <c r="J4102"/>
  <c r="G4102"/>
  <c r="F4102"/>
  <c r="C4102"/>
  <c r="K4101"/>
  <c r="J4101"/>
  <c r="G4101"/>
  <c r="F4101"/>
  <c r="C4101"/>
  <c r="K4100"/>
  <c r="J4100"/>
  <c r="G4100"/>
  <c r="F4100"/>
  <c r="C4100"/>
  <c r="K4099"/>
  <c r="J4099"/>
  <c r="G4099"/>
  <c r="F4099"/>
  <c r="C4099"/>
  <c r="K4098"/>
  <c r="J4098"/>
  <c r="G4098"/>
  <c r="F4098"/>
  <c r="C4098"/>
  <c r="K4097"/>
  <c r="J4097"/>
  <c r="G4097"/>
  <c r="F4097"/>
  <c r="C4097"/>
  <c r="K4096"/>
  <c r="J4096"/>
  <c r="G4096"/>
  <c r="F4096"/>
  <c r="C4096"/>
  <c r="K4095"/>
  <c r="J4095"/>
  <c r="G4095"/>
  <c r="F4095"/>
  <c r="C4095"/>
  <c r="K4094"/>
  <c r="J4094"/>
  <c r="G4094"/>
  <c r="F4094"/>
  <c r="C4094"/>
  <c r="K4093"/>
  <c r="J4093"/>
  <c r="G4093"/>
  <c r="F4093"/>
  <c r="C4093"/>
  <c r="K4092"/>
  <c r="J4092"/>
  <c r="G4092"/>
  <c r="F4092"/>
  <c r="C4092"/>
  <c r="K4091"/>
  <c r="J4091"/>
  <c r="G4091"/>
  <c r="F4091"/>
  <c r="C4091"/>
  <c r="K4090"/>
  <c r="J4090"/>
  <c r="G4090"/>
  <c r="F4090"/>
  <c r="C4090"/>
  <c r="K4089"/>
  <c r="J4089"/>
  <c r="G4089"/>
  <c r="F4089"/>
  <c r="C4089"/>
  <c r="K4088"/>
  <c r="J4088"/>
  <c r="G4088"/>
  <c r="F4088"/>
  <c r="C4088"/>
  <c r="K4087"/>
  <c r="J4087"/>
  <c r="G4087"/>
  <c r="F4087"/>
  <c r="C4087"/>
  <c r="K4086"/>
  <c r="J4086"/>
  <c r="G4086"/>
  <c r="F4086"/>
  <c r="C4086"/>
  <c r="K4085"/>
  <c r="J4085"/>
  <c r="G4085"/>
  <c r="F4085"/>
  <c r="C4085"/>
  <c r="K4084"/>
  <c r="J4084"/>
  <c r="G4084"/>
  <c r="F4084"/>
  <c r="C4084"/>
  <c r="K4083"/>
  <c r="J4083"/>
  <c r="G4083"/>
  <c r="F4083"/>
  <c r="C4083"/>
  <c r="K4082"/>
  <c r="J4082"/>
  <c r="G4082"/>
  <c r="F4082"/>
  <c r="C4082"/>
  <c r="K4081"/>
  <c r="J4081"/>
  <c r="G4081"/>
  <c r="F4081"/>
  <c r="C4081"/>
  <c r="K4080"/>
  <c r="J4080"/>
  <c r="G4080"/>
  <c r="F4080"/>
  <c r="C4080"/>
  <c r="K4079"/>
  <c r="J4079"/>
  <c r="G4079"/>
  <c r="F4079"/>
  <c r="C4079"/>
  <c r="K4078"/>
  <c r="J4078"/>
  <c r="G4078"/>
  <c r="F4078"/>
  <c r="C4078"/>
  <c r="K4077"/>
  <c r="J4077"/>
  <c r="G4077"/>
  <c r="F4077"/>
  <c r="C4077"/>
  <c r="K4076"/>
  <c r="G4076"/>
  <c r="F4076"/>
  <c r="C4076"/>
  <c r="K4075"/>
  <c r="J4075"/>
  <c r="G4075"/>
  <c r="F4075"/>
  <c r="C4075"/>
  <c r="K4074"/>
  <c r="J4074"/>
  <c r="G4074"/>
  <c r="F4074"/>
  <c r="C4074"/>
  <c r="K4073"/>
  <c r="J4073"/>
  <c r="G4073"/>
  <c r="F4073"/>
  <c r="C4073"/>
  <c r="K4072"/>
  <c r="J4072"/>
  <c r="G4072"/>
  <c r="F4072"/>
  <c r="C4072"/>
  <c r="K4071"/>
  <c r="J4071"/>
  <c r="G4071"/>
  <c r="F4071"/>
  <c r="C4071"/>
  <c r="K4070"/>
  <c r="J4070"/>
  <c r="G4070"/>
  <c r="F4070"/>
  <c r="C4070"/>
  <c r="K4069"/>
  <c r="J4069"/>
  <c r="G4069"/>
  <c r="F4069"/>
  <c r="C4069"/>
  <c r="K4068"/>
  <c r="J4068"/>
  <c r="G4068"/>
  <c r="F4068"/>
  <c r="C4068"/>
  <c r="K4067"/>
  <c r="J4067"/>
  <c r="G4067"/>
  <c r="F4067"/>
  <c r="C4067"/>
  <c r="K4066"/>
  <c r="J4066"/>
  <c r="G4066"/>
  <c r="F4066"/>
  <c r="C4066"/>
  <c r="K4065"/>
  <c r="J4065"/>
  <c r="G4065"/>
  <c r="F4065"/>
  <c r="C4065"/>
  <c r="K4064"/>
  <c r="J4064"/>
  <c r="G4064"/>
  <c r="F4064"/>
  <c r="C4064"/>
  <c r="K4063"/>
  <c r="J4063"/>
  <c r="G4063"/>
  <c r="F4063"/>
  <c r="C4063"/>
  <c r="K4062"/>
  <c r="J4062"/>
  <c r="G4062"/>
  <c r="F4062"/>
  <c r="C4062"/>
  <c r="K4061"/>
  <c r="J4061"/>
  <c r="G4061"/>
  <c r="F4061"/>
  <c r="C4061"/>
  <c r="K4060"/>
  <c r="J4060"/>
  <c r="G4060"/>
  <c r="F4060"/>
  <c r="C4060"/>
  <c r="K4059"/>
  <c r="J4059"/>
  <c r="G4059"/>
  <c r="F4059"/>
  <c r="C4059"/>
  <c r="K4058"/>
  <c r="J4058"/>
  <c r="G4058"/>
  <c r="F4058"/>
  <c r="C4058"/>
  <c r="K4057"/>
  <c r="J4057"/>
  <c r="G4057"/>
  <c r="F4057"/>
  <c r="C4057"/>
  <c r="K4056"/>
  <c r="J4056"/>
  <c r="G4056"/>
  <c r="F4056"/>
  <c r="C4056"/>
  <c r="K4055"/>
  <c r="J4055"/>
  <c r="G4055"/>
  <c r="F4055"/>
  <c r="C4055"/>
  <c r="K4054"/>
  <c r="J4054"/>
  <c r="G4054"/>
  <c r="F4054"/>
  <c r="C4054"/>
  <c r="K4053"/>
  <c r="J4053"/>
  <c r="G4053"/>
  <c r="F4053"/>
  <c r="C4053"/>
  <c r="K4052"/>
  <c r="J4052"/>
  <c r="G4052"/>
  <c r="F4052"/>
  <c r="C4052"/>
  <c r="K4051"/>
  <c r="J4051"/>
  <c r="G4051"/>
  <c r="F4051"/>
  <c r="C4051"/>
  <c r="K4050"/>
  <c r="J4050"/>
  <c r="G4050"/>
  <c r="F4050"/>
  <c r="C4050"/>
  <c r="K4049"/>
  <c r="J4049"/>
  <c r="G4049"/>
  <c r="F4049"/>
  <c r="C4049"/>
  <c r="K4048"/>
  <c r="J4048"/>
  <c r="G4048"/>
  <c r="F4048"/>
  <c r="C4048"/>
  <c r="K4047"/>
  <c r="J4047"/>
  <c r="G4047"/>
  <c r="F4047"/>
  <c r="C4047"/>
  <c r="K4046"/>
  <c r="J4046"/>
  <c r="G4046"/>
  <c r="F4046"/>
  <c r="C4046"/>
  <c r="K4045"/>
  <c r="J4045"/>
  <c r="G4045"/>
  <c r="F4045"/>
  <c r="C4045"/>
  <c r="K4044"/>
  <c r="J4044"/>
  <c r="G4044"/>
  <c r="F4044"/>
  <c r="C4044"/>
  <c r="K4043"/>
  <c r="J4043"/>
  <c r="G4043"/>
  <c r="F4043"/>
  <c r="C4043"/>
  <c r="K4042"/>
  <c r="J4042"/>
  <c r="G4042"/>
  <c r="F4042"/>
  <c r="C4042"/>
  <c r="K4041"/>
  <c r="J4041"/>
  <c r="G4041"/>
  <c r="F4041"/>
  <c r="C4041"/>
  <c r="K4040"/>
  <c r="J4040"/>
  <c r="G4040"/>
  <c r="F4040"/>
  <c r="C4040"/>
  <c r="K4039"/>
  <c r="J4039"/>
  <c r="G4039"/>
  <c r="F4039"/>
  <c r="C4039"/>
  <c r="K4038"/>
  <c r="J4038"/>
  <c r="G4038"/>
  <c r="F4038"/>
  <c r="C4038"/>
  <c r="K4037"/>
  <c r="J4037"/>
  <c r="G4037"/>
  <c r="F4037"/>
  <c r="C4037"/>
  <c r="K4036"/>
  <c r="J4036"/>
  <c r="G4036"/>
  <c r="F4036"/>
  <c r="C4036"/>
  <c r="K4035"/>
  <c r="J4035"/>
  <c r="G4035"/>
  <c r="F4035"/>
  <c r="C4035"/>
  <c r="K4034"/>
  <c r="J4034"/>
  <c r="G4034"/>
  <c r="F4034"/>
  <c r="C4034"/>
  <c r="K4033"/>
  <c r="J4033"/>
  <c r="G4033"/>
  <c r="F4033"/>
  <c r="C4033"/>
  <c r="K4032"/>
  <c r="J4032"/>
  <c r="G4032"/>
  <c r="F4032"/>
  <c r="C4032"/>
  <c r="K4031"/>
  <c r="J4031"/>
  <c r="G4031"/>
  <c r="F4031"/>
  <c r="C4031"/>
  <c r="K4030"/>
  <c r="J4030"/>
  <c r="G4030"/>
  <c r="F4030"/>
  <c r="C4030"/>
  <c r="K4029"/>
  <c r="J4029"/>
  <c r="G4029"/>
  <c r="F4029"/>
  <c r="C4029"/>
  <c r="K4028"/>
  <c r="J4028"/>
  <c r="G4028"/>
  <c r="F4028"/>
  <c r="C4028"/>
  <c r="K4027"/>
  <c r="J4027"/>
  <c r="G4027"/>
  <c r="F4027"/>
  <c r="C4027"/>
  <c r="K4026"/>
  <c r="J4026"/>
  <c r="G4026"/>
  <c r="F4026"/>
  <c r="C4026"/>
  <c r="K4025"/>
  <c r="J4025"/>
  <c r="G4025"/>
  <c r="F4025"/>
  <c r="C4025"/>
  <c r="K4024"/>
  <c r="J4024"/>
  <c r="G4024"/>
  <c r="F4024"/>
  <c r="C4024"/>
  <c r="K4023"/>
  <c r="J4023"/>
  <c r="G4023"/>
  <c r="F4023"/>
  <c r="C4023"/>
  <c r="K4022"/>
  <c r="J4022"/>
  <c r="G4022"/>
  <c r="F4022"/>
  <c r="C4022"/>
  <c r="K4021"/>
  <c r="J4021"/>
  <c r="G4021"/>
  <c r="F4021"/>
  <c r="C4021"/>
  <c r="K4020"/>
  <c r="J4020"/>
  <c r="G4020"/>
  <c r="F4020"/>
  <c r="C4020"/>
  <c r="K4019"/>
  <c r="J4019"/>
  <c r="G4019"/>
  <c r="F4019"/>
  <c r="C4019"/>
  <c r="K4018"/>
  <c r="J4018"/>
  <c r="G4018"/>
  <c r="F4018"/>
  <c r="C4018"/>
  <c r="K4017"/>
  <c r="J4017"/>
  <c r="G4017"/>
  <c r="F4017"/>
  <c r="C4017"/>
  <c r="K4016"/>
  <c r="J4016"/>
  <c r="G4016"/>
  <c r="F4016"/>
  <c r="C4016"/>
  <c r="K4015"/>
  <c r="J4015"/>
  <c r="G4015"/>
  <c r="F4015"/>
  <c r="C4015"/>
  <c r="K4014"/>
  <c r="J4014"/>
  <c r="G4014"/>
  <c r="F4014"/>
  <c r="C4014"/>
  <c r="K4013"/>
  <c r="J4013"/>
  <c r="G4013"/>
  <c r="F4013"/>
  <c r="C4013"/>
  <c r="K4012"/>
  <c r="J4012"/>
  <c r="G4012"/>
  <c r="F4012"/>
  <c r="C4012"/>
  <c r="K4011"/>
  <c r="J4011"/>
  <c r="G4011"/>
  <c r="F4011"/>
  <c r="C4011"/>
  <c r="K4010"/>
  <c r="J4010"/>
  <c r="G4010"/>
  <c r="F4010"/>
  <c r="C4010"/>
  <c r="K4009"/>
  <c r="J4009"/>
  <c r="G4009"/>
  <c r="F4009"/>
  <c r="C4009"/>
  <c r="K4008"/>
  <c r="J4008"/>
  <c r="G4008"/>
  <c r="F4008"/>
  <c r="C4008"/>
  <c r="K4007"/>
  <c r="J4007"/>
  <c r="G4007"/>
  <c r="F4007"/>
  <c r="C4007"/>
  <c r="K4006"/>
  <c r="J4006"/>
  <c r="G4006"/>
  <c r="F4006"/>
  <c r="C4006"/>
  <c r="K4005"/>
  <c r="J4005"/>
  <c r="G4005"/>
  <c r="F4005"/>
  <c r="C4005"/>
  <c r="K4004"/>
  <c r="J4004"/>
  <c r="G4004"/>
  <c r="F4004"/>
  <c r="C4004"/>
  <c r="K4003"/>
  <c r="J4003"/>
  <c r="G4003"/>
  <c r="F4003"/>
  <c r="C4003"/>
  <c r="K4002"/>
  <c r="J4002"/>
  <c r="G4002"/>
  <c r="F4002"/>
  <c r="C4002"/>
  <c r="K4001"/>
  <c r="J4001"/>
  <c r="G4001"/>
  <c r="F4001"/>
  <c r="C4001"/>
  <c r="K4000"/>
  <c r="J4000"/>
  <c r="G4000"/>
  <c r="F4000"/>
  <c r="C4000"/>
  <c r="K3999"/>
  <c r="J3999"/>
  <c r="G3999"/>
  <c r="F3999"/>
  <c r="C3999"/>
  <c r="K3998"/>
  <c r="J3998"/>
  <c r="G3998"/>
  <c r="F3998"/>
  <c r="C3998"/>
  <c r="K3997"/>
  <c r="J3997"/>
  <c r="G3997"/>
  <c r="F3997"/>
  <c r="C3997"/>
  <c r="K3996"/>
  <c r="J3996"/>
  <c r="G3996"/>
  <c r="F3996"/>
  <c r="C3996"/>
  <c r="K3995"/>
  <c r="J3995"/>
  <c r="G3995"/>
  <c r="F3995"/>
  <c r="C3995"/>
  <c r="K3994"/>
  <c r="J3994"/>
  <c r="G3994"/>
  <c r="F3994"/>
  <c r="C3994"/>
  <c r="K3993"/>
  <c r="J3993"/>
  <c r="G3993"/>
  <c r="F3993"/>
  <c r="C3993"/>
  <c r="K3992"/>
  <c r="J3992"/>
  <c r="G3992"/>
  <c r="F3992"/>
  <c r="C3992"/>
  <c r="K3991"/>
  <c r="J3991"/>
  <c r="G3991"/>
  <c r="F3991"/>
  <c r="C3991"/>
  <c r="K3990"/>
  <c r="J3990"/>
  <c r="G3990"/>
  <c r="F3990"/>
  <c r="C3990"/>
  <c r="K3989"/>
  <c r="J3989"/>
  <c r="G3989"/>
  <c r="F3989"/>
  <c r="C3989"/>
  <c r="K3988"/>
  <c r="J3988"/>
  <c r="G3988"/>
  <c r="F3988"/>
  <c r="C3988"/>
  <c r="K3987"/>
  <c r="J3987"/>
  <c r="G3987"/>
  <c r="F3987"/>
  <c r="C3987"/>
  <c r="K3986"/>
  <c r="J3986"/>
  <c r="G3986"/>
  <c r="F3986"/>
  <c r="C3986"/>
  <c r="K3985"/>
  <c r="J3985"/>
  <c r="G3985"/>
  <c r="F3985"/>
  <c r="C3985"/>
  <c r="K3984"/>
  <c r="J3984"/>
  <c r="G3984"/>
  <c r="F3984"/>
  <c r="C3984"/>
  <c r="K3983"/>
  <c r="J3983"/>
  <c r="G3983"/>
  <c r="F3983"/>
  <c r="C3983"/>
  <c r="K3982"/>
  <c r="J3982"/>
  <c r="G3982"/>
  <c r="F3982"/>
  <c r="C3982"/>
  <c r="K3981"/>
  <c r="J3981"/>
  <c r="G3981"/>
  <c r="F3981"/>
  <c r="C3981"/>
  <c r="K3980"/>
  <c r="J3980"/>
  <c r="G3980"/>
  <c r="F3980"/>
  <c r="C3980"/>
  <c r="K3979"/>
  <c r="J3979"/>
  <c r="G3979"/>
  <c r="F3979"/>
  <c r="C3979"/>
  <c r="K3978"/>
  <c r="J3978"/>
  <c r="G3978"/>
  <c r="F3978"/>
  <c r="C3978"/>
  <c r="K3977"/>
  <c r="J3977"/>
  <c r="G3977"/>
  <c r="F3977"/>
  <c r="C3977"/>
  <c r="K3976"/>
  <c r="J3976"/>
  <c r="G3976"/>
  <c r="F3976"/>
  <c r="C3976"/>
  <c r="K3975"/>
  <c r="J3975"/>
  <c r="G3975"/>
  <c r="F3975"/>
  <c r="C3975"/>
  <c r="K3974"/>
  <c r="J3974"/>
  <c r="G3974"/>
  <c r="F3974"/>
  <c r="C3974"/>
  <c r="K3973"/>
  <c r="J3973"/>
  <c r="G3973"/>
  <c r="F3973"/>
  <c r="C3973"/>
  <c r="K3972"/>
  <c r="J3972"/>
  <c r="G3972"/>
  <c r="F3972"/>
  <c r="C3972"/>
  <c r="K3971"/>
  <c r="J3971"/>
  <c r="G3971"/>
  <c r="F3971"/>
  <c r="C3971"/>
  <c r="K3970"/>
  <c r="J3970"/>
  <c r="G3970"/>
  <c r="F3970"/>
  <c r="C3970"/>
  <c r="K3969"/>
  <c r="J3969"/>
  <c r="G3969"/>
  <c r="F3969"/>
  <c r="C3969"/>
  <c r="K3968"/>
  <c r="J3968"/>
  <c r="G3968"/>
  <c r="F3968"/>
  <c r="C3968"/>
  <c r="K3967"/>
  <c r="J3967"/>
  <c r="G3967"/>
  <c r="F3967"/>
  <c r="C3967"/>
  <c r="K3966"/>
  <c r="J3966"/>
  <c r="G3966"/>
  <c r="F3966"/>
  <c r="C3966"/>
  <c r="K3965"/>
  <c r="J3965"/>
  <c r="G3965"/>
  <c r="F3965"/>
  <c r="C3965"/>
  <c r="K3964"/>
  <c r="J3964"/>
  <c r="G3964"/>
  <c r="F3964"/>
  <c r="C3964"/>
  <c r="K3963"/>
  <c r="J3963"/>
  <c r="G3963"/>
  <c r="F3963"/>
  <c r="C3963"/>
  <c r="K3962"/>
  <c r="J3962"/>
  <c r="G3962"/>
  <c r="F3962"/>
  <c r="C3962"/>
  <c r="K3961"/>
  <c r="J3961"/>
  <c r="G3961"/>
  <c r="F3961"/>
  <c r="C3961"/>
  <c r="K3960"/>
  <c r="J3960"/>
  <c r="G3960"/>
  <c r="F3960"/>
  <c r="C3960"/>
  <c r="K3959"/>
  <c r="J3959"/>
  <c r="G3959"/>
  <c r="F3959"/>
  <c r="C3959"/>
  <c r="K3958"/>
  <c r="J3958"/>
  <c r="G3958"/>
  <c r="F3958"/>
  <c r="C3958"/>
  <c r="K3957"/>
  <c r="G3957"/>
  <c r="F3957"/>
  <c r="C3957"/>
  <c r="K3956"/>
  <c r="J3956"/>
  <c r="G3956"/>
  <c r="F3956"/>
  <c r="C3956"/>
  <c r="K3955"/>
  <c r="J3955"/>
  <c r="G3955"/>
  <c r="F3955"/>
  <c r="C3955"/>
  <c r="K3954"/>
  <c r="J3954"/>
  <c r="G3954"/>
  <c r="F3954"/>
  <c r="C3954"/>
  <c r="K3953"/>
  <c r="J3953"/>
  <c r="G3953"/>
  <c r="F3953"/>
  <c r="C3953"/>
  <c r="K3952"/>
  <c r="J3952"/>
  <c r="G3952"/>
  <c r="F3952"/>
  <c r="C3952"/>
  <c r="K3951"/>
  <c r="J3951"/>
  <c r="G3951"/>
  <c r="F3951"/>
  <c r="C3951"/>
  <c r="K3950"/>
  <c r="J3950"/>
  <c r="G3950"/>
  <c r="F3950"/>
  <c r="C3950"/>
  <c r="K3949"/>
  <c r="J3949"/>
  <c r="G3949"/>
  <c r="F3949"/>
  <c r="C3949"/>
  <c r="K3948"/>
  <c r="J3948"/>
  <c r="G3948"/>
  <c r="F3948"/>
  <c r="C3948"/>
  <c r="K3947"/>
  <c r="J3947"/>
  <c r="G3947"/>
  <c r="F3947"/>
  <c r="C3947"/>
  <c r="K3946"/>
  <c r="J3946"/>
  <c r="G3946"/>
  <c r="F3946"/>
  <c r="C3946"/>
  <c r="K3945"/>
  <c r="J3945"/>
  <c r="G3945"/>
  <c r="F3945"/>
  <c r="C3945"/>
  <c r="K3944"/>
  <c r="J3944"/>
  <c r="G3944"/>
  <c r="F3944"/>
  <c r="C3944"/>
  <c r="K3943"/>
  <c r="J3943"/>
  <c r="G3943"/>
  <c r="F3943"/>
  <c r="C3943"/>
  <c r="K3942"/>
  <c r="J3942"/>
  <c r="G3942"/>
  <c r="F3942"/>
  <c r="C3942"/>
  <c r="K3941"/>
  <c r="J3941"/>
  <c r="G3941"/>
  <c r="F3941"/>
  <c r="C3941"/>
  <c r="K3940"/>
  <c r="J3940"/>
  <c r="G3940"/>
  <c r="F3940"/>
  <c r="C3940"/>
  <c r="K3939"/>
  <c r="J3939"/>
  <c r="G3939"/>
  <c r="F3939"/>
  <c r="C3939"/>
  <c r="K3938"/>
  <c r="J3938"/>
  <c r="G3938"/>
  <c r="F3938"/>
  <c r="C3938"/>
  <c r="K3937"/>
  <c r="J3937"/>
  <c r="G3937"/>
  <c r="F3937"/>
  <c r="C3937"/>
  <c r="K3936"/>
  <c r="J3936"/>
  <c r="G3936"/>
  <c r="F3936"/>
  <c r="C3936"/>
  <c r="K3935"/>
  <c r="J3935"/>
  <c r="G3935"/>
  <c r="F3935"/>
  <c r="C3935"/>
  <c r="K3934"/>
  <c r="J3934"/>
  <c r="G3934"/>
  <c r="F3934"/>
  <c r="C3934"/>
  <c r="K3933"/>
  <c r="J3933"/>
  <c r="G3933"/>
  <c r="F3933"/>
  <c r="C3933"/>
  <c r="K3932"/>
  <c r="J3932"/>
  <c r="G3932"/>
  <c r="F3932"/>
  <c r="C3932"/>
  <c r="K3931"/>
  <c r="J3931"/>
  <c r="G3931"/>
  <c r="F3931"/>
  <c r="C3931"/>
  <c r="K3930"/>
  <c r="J3930"/>
  <c r="G3930"/>
  <c r="F3930"/>
  <c r="C3930"/>
  <c r="K3929"/>
  <c r="J3929"/>
  <c r="G3929"/>
  <c r="F3929"/>
  <c r="C3929"/>
  <c r="K3928"/>
  <c r="J3928"/>
  <c r="G3928"/>
  <c r="F3928"/>
  <c r="C3928"/>
  <c r="K3927"/>
  <c r="J3927"/>
  <c r="G3927"/>
  <c r="F3927"/>
  <c r="C3927"/>
  <c r="K3926"/>
  <c r="J3926"/>
  <c r="G3926"/>
  <c r="F3926"/>
  <c r="C3926"/>
  <c r="K3925"/>
  <c r="J3925"/>
  <c r="G3925"/>
  <c r="F3925"/>
  <c r="C3925"/>
  <c r="K3924"/>
  <c r="J3924"/>
  <c r="G3924"/>
  <c r="F3924"/>
  <c r="C3924"/>
  <c r="K3923"/>
  <c r="J3923"/>
  <c r="G3923"/>
  <c r="F3923"/>
  <c r="C3923"/>
  <c r="K3922"/>
  <c r="J3922"/>
  <c r="G3922"/>
  <c r="F3922"/>
  <c r="C3922"/>
  <c r="K3921"/>
  <c r="J3921"/>
  <c r="G3921"/>
  <c r="F3921"/>
  <c r="C3921"/>
  <c r="K3920"/>
  <c r="J3920"/>
  <c r="G3920"/>
  <c r="F3920"/>
  <c r="C3920"/>
  <c r="K3919"/>
  <c r="J3919"/>
  <c r="G3919"/>
  <c r="F3919"/>
  <c r="C3919"/>
  <c r="K3918"/>
  <c r="J3918"/>
  <c r="G3918"/>
  <c r="F3918"/>
  <c r="C3918"/>
  <c r="K3917"/>
  <c r="J3917"/>
  <c r="G3917"/>
  <c r="F3917"/>
  <c r="C3917"/>
  <c r="K3916"/>
  <c r="J3916"/>
  <c r="G3916"/>
  <c r="F3916"/>
  <c r="C3916"/>
  <c r="K3915"/>
  <c r="J3915"/>
  <c r="G3915"/>
  <c r="F3915"/>
  <c r="C3915"/>
  <c r="K3914"/>
  <c r="J3914"/>
  <c r="G3914"/>
  <c r="F3914"/>
  <c r="C3914"/>
  <c r="K3913"/>
  <c r="J3913"/>
  <c r="G3913"/>
  <c r="F3913"/>
  <c r="C3913"/>
  <c r="K3912"/>
  <c r="J3912"/>
  <c r="G3912"/>
  <c r="F3912"/>
  <c r="C3912"/>
  <c r="K3911"/>
  <c r="J3911"/>
  <c r="G3911"/>
  <c r="F3911"/>
  <c r="C3911"/>
  <c r="K3910"/>
  <c r="J3910"/>
  <c r="G3910"/>
  <c r="F3910"/>
  <c r="C3910"/>
  <c r="K3909"/>
  <c r="J3909"/>
  <c r="G3909"/>
  <c r="F3909"/>
  <c r="C3909"/>
  <c r="K3908"/>
  <c r="J3908"/>
  <c r="G3908"/>
  <c r="F3908"/>
  <c r="C3908"/>
  <c r="K3907"/>
  <c r="J3907"/>
  <c r="G3907"/>
  <c r="F3907"/>
  <c r="C3907"/>
  <c r="K3906"/>
  <c r="J3906"/>
  <c r="G3906"/>
  <c r="F3906"/>
  <c r="C3906"/>
  <c r="K3905"/>
  <c r="J3905"/>
  <c r="G3905"/>
  <c r="F3905"/>
  <c r="C3905"/>
  <c r="K3904"/>
  <c r="J3904"/>
  <c r="G3904"/>
  <c r="F3904"/>
  <c r="C3904"/>
  <c r="K3903"/>
  <c r="J3903"/>
  <c r="G3903"/>
  <c r="F3903"/>
  <c r="C3903"/>
  <c r="K3902"/>
  <c r="J3902"/>
  <c r="G3902"/>
  <c r="F3902"/>
  <c r="C3902"/>
  <c r="K3901"/>
  <c r="J3901"/>
  <c r="G3901"/>
  <c r="F3901"/>
  <c r="C3901"/>
  <c r="K3900"/>
  <c r="J3900"/>
  <c r="G3900"/>
  <c r="F3900"/>
  <c r="C3900"/>
  <c r="K3899"/>
  <c r="J3899"/>
  <c r="G3899"/>
  <c r="F3899"/>
  <c r="C3899"/>
  <c r="K3898"/>
  <c r="J3898"/>
  <c r="G3898"/>
  <c r="F3898"/>
  <c r="C3898"/>
  <c r="K3897"/>
  <c r="J3897"/>
  <c r="G3897"/>
  <c r="F3897"/>
  <c r="C3897"/>
  <c r="K3896"/>
  <c r="J3896"/>
  <c r="G3896"/>
  <c r="F3896"/>
  <c r="C3896"/>
  <c r="K3895"/>
  <c r="J3895"/>
  <c r="G3895"/>
  <c r="F3895"/>
  <c r="C3895"/>
  <c r="K3894"/>
  <c r="J3894"/>
  <c r="G3894"/>
  <c r="F3894"/>
  <c r="C3894"/>
  <c r="K3893"/>
  <c r="J3893"/>
  <c r="G3893"/>
  <c r="F3893"/>
  <c r="C3893"/>
  <c r="K3892"/>
  <c r="J3892"/>
  <c r="G3892"/>
  <c r="F3892"/>
  <c r="C3892"/>
  <c r="K3891"/>
  <c r="J3891"/>
  <c r="G3891"/>
  <c r="F3891"/>
  <c r="C3891"/>
  <c r="K3890"/>
  <c r="J3890"/>
  <c r="G3890"/>
  <c r="F3890"/>
  <c r="C3890"/>
  <c r="K3889"/>
  <c r="J3889"/>
  <c r="G3889"/>
  <c r="F3889"/>
  <c r="C3889"/>
  <c r="K3888"/>
  <c r="J3888"/>
  <c r="G3888"/>
  <c r="F3888"/>
  <c r="C3888"/>
  <c r="K3887"/>
  <c r="J3887"/>
  <c r="G3887"/>
  <c r="F3887"/>
  <c r="C3887"/>
  <c r="K3886"/>
  <c r="J3886"/>
  <c r="G3886"/>
  <c r="F3886"/>
  <c r="C3886"/>
  <c r="K3885"/>
  <c r="J3885"/>
  <c r="G3885"/>
  <c r="F3885"/>
  <c r="C3885"/>
  <c r="K3884"/>
  <c r="J3884"/>
  <c r="G3884"/>
  <c r="F3884"/>
  <c r="C3884"/>
  <c r="K3883"/>
  <c r="J3883"/>
  <c r="G3883"/>
  <c r="F3883"/>
  <c r="C3883"/>
  <c r="K3882"/>
  <c r="J3882"/>
  <c r="G3882"/>
  <c r="F3882"/>
  <c r="C3882"/>
  <c r="K3881"/>
  <c r="J3881"/>
  <c r="G3881"/>
  <c r="F3881"/>
  <c r="C3881"/>
  <c r="K3880"/>
  <c r="J3880"/>
  <c r="G3880"/>
  <c r="F3880"/>
  <c r="C3880"/>
  <c r="K3879"/>
  <c r="J3879"/>
  <c r="G3879"/>
  <c r="F3879"/>
  <c r="C3879"/>
  <c r="K3878"/>
  <c r="J3878"/>
  <c r="G3878"/>
  <c r="F3878"/>
  <c r="C3878"/>
  <c r="K3877"/>
  <c r="J3877"/>
  <c r="G3877"/>
  <c r="F3877"/>
  <c r="C3877"/>
  <c r="K3876"/>
  <c r="J3876"/>
  <c r="G3876"/>
  <c r="F3876"/>
  <c r="C3876"/>
  <c r="K3875"/>
  <c r="J3875"/>
  <c r="G3875"/>
  <c r="F3875"/>
  <c r="C3875"/>
  <c r="K3874"/>
  <c r="J3874"/>
  <c r="G3874"/>
  <c r="F3874"/>
  <c r="C3874"/>
  <c r="K3873"/>
  <c r="J3873"/>
  <c r="G3873"/>
  <c r="F3873"/>
  <c r="C3873"/>
  <c r="K3872"/>
  <c r="J3872"/>
  <c r="G3872"/>
  <c r="F3872"/>
  <c r="C3872"/>
  <c r="K3871"/>
  <c r="J3871"/>
  <c r="G3871"/>
  <c r="F3871"/>
  <c r="C3871"/>
  <c r="K3870"/>
  <c r="J3870"/>
  <c r="G3870"/>
  <c r="F3870"/>
  <c r="C3870"/>
  <c r="K3869"/>
  <c r="J3869"/>
  <c r="G3869"/>
  <c r="F3869"/>
  <c r="C3869"/>
  <c r="K3868"/>
  <c r="J3868"/>
  <c r="G3868"/>
  <c r="F3868"/>
  <c r="C3868"/>
  <c r="K3867"/>
  <c r="J3867"/>
  <c r="G3867"/>
  <c r="F3867"/>
  <c r="C3867"/>
  <c r="K3866"/>
  <c r="J3866"/>
  <c r="G3866"/>
  <c r="F3866"/>
  <c r="C3866"/>
  <c r="K3865"/>
  <c r="J3865"/>
  <c r="G3865"/>
  <c r="F3865"/>
  <c r="C3865"/>
  <c r="K3864"/>
  <c r="J3864"/>
  <c r="G3864"/>
  <c r="F3864"/>
  <c r="C3864"/>
  <c r="K3863"/>
  <c r="J3863"/>
  <c r="G3863"/>
  <c r="F3863"/>
  <c r="C3863"/>
  <c r="K3862"/>
  <c r="J3862"/>
  <c r="G3862"/>
  <c r="F3862"/>
  <c r="C3862"/>
  <c r="K3861"/>
  <c r="J3861"/>
  <c r="G3861"/>
  <c r="F3861"/>
  <c r="C3861"/>
  <c r="K3860"/>
  <c r="J3860"/>
  <c r="G3860"/>
  <c r="F3860"/>
  <c r="C3860"/>
  <c r="K3859"/>
  <c r="J3859"/>
  <c r="G3859"/>
  <c r="F3859"/>
  <c r="C3859"/>
  <c r="K3858"/>
  <c r="G3858"/>
  <c r="F3858"/>
  <c r="C3858"/>
  <c r="K3857"/>
  <c r="J3857"/>
  <c r="G3857"/>
  <c r="F3857"/>
  <c r="C3857"/>
  <c r="K3856"/>
  <c r="J3856"/>
  <c r="G3856"/>
  <c r="F3856"/>
  <c r="C3856"/>
  <c r="K3855"/>
  <c r="J3855"/>
  <c r="G3855"/>
  <c r="F3855"/>
  <c r="C3855"/>
  <c r="K3854"/>
  <c r="J3854"/>
  <c r="G3854"/>
  <c r="F3854"/>
  <c r="C3854"/>
  <c r="K3853"/>
  <c r="J3853"/>
  <c r="G3853"/>
  <c r="F3853"/>
  <c r="C3853"/>
  <c r="K3852"/>
  <c r="J3852"/>
  <c r="G3852"/>
  <c r="F3852"/>
  <c r="C3852"/>
  <c r="K3851"/>
  <c r="J3851"/>
  <c r="G3851"/>
  <c r="F3851"/>
  <c r="C3851"/>
  <c r="K3850"/>
  <c r="J3850"/>
  <c r="G3850"/>
  <c r="F3850"/>
  <c r="C3850"/>
  <c r="K3849"/>
  <c r="J3849"/>
  <c r="G3849"/>
  <c r="F3849"/>
  <c r="C3849"/>
  <c r="K3848"/>
  <c r="J3848"/>
  <c r="G3848"/>
  <c r="F3848"/>
  <c r="C3848"/>
  <c r="K3847"/>
  <c r="J3847"/>
  <c r="G3847"/>
  <c r="F3847"/>
  <c r="C3847"/>
  <c r="K3846"/>
  <c r="J3846"/>
  <c r="G3846"/>
  <c r="F3846"/>
  <c r="C3846"/>
  <c r="K3845"/>
  <c r="J3845"/>
  <c r="G3845"/>
  <c r="F3845"/>
  <c r="C3845"/>
  <c r="K3844"/>
  <c r="J3844"/>
  <c r="G3844"/>
  <c r="F3844"/>
  <c r="C3844"/>
  <c r="K3843"/>
  <c r="J3843"/>
  <c r="G3843"/>
  <c r="F3843"/>
  <c r="C3843"/>
  <c r="K3842"/>
  <c r="J3842"/>
  <c r="G3842"/>
  <c r="F3842"/>
  <c r="C3842"/>
  <c r="K3841"/>
  <c r="J3841"/>
  <c r="G3841"/>
  <c r="F3841"/>
  <c r="C3841"/>
  <c r="K3840"/>
  <c r="J3840"/>
  <c r="G3840"/>
  <c r="F3840"/>
  <c r="C3840"/>
  <c r="K3839"/>
  <c r="J3839"/>
  <c r="G3839"/>
  <c r="F3839"/>
  <c r="C3839"/>
  <c r="K3838"/>
  <c r="J3838"/>
  <c r="G3838"/>
  <c r="F3838"/>
  <c r="C3838"/>
  <c r="K3837"/>
  <c r="J3837"/>
  <c r="G3837"/>
  <c r="F3837"/>
  <c r="C3837"/>
  <c r="K3836"/>
  <c r="J3836"/>
  <c r="G3836"/>
  <c r="F3836"/>
  <c r="C3836"/>
  <c r="K3835"/>
  <c r="J3835"/>
  <c r="G3835"/>
  <c r="F3835"/>
  <c r="C3835"/>
  <c r="K3834"/>
  <c r="J3834"/>
  <c r="G3834"/>
  <c r="F3834"/>
  <c r="C3834"/>
  <c r="K3833"/>
  <c r="J3833"/>
  <c r="G3833"/>
  <c r="F3833"/>
  <c r="C3833"/>
  <c r="K3832"/>
  <c r="J3832"/>
  <c r="G3832"/>
  <c r="F3832"/>
  <c r="C3832"/>
  <c r="K3831"/>
  <c r="J3831"/>
  <c r="G3831"/>
  <c r="F3831"/>
  <c r="C3831"/>
  <c r="K3830"/>
  <c r="J3830"/>
  <c r="G3830"/>
  <c r="F3830"/>
  <c r="C3830"/>
  <c r="K3829"/>
  <c r="J3829"/>
  <c r="G3829"/>
  <c r="F3829"/>
  <c r="C3829"/>
  <c r="K3828"/>
  <c r="J3828"/>
  <c r="G3828"/>
  <c r="F3828"/>
  <c r="C3828"/>
  <c r="K3827"/>
  <c r="J3827"/>
  <c r="G3827"/>
  <c r="F3827"/>
  <c r="C3827"/>
  <c r="K3826"/>
  <c r="J3826"/>
  <c r="G3826"/>
  <c r="F3826"/>
  <c r="C3826"/>
  <c r="K3825"/>
  <c r="J3825"/>
  <c r="G3825"/>
  <c r="F3825"/>
  <c r="C3825"/>
  <c r="K3824"/>
  <c r="J3824"/>
  <c r="G3824"/>
  <c r="F3824"/>
  <c r="C3824"/>
  <c r="K3823"/>
  <c r="J3823"/>
  <c r="G3823"/>
  <c r="F3823"/>
  <c r="C3823"/>
  <c r="K3822"/>
  <c r="J3822"/>
  <c r="G3822"/>
  <c r="F3822"/>
  <c r="C3822"/>
  <c r="K3821"/>
  <c r="J3821"/>
  <c r="G3821"/>
  <c r="F3821"/>
  <c r="C3821"/>
  <c r="K3820"/>
  <c r="J3820"/>
  <c r="G3820"/>
  <c r="F3820"/>
  <c r="C3820"/>
  <c r="K3819"/>
  <c r="J3819"/>
  <c r="G3819"/>
  <c r="F3819"/>
  <c r="C3819"/>
  <c r="K3818"/>
  <c r="J3818"/>
  <c r="G3818"/>
  <c r="F3818"/>
  <c r="C3818"/>
  <c r="K3817"/>
  <c r="J3817"/>
  <c r="G3817"/>
  <c r="F3817"/>
  <c r="C3817"/>
  <c r="K3816"/>
  <c r="J3816"/>
  <c r="G3816"/>
  <c r="F3816"/>
  <c r="C3816"/>
  <c r="K3815"/>
  <c r="J3815"/>
  <c r="G3815"/>
  <c r="F3815"/>
  <c r="C3815"/>
  <c r="K3814"/>
  <c r="J3814"/>
  <c r="G3814"/>
  <c r="F3814"/>
  <c r="C3814"/>
  <c r="K3813"/>
  <c r="J3813"/>
  <c r="G3813"/>
  <c r="F3813"/>
  <c r="C3813"/>
  <c r="K3812"/>
  <c r="J3812"/>
  <c r="G3812"/>
  <c r="F3812"/>
  <c r="C3812"/>
  <c r="K3811"/>
  <c r="J3811"/>
  <c r="G3811"/>
  <c r="F3811"/>
  <c r="C3811"/>
  <c r="K3810"/>
  <c r="J3810"/>
  <c r="G3810"/>
  <c r="F3810"/>
  <c r="C3810"/>
  <c r="K3809"/>
  <c r="J3809"/>
  <c r="G3809"/>
  <c r="F3809"/>
  <c r="C3809"/>
  <c r="K3808"/>
  <c r="J3808"/>
  <c r="G3808"/>
  <c r="F3808"/>
  <c r="C3808"/>
  <c r="K3807"/>
  <c r="J3807"/>
  <c r="G3807"/>
  <c r="F3807"/>
  <c r="C3807"/>
  <c r="K3806"/>
  <c r="J3806"/>
  <c r="G3806"/>
  <c r="F3806"/>
  <c r="C3806"/>
  <c r="K3805"/>
  <c r="J3805"/>
  <c r="G3805"/>
  <c r="F3805"/>
  <c r="C3805"/>
  <c r="K3804"/>
  <c r="J3804"/>
  <c r="G3804"/>
  <c r="F3804"/>
  <c r="C3804"/>
  <c r="K3803"/>
  <c r="J3803"/>
  <c r="G3803"/>
  <c r="F3803"/>
  <c r="C3803"/>
  <c r="K3802"/>
  <c r="J3802"/>
  <c r="G3802"/>
  <c r="F3802"/>
  <c r="C3802"/>
  <c r="K3801"/>
  <c r="J3801"/>
  <c r="G3801"/>
  <c r="F3801"/>
  <c r="C3801"/>
  <c r="K3800"/>
  <c r="J3800"/>
  <c r="G3800"/>
  <c r="F3800"/>
  <c r="C3800"/>
  <c r="K3799"/>
  <c r="J3799"/>
  <c r="G3799"/>
  <c r="F3799"/>
  <c r="C3799"/>
  <c r="K3798"/>
  <c r="J3798"/>
  <c r="G3798"/>
  <c r="F3798"/>
  <c r="C3798"/>
  <c r="K3797"/>
  <c r="J3797"/>
  <c r="G3797"/>
  <c r="F3797"/>
  <c r="C3797"/>
  <c r="K3796"/>
  <c r="J3796"/>
  <c r="G3796"/>
  <c r="F3796"/>
  <c r="C3796"/>
  <c r="K3795"/>
  <c r="J3795"/>
  <c r="G3795"/>
  <c r="F3795"/>
  <c r="C3795"/>
  <c r="K3794"/>
  <c r="J3794"/>
  <c r="G3794"/>
  <c r="F3794"/>
  <c r="C3794"/>
  <c r="K3793"/>
  <c r="J3793"/>
  <c r="G3793"/>
  <c r="F3793"/>
  <c r="C3793"/>
  <c r="K3792"/>
  <c r="J3792"/>
  <c r="G3792"/>
  <c r="F3792"/>
  <c r="C3792"/>
  <c r="K3791"/>
  <c r="J3791"/>
  <c r="G3791"/>
  <c r="F3791"/>
  <c r="C3791"/>
  <c r="K3790"/>
  <c r="J3790"/>
  <c r="G3790"/>
  <c r="F3790"/>
  <c r="C3790"/>
  <c r="K3789"/>
  <c r="J3789"/>
  <c r="G3789"/>
  <c r="F3789"/>
  <c r="C3789"/>
  <c r="K3788"/>
  <c r="J3788"/>
  <c r="G3788"/>
  <c r="F3788"/>
  <c r="C3788"/>
  <c r="K3787"/>
  <c r="J3787"/>
  <c r="G3787"/>
  <c r="F3787"/>
  <c r="C3787"/>
  <c r="K3786"/>
  <c r="J3786"/>
  <c r="G3786"/>
  <c r="F3786"/>
  <c r="C3786"/>
  <c r="K3785"/>
  <c r="J3785"/>
  <c r="G3785"/>
  <c r="F3785"/>
  <c r="C3785"/>
  <c r="K3784"/>
  <c r="J3784"/>
  <c r="G3784"/>
  <c r="F3784"/>
  <c r="C3784"/>
  <c r="K3783"/>
  <c r="J3783"/>
  <c r="G3783"/>
  <c r="F3783"/>
  <c r="C3783"/>
  <c r="K3782"/>
  <c r="J3782"/>
  <c r="G3782"/>
  <c r="F3782"/>
  <c r="C3782"/>
  <c r="K3781"/>
  <c r="J3781"/>
  <c r="G3781"/>
  <c r="F3781"/>
  <c r="C3781"/>
  <c r="K3780"/>
  <c r="J3780"/>
  <c r="G3780"/>
  <c r="F3780"/>
  <c r="C3780"/>
  <c r="K3779"/>
  <c r="J3779"/>
  <c r="G3779"/>
  <c r="F3779"/>
  <c r="C3779"/>
  <c r="K3778"/>
  <c r="J3778"/>
  <c r="G3778"/>
  <c r="F3778"/>
  <c r="C3778"/>
  <c r="K3777"/>
  <c r="J3777"/>
  <c r="G3777"/>
  <c r="F3777"/>
  <c r="C3777"/>
  <c r="K3776"/>
  <c r="J3776"/>
  <c r="G3776"/>
  <c r="F3776"/>
  <c r="C3776"/>
  <c r="K3775"/>
  <c r="J3775"/>
  <c r="G3775"/>
  <c r="F3775"/>
  <c r="C3775"/>
  <c r="K3774"/>
  <c r="J3774"/>
  <c r="G3774"/>
  <c r="F3774"/>
  <c r="C3774"/>
  <c r="K3773"/>
  <c r="J3773"/>
  <c r="G3773"/>
  <c r="F3773"/>
  <c r="C3773"/>
  <c r="K3772"/>
  <c r="J3772"/>
  <c r="G3772"/>
  <c r="F3772"/>
  <c r="C3772"/>
  <c r="K3771"/>
  <c r="J3771"/>
  <c r="G3771"/>
  <c r="F3771"/>
  <c r="C3771"/>
  <c r="K3770"/>
  <c r="J3770"/>
  <c r="G3770"/>
  <c r="F3770"/>
  <c r="C3770"/>
  <c r="K3769"/>
  <c r="J3769"/>
  <c r="G3769"/>
  <c r="F3769"/>
  <c r="C3769"/>
  <c r="K3768"/>
  <c r="J3768"/>
  <c r="G3768"/>
  <c r="F3768"/>
  <c r="C3768"/>
  <c r="K3767"/>
  <c r="J3767"/>
  <c r="G3767"/>
  <c r="F3767"/>
  <c r="C3767"/>
  <c r="K3766"/>
  <c r="J3766"/>
  <c r="G3766"/>
  <c r="F3766"/>
  <c r="C3766"/>
  <c r="K3765"/>
  <c r="J3765"/>
  <c r="G3765"/>
  <c r="F3765"/>
  <c r="C3765"/>
  <c r="K3764"/>
  <c r="J3764"/>
  <c r="G3764"/>
  <c r="F3764"/>
  <c r="C3764"/>
  <c r="K3763"/>
  <c r="J3763"/>
  <c r="G3763"/>
  <c r="F3763"/>
  <c r="C3763"/>
  <c r="K3762"/>
  <c r="J3762"/>
  <c r="G3762"/>
  <c r="F3762"/>
  <c r="C3762"/>
  <c r="K3761"/>
  <c r="J3761"/>
  <c r="G3761"/>
  <c r="F3761"/>
  <c r="C3761"/>
  <c r="K3760"/>
  <c r="J3760"/>
  <c r="G3760"/>
  <c r="F3760"/>
  <c r="C3760"/>
  <c r="K3759"/>
  <c r="J3759"/>
  <c r="G3759"/>
  <c r="F3759"/>
  <c r="C3759"/>
  <c r="K3758"/>
  <c r="J3758"/>
  <c r="G3758"/>
  <c r="F3758"/>
  <c r="C3758"/>
  <c r="K3757"/>
  <c r="J3757"/>
  <c r="G3757"/>
  <c r="F3757"/>
  <c r="C3757"/>
  <c r="K3756"/>
  <c r="J3756"/>
  <c r="G3756"/>
  <c r="F3756"/>
  <c r="C3756"/>
  <c r="K3755"/>
  <c r="J3755"/>
  <c r="G3755"/>
  <c r="F3755"/>
  <c r="C3755"/>
  <c r="K3754"/>
  <c r="J3754"/>
  <c r="G3754"/>
  <c r="F3754"/>
  <c r="C3754"/>
  <c r="K3753"/>
  <c r="J3753"/>
  <c r="G3753"/>
  <c r="F3753"/>
  <c r="C3753"/>
  <c r="K3752"/>
  <c r="J3752"/>
  <c r="G3752"/>
  <c r="F3752"/>
  <c r="C3752"/>
  <c r="K3751"/>
  <c r="J3751"/>
  <c r="G3751"/>
  <c r="F3751"/>
  <c r="C3751"/>
  <c r="K3750"/>
  <c r="J3750"/>
  <c r="G3750"/>
  <c r="F3750"/>
  <c r="C3750"/>
  <c r="K3749"/>
  <c r="J3749"/>
  <c r="G3749"/>
  <c r="F3749"/>
  <c r="C3749"/>
  <c r="K3748"/>
  <c r="J3748"/>
  <c r="G3748"/>
  <c r="F3748"/>
  <c r="C3748"/>
  <c r="K3747"/>
  <c r="J3747"/>
  <c r="G3747"/>
  <c r="F3747"/>
  <c r="C3747"/>
  <c r="K3746"/>
  <c r="J3746"/>
  <c r="G3746"/>
  <c r="F3746"/>
  <c r="C3746"/>
  <c r="K3745"/>
  <c r="J3745"/>
  <c r="G3745"/>
  <c r="F3745"/>
  <c r="C3745"/>
  <c r="K3744"/>
  <c r="J3744"/>
  <c r="G3744"/>
  <c r="F3744"/>
  <c r="C3744"/>
  <c r="K3743"/>
  <c r="J3743"/>
  <c r="G3743"/>
  <c r="F3743"/>
  <c r="C3743"/>
  <c r="K3742"/>
  <c r="J3742"/>
  <c r="G3742"/>
  <c r="F3742"/>
  <c r="C3742"/>
  <c r="K3741"/>
  <c r="J3741"/>
  <c r="G3741"/>
  <c r="F3741"/>
  <c r="C3741"/>
  <c r="K3740"/>
  <c r="J3740"/>
  <c r="G3740"/>
  <c r="F3740"/>
  <c r="C3740"/>
  <c r="K3739"/>
  <c r="J3739"/>
  <c r="G3739"/>
  <c r="F3739"/>
  <c r="C3739"/>
  <c r="K3738"/>
  <c r="J3738"/>
  <c r="G3738"/>
  <c r="F3738"/>
  <c r="C3738"/>
  <c r="K3737"/>
  <c r="J3737"/>
  <c r="G3737"/>
  <c r="F3737"/>
  <c r="C3737"/>
  <c r="K3736"/>
  <c r="J3736"/>
  <c r="G3736"/>
  <c r="F3736"/>
  <c r="C3736"/>
  <c r="K3735"/>
  <c r="J3735"/>
  <c r="G3735"/>
  <c r="F3735"/>
  <c r="C3735"/>
  <c r="K3734"/>
  <c r="J3734"/>
  <c r="G3734"/>
  <c r="F3734"/>
  <c r="C3734"/>
  <c r="K3733"/>
  <c r="J3733"/>
  <c r="G3733"/>
  <c r="F3733"/>
  <c r="C3733"/>
  <c r="K3732"/>
  <c r="J3732"/>
  <c r="G3732"/>
  <c r="F3732"/>
  <c r="C3732"/>
  <c r="K3731"/>
  <c r="J3731"/>
  <c r="G3731"/>
  <c r="F3731"/>
  <c r="C3731"/>
  <c r="K3730"/>
  <c r="J3730"/>
  <c r="G3730"/>
  <c r="F3730"/>
  <c r="C3730"/>
  <c r="K3729"/>
  <c r="J3729"/>
  <c r="G3729"/>
  <c r="F3729"/>
  <c r="C3729"/>
  <c r="K3728"/>
  <c r="J3728"/>
  <c r="G3728"/>
  <c r="F3728"/>
  <c r="C3728"/>
  <c r="K3727"/>
  <c r="J3727"/>
  <c r="G3727"/>
  <c r="F3727"/>
  <c r="C3727"/>
  <c r="K3726"/>
  <c r="J3726"/>
  <c r="G3726"/>
  <c r="F3726"/>
  <c r="C3726"/>
  <c r="K3725"/>
  <c r="J3725"/>
  <c r="G3725"/>
  <c r="F3725"/>
  <c r="C3725"/>
  <c r="K3724"/>
  <c r="J3724"/>
  <c r="G3724"/>
  <c r="F3724"/>
  <c r="C3724"/>
  <c r="K3723"/>
  <c r="J3723"/>
  <c r="G3723"/>
  <c r="F3723"/>
  <c r="C3723"/>
  <c r="K3722"/>
  <c r="J3722"/>
  <c r="G3722"/>
  <c r="F3722"/>
  <c r="C3722"/>
  <c r="K3721"/>
  <c r="J3721"/>
  <c r="G3721"/>
  <c r="F3721"/>
  <c r="C3721"/>
  <c r="K3720"/>
  <c r="J3720"/>
  <c r="G3720"/>
  <c r="F3720"/>
  <c r="C3720"/>
  <c r="K3719"/>
  <c r="J3719"/>
  <c r="G3719"/>
  <c r="F3719"/>
  <c r="C3719"/>
  <c r="K3718"/>
  <c r="J3718"/>
  <c r="G3718"/>
  <c r="F3718"/>
  <c r="C3718"/>
  <c r="K3717"/>
  <c r="J3717"/>
  <c r="G3717"/>
  <c r="F3717"/>
  <c r="C3717"/>
  <c r="K3716"/>
  <c r="J3716"/>
  <c r="G3716"/>
  <c r="F3716"/>
  <c r="C3716"/>
  <c r="K3715"/>
  <c r="J3715"/>
  <c r="G3715"/>
  <c r="F3715"/>
  <c r="C3715"/>
  <c r="K3714"/>
  <c r="J3714"/>
  <c r="G3714"/>
  <c r="F3714"/>
  <c r="C3714"/>
  <c r="K3713"/>
  <c r="J3713"/>
  <c r="G3713"/>
  <c r="F3713"/>
  <c r="C3713"/>
  <c r="K3712"/>
  <c r="J3712"/>
  <c r="G3712"/>
  <c r="F3712"/>
  <c r="C3712"/>
  <c r="K3711"/>
  <c r="J3711"/>
  <c r="G3711"/>
  <c r="F3711"/>
  <c r="C3711"/>
  <c r="K3710"/>
  <c r="J3710"/>
  <c r="G3710"/>
  <c r="F3710"/>
  <c r="C3710"/>
  <c r="K3709"/>
  <c r="J3709"/>
  <c r="G3709"/>
  <c r="F3709"/>
  <c r="C3709"/>
  <c r="K3708"/>
  <c r="J3708"/>
  <c r="G3708"/>
  <c r="F3708"/>
  <c r="C3708"/>
  <c r="K3707"/>
  <c r="J3707"/>
  <c r="G3707"/>
  <c r="F3707"/>
  <c r="C3707"/>
  <c r="K3706"/>
  <c r="J3706"/>
  <c r="G3706"/>
  <c r="F3706"/>
  <c r="C3706"/>
  <c r="K3705"/>
  <c r="J3705"/>
  <c r="G3705"/>
  <c r="F3705"/>
  <c r="C3705"/>
  <c r="K3704"/>
  <c r="J3704"/>
  <c r="G3704"/>
  <c r="F3704"/>
  <c r="C3704"/>
  <c r="K3703"/>
  <c r="J3703"/>
  <c r="G3703"/>
  <c r="F3703"/>
  <c r="C3703"/>
  <c r="K3702"/>
  <c r="J3702"/>
  <c r="G3702"/>
  <c r="F3702"/>
  <c r="C3702"/>
  <c r="K3701"/>
  <c r="J3701"/>
  <c r="G3701"/>
  <c r="F3701"/>
  <c r="C3701"/>
  <c r="K3700"/>
  <c r="J3700"/>
  <c r="G3700"/>
  <c r="F3700"/>
  <c r="C3700"/>
  <c r="K3699"/>
  <c r="J3699"/>
  <c r="G3699"/>
  <c r="F3699"/>
  <c r="C3699"/>
  <c r="K3698"/>
  <c r="J3698"/>
  <c r="G3698"/>
  <c r="F3698"/>
  <c r="C3698"/>
  <c r="K3697"/>
  <c r="J3697"/>
  <c r="G3697"/>
  <c r="F3697"/>
  <c r="C3697"/>
  <c r="K3696"/>
  <c r="J3696"/>
  <c r="G3696"/>
  <c r="F3696"/>
  <c r="C3696"/>
  <c r="K3695"/>
  <c r="J3695"/>
  <c r="G3695"/>
  <c r="F3695"/>
  <c r="C3695"/>
  <c r="K3694"/>
  <c r="J3694"/>
  <c r="G3694"/>
  <c r="F3694"/>
  <c r="C3694"/>
  <c r="K3693"/>
  <c r="J3693"/>
  <c r="G3693"/>
  <c r="F3693"/>
  <c r="C3693"/>
  <c r="K3692"/>
  <c r="J3692"/>
  <c r="G3692"/>
  <c r="F3692"/>
  <c r="C3692"/>
  <c r="K3691"/>
  <c r="J3691"/>
  <c r="G3691"/>
  <c r="F3691"/>
  <c r="C3691"/>
  <c r="K3690"/>
  <c r="J3690"/>
  <c r="G3690"/>
  <c r="F3690"/>
  <c r="C3690"/>
  <c r="K3689"/>
  <c r="J3689"/>
  <c r="G3689"/>
  <c r="F3689"/>
  <c r="C3689"/>
  <c r="K3688"/>
  <c r="J3688"/>
  <c r="G3688"/>
  <c r="F3688"/>
  <c r="C3688"/>
  <c r="K3687"/>
  <c r="J3687"/>
  <c r="G3687"/>
  <c r="F3687"/>
  <c r="C3687"/>
  <c r="K3686"/>
  <c r="J3686"/>
  <c r="G3686"/>
  <c r="F3686"/>
  <c r="C3686"/>
  <c r="K3685"/>
  <c r="J3685"/>
  <c r="G3685"/>
  <c r="F3685"/>
  <c r="C3685"/>
  <c r="K3684"/>
  <c r="J3684"/>
  <c r="G3684"/>
  <c r="F3684"/>
  <c r="C3684"/>
  <c r="K3683"/>
  <c r="J3683"/>
  <c r="G3683"/>
  <c r="F3683"/>
  <c r="C3683"/>
  <c r="K3682"/>
  <c r="J3682"/>
  <c r="G3682"/>
  <c r="F3682"/>
  <c r="C3682"/>
  <c r="K3681"/>
  <c r="J3681"/>
  <c r="G3681"/>
  <c r="F3681"/>
  <c r="C3681"/>
  <c r="K3680"/>
  <c r="J3680"/>
  <c r="G3680"/>
  <c r="F3680"/>
  <c r="C3680"/>
  <c r="K3679"/>
  <c r="J3679"/>
  <c r="G3679"/>
  <c r="F3679"/>
  <c r="C3679"/>
  <c r="K3678"/>
  <c r="J3678"/>
  <c r="G3678"/>
  <c r="F3678"/>
  <c r="C3678"/>
  <c r="K3677"/>
  <c r="J3677"/>
  <c r="G3677"/>
  <c r="F3677"/>
  <c r="C3677"/>
  <c r="K3676"/>
  <c r="G3676"/>
  <c r="F3676"/>
  <c r="C3676"/>
  <c r="K3675"/>
  <c r="J3675"/>
  <c r="G3675"/>
  <c r="F3675"/>
  <c r="C3675"/>
  <c r="K3674"/>
  <c r="J3674"/>
  <c r="G3674"/>
  <c r="F3674"/>
  <c r="C3674"/>
  <c r="K3673"/>
  <c r="J3673"/>
  <c r="G3673"/>
  <c r="F3673"/>
  <c r="C3673"/>
  <c r="K3672"/>
  <c r="J3672"/>
  <c r="G3672"/>
  <c r="F3672"/>
  <c r="C3672"/>
  <c r="K3671"/>
  <c r="J3671"/>
  <c r="G3671"/>
  <c r="F3671"/>
  <c r="C3671"/>
  <c r="K3670"/>
  <c r="J3670"/>
  <c r="G3670"/>
  <c r="F3670"/>
  <c r="C3670"/>
  <c r="K3669"/>
  <c r="J3669"/>
  <c r="G3669"/>
  <c r="F3669"/>
  <c r="C3669"/>
  <c r="K3668"/>
  <c r="J3668"/>
  <c r="G3668"/>
  <c r="F3668"/>
  <c r="C3668"/>
  <c r="K3667"/>
  <c r="J3667"/>
  <c r="G3667"/>
  <c r="F3667"/>
  <c r="C3667"/>
  <c r="K3666"/>
  <c r="J3666"/>
  <c r="G3666"/>
  <c r="F3666"/>
  <c r="C3666"/>
  <c r="K3665"/>
  <c r="J3665"/>
  <c r="G3665"/>
  <c r="F3665"/>
  <c r="C3665"/>
  <c r="K3664"/>
  <c r="J3664"/>
  <c r="G3664"/>
  <c r="F3664"/>
  <c r="C3664"/>
  <c r="K3663"/>
  <c r="J3663"/>
  <c r="G3663"/>
  <c r="F3663"/>
  <c r="C3663"/>
  <c r="K3662"/>
  <c r="J3662"/>
  <c r="G3662"/>
  <c r="F3662"/>
  <c r="C3662"/>
  <c r="K3661"/>
  <c r="J3661"/>
  <c r="G3661"/>
  <c r="F3661"/>
  <c r="C3661"/>
  <c r="K3660"/>
  <c r="J3660"/>
  <c r="G3660"/>
  <c r="F3660"/>
  <c r="C3660"/>
  <c r="K3659"/>
  <c r="J3659"/>
  <c r="G3659"/>
  <c r="F3659"/>
  <c r="C3659"/>
  <c r="K3658"/>
  <c r="J3658"/>
  <c r="G3658"/>
  <c r="F3658"/>
  <c r="C3658"/>
  <c r="K3657"/>
  <c r="J3657"/>
  <c r="G3657"/>
  <c r="F3657"/>
  <c r="C3657"/>
  <c r="K3656"/>
  <c r="J3656"/>
  <c r="G3656"/>
  <c r="F3656"/>
  <c r="C3656"/>
  <c r="K3655"/>
  <c r="J3655"/>
  <c r="G3655"/>
  <c r="F3655"/>
  <c r="C3655"/>
  <c r="K3654"/>
  <c r="J3654"/>
  <c r="G3654"/>
  <c r="F3654"/>
  <c r="C3654"/>
  <c r="K3653"/>
  <c r="J3653"/>
  <c r="G3653"/>
  <c r="F3653"/>
  <c r="C3653"/>
  <c r="K3652"/>
  <c r="J3652"/>
  <c r="G3652"/>
  <c r="F3652"/>
  <c r="C3652"/>
  <c r="K3651"/>
  <c r="J3651"/>
  <c r="G3651"/>
  <c r="F3651"/>
  <c r="C3651"/>
  <c r="K3650"/>
  <c r="J3650"/>
  <c r="G3650"/>
  <c r="F3650"/>
  <c r="C3650"/>
  <c r="K3649"/>
  <c r="J3649"/>
  <c r="G3649"/>
  <c r="F3649"/>
  <c r="C3649"/>
  <c r="K3648"/>
  <c r="J3648"/>
  <c r="G3648"/>
  <c r="F3648"/>
  <c r="C3648"/>
  <c r="K3647"/>
  <c r="J3647"/>
  <c r="G3647"/>
  <c r="F3647"/>
  <c r="C3647"/>
  <c r="K3646"/>
  <c r="J3646"/>
  <c r="G3646"/>
  <c r="F3646"/>
  <c r="C3646"/>
  <c r="K3645"/>
  <c r="J3645"/>
  <c r="G3645"/>
  <c r="F3645"/>
  <c r="C3645"/>
  <c r="K3644"/>
  <c r="J3644"/>
  <c r="G3644"/>
  <c r="F3644"/>
  <c r="C3644"/>
  <c r="K3643"/>
  <c r="J3643"/>
  <c r="G3643"/>
  <c r="F3643"/>
  <c r="C3643"/>
  <c r="K3642"/>
  <c r="J3642"/>
  <c r="G3642"/>
  <c r="F3642"/>
  <c r="C3642"/>
  <c r="K3641"/>
  <c r="J3641"/>
  <c r="G3641"/>
  <c r="F3641"/>
  <c r="C3641"/>
  <c r="K3640"/>
  <c r="J3640"/>
  <c r="G3640"/>
  <c r="F3640"/>
  <c r="C3640"/>
  <c r="K3639"/>
  <c r="J3639"/>
  <c r="G3639"/>
  <c r="F3639"/>
  <c r="C3639"/>
  <c r="K3638"/>
  <c r="J3638"/>
  <c r="G3638"/>
  <c r="F3638"/>
  <c r="C3638"/>
  <c r="K3637"/>
  <c r="J3637"/>
  <c r="G3637"/>
  <c r="F3637"/>
  <c r="C3637"/>
  <c r="K3636"/>
  <c r="J3636"/>
  <c r="G3636"/>
  <c r="F3636"/>
  <c r="C3636"/>
  <c r="K3635"/>
  <c r="J3635"/>
  <c r="G3635"/>
  <c r="F3635"/>
  <c r="C3635"/>
  <c r="K3634"/>
  <c r="J3634"/>
  <c r="G3634"/>
  <c r="F3634"/>
  <c r="C3634"/>
  <c r="K3633"/>
  <c r="J3633"/>
  <c r="G3633"/>
  <c r="F3633"/>
  <c r="C3633"/>
  <c r="K3632"/>
  <c r="J3632"/>
  <c r="G3632"/>
  <c r="F3632"/>
  <c r="C3632"/>
  <c r="K3631"/>
  <c r="J3631"/>
  <c r="G3631"/>
  <c r="F3631"/>
  <c r="C3631"/>
  <c r="K3630"/>
  <c r="J3630"/>
  <c r="G3630"/>
  <c r="F3630"/>
  <c r="C3630"/>
  <c r="K3629"/>
  <c r="J3629"/>
  <c r="G3629"/>
  <c r="F3629"/>
  <c r="C3629"/>
  <c r="K3628"/>
  <c r="J3628"/>
  <c r="G3628"/>
  <c r="F3628"/>
  <c r="C3628"/>
  <c r="K3627"/>
  <c r="J3627"/>
  <c r="G3627"/>
  <c r="F3627"/>
  <c r="C3627"/>
  <c r="K3626"/>
  <c r="J3626"/>
  <c r="G3626"/>
  <c r="F3626"/>
  <c r="C3626"/>
  <c r="K3625"/>
  <c r="J3625"/>
  <c r="G3625"/>
  <c r="F3625"/>
  <c r="C3625"/>
  <c r="K3624"/>
  <c r="J3624"/>
  <c r="G3624"/>
  <c r="F3624"/>
  <c r="C3624"/>
  <c r="K3623"/>
  <c r="J3623"/>
  <c r="G3623"/>
  <c r="F3623"/>
  <c r="C3623"/>
  <c r="K3622"/>
  <c r="J3622"/>
  <c r="G3622"/>
  <c r="F3622"/>
  <c r="C3622"/>
  <c r="K3621"/>
  <c r="J3621"/>
  <c r="G3621"/>
  <c r="F3621"/>
  <c r="C3621"/>
  <c r="K3620"/>
  <c r="J3620"/>
  <c r="G3620"/>
  <c r="F3620"/>
  <c r="C3620"/>
  <c r="K3619"/>
  <c r="J3619"/>
  <c r="G3619"/>
  <c r="F3619"/>
  <c r="C3619"/>
  <c r="K3618"/>
  <c r="J3618"/>
  <c r="G3618"/>
  <c r="F3618"/>
  <c r="C3618"/>
  <c r="K3617"/>
  <c r="J3617"/>
  <c r="G3617"/>
  <c r="F3617"/>
  <c r="C3617"/>
  <c r="K3616"/>
  <c r="J3616"/>
  <c r="G3616"/>
  <c r="F3616"/>
  <c r="C3616"/>
  <c r="K3615"/>
  <c r="J3615"/>
  <c r="G3615"/>
  <c r="F3615"/>
  <c r="C3615"/>
  <c r="K3614"/>
  <c r="J3614"/>
  <c r="G3614"/>
  <c r="F3614"/>
  <c r="C3614"/>
  <c r="K3613"/>
  <c r="J3613"/>
  <c r="G3613"/>
  <c r="F3613"/>
  <c r="C3613"/>
  <c r="K3612"/>
  <c r="J3612"/>
  <c r="G3612"/>
  <c r="F3612"/>
  <c r="C3612"/>
  <c r="K3611"/>
  <c r="J3611"/>
  <c r="G3611"/>
  <c r="F3611"/>
  <c r="C3611"/>
  <c r="K3610"/>
  <c r="J3610"/>
  <c r="G3610"/>
  <c r="F3610"/>
  <c r="C3610"/>
  <c r="K3609"/>
  <c r="J3609"/>
  <c r="G3609"/>
  <c r="F3609"/>
  <c r="C3609"/>
  <c r="K3608"/>
  <c r="J3608"/>
  <c r="G3608"/>
  <c r="F3608"/>
  <c r="C3608"/>
  <c r="K3607"/>
  <c r="J3607"/>
  <c r="G3607"/>
  <c r="F3607"/>
  <c r="C3607"/>
  <c r="K3606"/>
  <c r="J3606"/>
  <c r="G3606"/>
  <c r="F3606"/>
  <c r="C3606"/>
  <c r="K3605"/>
  <c r="J3605"/>
  <c r="G3605"/>
  <c r="F3605"/>
  <c r="C3605"/>
  <c r="K3604"/>
  <c r="J3604"/>
  <c r="G3604"/>
  <c r="F3604"/>
  <c r="C3604"/>
  <c r="K3603"/>
  <c r="J3603"/>
  <c r="G3603"/>
  <c r="F3603"/>
  <c r="C3603"/>
  <c r="K3602"/>
  <c r="J3602"/>
  <c r="G3602"/>
  <c r="F3602"/>
  <c r="C3602"/>
  <c r="K3601"/>
  <c r="J3601"/>
  <c r="G3601"/>
  <c r="F3601"/>
  <c r="C3601"/>
  <c r="K3600"/>
  <c r="J3600"/>
  <c r="G3600"/>
  <c r="F3600"/>
  <c r="C3600"/>
  <c r="K3599"/>
  <c r="J3599"/>
  <c r="G3599"/>
  <c r="F3599"/>
  <c r="C3599"/>
  <c r="K3598"/>
  <c r="J3598"/>
  <c r="G3598"/>
  <c r="F3598"/>
  <c r="C3598"/>
  <c r="K3597"/>
  <c r="J3597"/>
  <c r="G3597"/>
  <c r="F3597"/>
  <c r="C3597"/>
  <c r="K3596"/>
  <c r="J3596"/>
  <c r="G3596"/>
  <c r="F3596"/>
  <c r="C3596"/>
  <c r="K3595"/>
  <c r="J3595"/>
  <c r="G3595"/>
  <c r="F3595"/>
  <c r="C3595"/>
  <c r="K3594"/>
  <c r="J3594"/>
  <c r="G3594"/>
  <c r="F3594"/>
  <c r="C3594"/>
  <c r="K3593"/>
  <c r="G3593"/>
  <c r="F3593"/>
  <c r="C3593"/>
  <c r="K3592"/>
  <c r="J3592"/>
  <c r="G3592"/>
  <c r="F3592"/>
  <c r="C3592"/>
  <c r="K3591"/>
  <c r="J3591"/>
  <c r="G3591"/>
  <c r="F3591"/>
  <c r="C3591"/>
  <c r="K3590"/>
  <c r="J3590"/>
  <c r="G3590"/>
  <c r="F3590"/>
  <c r="C3590"/>
  <c r="K3589"/>
  <c r="J3589"/>
  <c r="G3589"/>
  <c r="F3589"/>
  <c r="C3589"/>
  <c r="K3588"/>
  <c r="J3588"/>
  <c r="G3588"/>
  <c r="F3588"/>
  <c r="C3588"/>
  <c r="K3587"/>
  <c r="G3587"/>
  <c r="F3587"/>
  <c r="C3587"/>
  <c r="K3586"/>
  <c r="J3586"/>
  <c r="G3586"/>
  <c r="F3586"/>
  <c r="C3586"/>
  <c r="K3585"/>
  <c r="J3585"/>
  <c r="G3585"/>
  <c r="F3585"/>
  <c r="C3585"/>
  <c r="K3584"/>
  <c r="J3584"/>
  <c r="G3584"/>
  <c r="F3584"/>
  <c r="C3584"/>
  <c r="K3583"/>
  <c r="J3583"/>
  <c r="G3583"/>
  <c r="F3583"/>
  <c r="C3583"/>
  <c r="K3582"/>
  <c r="J3582"/>
  <c r="G3582"/>
  <c r="F3582"/>
  <c r="C3582"/>
  <c r="K3581"/>
  <c r="J3581"/>
  <c r="G3581"/>
  <c r="F3581"/>
  <c r="C3581"/>
  <c r="K3580"/>
  <c r="J3580"/>
  <c r="G3580"/>
  <c r="F3580"/>
  <c r="C3580"/>
  <c r="K3579"/>
  <c r="J3579"/>
  <c r="G3579"/>
  <c r="F3579"/>
  <c r="C3579"/>
  <c r="K3578"/>
  <c r="J3578"/>
  <c r="G3578"/>
  <c r="F3578"/>
  <c r="C3578"/>
  <c r="K3577"/>
  <c r="J3577"/>
  <c r="G3577"/>
  <c r="F3577"/>
  <c r="C3577"/>
  <c r="K3576"/>
  <c r="J3576"/>
  <c r="G3576"/>
  <c r="F3576"/>
  <c r="C3576"/>
  <c r="K3575"/>
  <c r="J3575"/>
  <c r="G3575"/>
  <c r="F3575"/>
  <c r="C3575"/>
  <c r="K3574"/>
  <c r="J3574"/>
  <c r="G3574"/>
  <c r="F3574"/>
  <c r="C3574"/>
  <c r="K3573"/>
  <c r="J3573"/>
  <c r="G3573"/>
  <c r="F3573"/>
  <c r="C3573"/>
  <c r="K3572"/>
  <c r="J3572"/>
  <c r="G3572"/>
  <c r="F3572"/>
  <c r="C3572"/>
  <c r="K3571"/>
  <c r="J3571"/>
  <c r="G3571"/>
  <c r="F3571"/>
  <c r="C3571"/>
  <c r="K3570"/>
  <c r="J3570"/>
  <c r="G3570"/>
  <c r="F3570"/>
  <c r="C3570"/>
  <c r="K3569"/>
  <c r="J3569"/>
  <c r="G3569"/>
  <c r="F3569"/>
  <c r="C3569"/>
  <c r="K3568"/>
  <c r="J3568"/>
  <c r="G3568"/>
  <c r="F3568"/>
  <c r="C3568"/>
  <c r="K3567"/>
  <c r="J3567"/>
  <c r="G3567"/>
  <c r="F3567"/>
  <c r="C3567"/>
  <c r="K3566"/>
  <c r="J3566"/>
  <c r="G3566"/>
  <c r="F3566"/>
  <c r="C3566"/>
  <c r="K3565"/>
  <c r="J3565"/>
  <c r="G3565"/>
  <c r="F3565"/>
  <c r="C3565"/>
  <c r="K3564"/>
  <c r="J3564"/>
  <c r="G3564"/>
  <c r="F3564"/>
  <c r="C3564"/>
  <c r="K3563"/>
  <c r="J3563"/>
  <c r="G3563"/>
  <c r="F3563"/>
  <c r="C3563"/>
  <c r="K3562"/>
  <c r="J3562"/>
  <c r="G3562"/>
  <c r="F3562"/>
  <c r="C3562"/>
  <c r="K3561"/>
  <c r="J3561"/>
  <c r="G3561"/>
  <c r="F3561"/>
  <c r="C3561"/>
  <c r="K3560"/>
  <c r="J3560"/>
  <c r="G3560"/>
  <c r="F3560"/>
  <c r="C3560"/>
  <c r="K3559"/>
  <c r="J3559"/>
  <c r="G3559"/>
  <c r="F3559"/>
  <c r="C3559"/>
  <c r="K3558"/>
  <c r="J3558"/>
  <c r="G3558"/>
  <c r="F3558"/>
  <c r="C3558"/>
  <c r="K3557"/>
  <c r="J3557"/>
  <c r="G3557"/>
  <c r="F3557"/>
  <c r="C3557"/>
  <c r="K3556"/>
  <c r="J3556"/>
  <c r="G3556"/>
  <c r="F3556"/>
  <c r="C3556"/>
  <c r="K3555"/>
  <c r="J3555"/>
  <c r="G3555"/>
  <c r="F3555"/>
  <c r="C3555"/>
  <c r="K3554"/>
  <c r="J3554"/>
  <c r="G3554"/>
  <c r="F3554"/>
  <c r="C3554"/>
  <c r="K3553"/>
  <c r="J3553"/>
  <c r="G3553"/>
  <c r="F3553"/>
  <c r="C3553"/>
  <c r="K3552"/>
  <c r="J3552"/>
  <c r="G3552"/>
  <c r="F3552"/>
  <c r="C3552"/>
  <c r="K3551"/>
  <c r="J3551"/>
  <c r="G3551"/>
  <c r="F3551"/>
  <c r="C3551"/>
  <c r="K3550"/>
  <c r="J3550"/>
  <c r="G3550"/>
  <c r="F3550"/>
  <c r="C3550"/>
  <c r="K3549"/>
  <c r="J3549"/>
  <c r="G3549"/>
  <c r="F3549"/>
  <c r="C3549"/>
  <c r="K3548"/>
  <c r="J3548"/>
  <c r="G3548"/>
  <c r="F3548"/>
  <c r="C3548"/>
  <c r="K3547"/>
  <c r="J3547"/>
  <c r="G3547"/>
  <c r="F3547"/>
  <c r="C3547"/>
  <c r="K3546"/>
  <c r="J3546"/>
  <c r="G3546"/>
  <c r="F3546"/>
  <c r="C3546"/>
  <c r="K3545"/>
  <c r="J3545"/>
  <c r="G3545"/>
  <c r="F3545"/>
  <c r="C3545"/>
  <c r="K3544"/>
  <c r="J3544"/>
  <c r="G3544"/>
  <c r="F3544"/>
  <c r="C3544"/>
  <c r="K3543"/>
  <c r="J3543"/>
  <c r="G3543"/>
  <c r="F3543"/>
  <c r="C3543"/>
  <c r="K3542"/>
  <c r="J3542"/>
  <c r="G3542"/>
  <c r="F3542"/>
  <c r="C3542"/>
  <c r="K3541"/>
  <c r="J3541"/>
  <c r="G3541"/>
  <c r="F3541"/>
  <c r="C3541"/>
  <c r="K3540"/>
  <c r="J3540"/>
  <c r="G3540"/>
  <c r="F3540"/>
  <c r="C3540"/>
  <c r="K3539"/>
  <c r="J3539"/>
  <c r="G3539"/>
  <c r="F3539"/>
  <c r="C3539"/>
  <c r="K3538"/>
  <c r="J3538"/>
  <c r="G3538"/>
  <c r="F3538"/>
  <c r="C3538"/>
  <c r="K3537"/>
  <c r="J3537"/>
  <c r="G3537"/>
  <c r="F3537"/>
  <c r="C3537"/>
  <c r="K3536"/>
  <c r="G3536"/>
  <c r="F3536"/>
  <c r="C3536"/>
  <c r="K3535"/>
  <c r="J3535"/>
  <c r="G3535"/>
  <c r="F3535"/>
  <c r="C3535"/>
  <c r="K3534"/>
  <c r="J3534"/>
  <c r="G3534"/>
  <c r="F3534"/>
  <c r="C3534"/>
  <c r="K3533"/>
  <c r="J3533"/>
  <c r="G3533"/>
  <c r="F3533"/>
  <c r="C3533"/>
  <c r="K3532"/>
  <c r="J3532"/>
  <c r="G3532"/>
  <c r="F3532"/>
  <c r="C3532"/>
  <c r="K3531"/>
  <c r="J3531"/>
  <c r="G3531"/>
  <c r="F3531"/>
  <c r="C3531"/>
  <c r="K3530"/>
  <c r="J3530"/>
  <c r="G3530"/>
  <c r="F3530"/>
  <c r="C3530"/>
  <c r="K3529"/>
  <c r="J3529"/>
  <c r="G3529"/>
  <c r="F3529"/>
  <c r="C3529"/>
  <c r="K3528"/>
  <c r="J3528"/>
  <c r="G3528"/>
  <c r="F3528"/>
  <c r="C3528"/>
  <c r="K3527"/>
  <c r="J3527"/>
  <c r="G3527"/>
  <c r="F3527"/>
  <c r="C3527"/>
  <c r="K3526"/>
  <c r="J3526"/>
  <c r="G3526"/>
  <c r="F3526"/>
  <c r="C3526"/>
  <c r="K3525"/>
  <c r="J3525"/>
  <c r="G3525"/>
  <c r="F3525"/>
  <c r="C3525"/>
  <c r="K3524"/>
  <c r="J3524"/>
  <c r="G3524"/>
  <c r="F3524"/>
  <c r="C3524"/>
  <c r="K3523"/>
  <c r="J3523"/>
  <c r="G3523"/>
  <c r="F3523"/>
  <c r="C3523"/>
  <c r="K3522"/>
  <c r="J3522"/>
  <c r="G3522"/>
  <c r="F3522"/>
  <c r="C3522"/>
  <c r="K3521"/>
  <c r="J3521"/>
  <c r="G3521"/>
  <c r="F3521"/>
  <c r="C3521"/>
  <c r="K3520"/>
  <c r="J3520"/>
  <c r="G3520"/>
  <c r="F3520"/>
  <c r="C3520"/>
  <c r="K3519"/>
  <c r="J3519"/>
  <c r="G3519"/>
  <c r="F3519"/>
  <c r="C3519"/>
  <c r="K3518"/>
  <c r="J3518"/>
  <c r="G3518"/>
  <c r="F3518"/>
  <c r="C3518"/>
  <c r="K3517"/>
  <c r="J3517"/>
  <c r="G3517"/>
  <c r="F3517"/>
  <c r="C3517"/>
  <c r="K3516"/>
  <c r="J3516"/>
  <c r="G3516"/>
  <c r="F3516"/>
  <c r="C3516"/>
  <c r="K3515"/>
  <c r="J3515"/>
  <c r="G3515"/>
  <c r="F3515"/>
  <c r="C3515"/>
  <c r="K3514"/>
  <c r="J3514"/>
  <c r="G3514"/>
  <c r="F3514"/>
  <c r="C3514"/>
  <c r="K3513"/>
  <c r="J3513"/>
  <c r="G3513"/>
  <c r="F3513"/>
  <c r="C3513"/>
  <c r="K3512"/>
  <c r="J3512"/>
  <c r="G3512"/>
  <c r="F3512"/>
  <c r="C3512"/>
  <c r="K3511"/>
  <c r="J3511"/>
  <c r="G3511"/>
  <c r="F3511"/>
  <c r="C3511"/>
  <c r="K3510"/>
  <c r="J3510"/>
  <c r="G3510"/>
  <c r="F3510"/>
  <c r="C3510"/>
  <c r="K3509"/>
  <c r="J3509"/>
  <c r="G3509"/>
  <c r="F3509"/>
  <c r="C3509"/>
  <c r="K3508"/>
  <c r="J3508"/>
  <c r="G3508"/>
  <c r="F3508"/>
  <c r="C3508"/>
  <c r="K3507"/>
  <c r="J3507"/>
  <c r="G3507"/>
  <c r="F3507"/>
  <c r="C3507"/>
  <c r="K3506"/>
  <c r="J3506"/>
  <c r="G3506"/>
  <c r="F3506"/>
  <c r="C3506"/>
  <c r="K3505"/>
  <c r="J3505"/>
  <c r="G3505"/>
  <c r="F3505"/>
  <c r="C3505"/>
  <c r="K3504"/>
  <c r="J3504"/>
  <c r="G3504"/>
  <c r="F3504"/>
  <c r="C3504"/>
  <c r="K3503"/>
  <c r="J3503"/>
  <c r="G3503"/>
  <c r="F3503"/>
  <c r="C3503"/>
  <c r="K3502"/>
  <c r="J3502"/>
  <c r="G3502"/>
  <c r="F3502"/>
  <c r="C3502"/>
  <c r="K3501"/>
  <c r="J3501"/>
  <c r="G3501"/>
  <c r="F3501"/>
  <c r="C3501"/>
  <c r="K3500"/>
  <c r="J3500"/>
  <c r="G3500"/>
  <c r="F3500"/>
  <c r="C3500"/>
  <c r="K3499"/>
  <c r="J3499"/>
  <c r="G3499"/>
  <c r="F3499"/>
  <c r="C3499"/>
  <c r="K3498"/>
  <c r="J3498"/>
  <c r="G3498"/>
  <c r="F3498"/>
  <c r="C3498"/>
  <c r="K3497"/>
  <c r="J3497"/>
  <c r="G3497"/>
  <c r="F3497"/>
  <c r="C3497"/>
  <c r="K3496"/>
  <c r="J3496"/>
  <c r="G3496"/>
  <c r="F3496"/>
  <c r="C3496"/>
  <c r="K3495"/>
  <c r="J3495"/>
  <c r="G3495"/>
  <c r="F3495"/>
  <c r="C3495"/>
  <c r="K3494"/>
  <c r="J3494"/>
  <c r="G3494"/>
  <c r="F3494"/>
  <c r="C3494"/>
  <c r="K3493"/>
  <c r="J3493"/>
  <c r="G3493"/>
  <c r="F3493"/>
  <c r="C3493"/>
  <c r="K3492"/>
  <c r="J3492"/>
  <c r="G3492"/>
  <c r="F3492"/>
  <c r="C3492"/>
  <c r="K3491"/>
  <c r="J3491"/>
  <c r="G3491"/>
  <c r="F3491"/>
  <c r="C3491"/>
  <c r="K3490"/>
  <c r="J3490"/>
  <c r="G3490"/>
  <c r="F3490"/>
  <c r="C3490"/>
  <c r="K3489"/>
  <c r="J3489"/>
  <c r="G3489"/>
  <c r="F3489"/>
  <c r="C3489"/>
  <c r="K3488"/>
  <c r="J3488"/>
  <c r="G3488"/>
  <c r="F3488"/>
  <c r="C3488"/>
  <c r="K3487"/>
  <c r="J3487"/>
  <c r="G3487"/>
  <c r="F3487"/>
  <c r="C3487"/>
  <c r="K3486"/>
  <c r="J3486"/>
  <c r="G3486"/>
  <c r="F3486"/>
  <c r="C3486"/>
  <c r="K3485"/>
  <c r="J3485"/>
  <c r="G3485"/>
  <c r="F3485"/>
  <c r="C3485"/>
  <c r="K3484"/>
  <c r="J3484"/>
  <c r="G3484"/>
  <c r="F3484"/>
  <c r="C3484"/>
  <c r="K3483"/>
  <c r="J3483"/>
  <c r="G3483"/>
  <c r="F3483"/>
  <c r="C3483"/>
  <c r="K3482"/>
  <c r="J3482"/>
  <c r="G3482"/>
  <c r="F3482"/>
  <c r="C3482"/>
  <c r="K3481"/>
  <c r="J3481"/>
  <c r="G3481"/>
  <c r="F3481"/>
  <c r="C3481"/>
  <c r="K3480"/>
  <c r="J3480"/>
  <c r="G3480"/>
  <c r="F3480"/>
  <c r="C3480"/>
  <c r="K3479"/>
  <c r="J3479"/>
  <c r="G3479"/>
  <c r="F3479"/>
  <c r="C3479"/>
  <c r="K3478"/>
  <c r="J3478"/>
  <c r="G3478"/>
  <c r="F3478"/>
  <c r="C3478"/>
  <c r="K3477"/>
  <c r="J3477"/>
  <c r="G3477"/>
  <c r="F3477"/>
  <c r="C3477"/>
  <c r="K3476"/>
  <c r="J3476"/>
  <c r="G3476"/>
  <c r="F3476"/>
  <c r="C3476"/>
  <c r="K3475"/>
  <c r="J3475"/>
  <c r="G3475"/>
  <c r="F3475"/>
  <c r="C3475"/>
  <c r="K3474"/>
  <c r="G3474"/>
  <c r="F3474"/>
  <c r="C3474"/>
  <c r="K3473"/>
  <c r="J3473"/>
  <c r="G3473"/>
  <c r="F3473"/>
  <c r="C3473"/>
  <c r="K3472"/>
  <c r="J3472"/>
  <c r="G3472"/>
  <c r="F3472"/>
  <c r="C3472"/>
  <c r="K3471"/>
  <c r="J3471"/>
  <c r="G3471"/>
  <c r="F3471"/>
  <c r="C3471"/>
  <c r="K3470"/>
  <c r="J3470"/>
  <c r="G3470"/>
  <c r="F3470"/>
  <c r="C3470"/>
  <c r="K3469"/>
  <c r="J3469"/>
  <c r="G3469"/>
  <c r="F3469"/>
  <c r="C3469"/>
  <c r="K3468"/>
  <c r="J3468"/>
  <c r="G3468"/>
  <c r="F3468"/>
  <c r="C3468"/>
  <c r="K3467"/>
  <c r="J3467"/>
  <c r="G3467"/>
  <c r="F3467"/>
  <c r="C3467"/>
  <c r="K3466"/>
  <c r="J3466"/>
  <c r="G3466"/>
  <c r="F3466"/>
  <c r="C3466"/>
  <c r="K3465"/>
  <c r="J3465"/>
  <c r="G3465"/>
  <c r="F3465"/>
  <c r="C3465"/>
  <c r="K3464"/>
  <c r="J3464"/>
  <c r="G3464"/>
  <c r="F3464"/>
  <c r="C3464"/>
  <c r="K3463"/>
  <c r="J3463"/>
  <c r="G3463"/>
  <c r="F3463"/>
  <c r="C3463"/>
  <c r="K3462"/>
  <c r="J3462"/>
  <c r="G3462"/>
  <c r="F3462"/>
  <c r="C3462"/>
  <c r="K3461"/>
  <c r="J3461"/>
  <c r="G3461"/>
  <c r="F3461"/>
  <c r="C3461"/>
  <c r="K3460"/>
  <c r="J3460"/>
  <c r="G3460"/>
  <c r="F3460"/>
  <c r="C3460"/>
  <c r="K3459"/>
  <c r="J3459"/>
  <c r="G3459"/>
  <c r="F3459"/>
  <c r="C3459"/>
  <c r="K3458"/>
  <c r="J3458"/>
  <c r="G3458"/>
  <c r="F3458"/>
  <c r="C3458"/>
  <c r="K3457"/>
  <c r="J3457"/>
  <c r="G3457"/>
  <c r="F3457"/>
  <c r="C3457"/>
  <c r="K3456"/>
  <c r="J3456"/>
  <c r="G3456"/>
  <c r="F3456"/>
  <c r="C3456"/>
  <c r="K3455"/>
  <c r="J3455"/>
  <c r="G3455"/>
  <c r="F3455"/>
  <c r="C3455"/>
  <c r="K3454"/>
  <c r="J3454"/>
  <c r="G3454"/>
  <c r="F3454"/>
  <c r="C3454"/>
  <c r="K3453"/>
  <c r="G3453"/>
  <c r="F3453"/>
  <c r="C3453"/>
  <c r="K3452"/>
  <c r="J3452"/>
  <c r="G3452"/>
  <c r="F3452"/>
  <c r="C3452"/>
  <c r="K3451"/>
  <c r="J3451"/>
  <c r="G3451"/>
  <c r="F3451"/>
  <c r="C3451"/>
  <c r="K3450"/>
  <c r="J3450"/>
  <c r="G3450"/>
  <c r="F3450"/>
  <c r="C3450"/>
  <c r="K3449"/>
  <c r="J3449"/>
  <c r="G3449"/>
  <c r="F3449"/>
  <c r="C3449"/>
  <c r="K3448"/>
  <c r="J3448"/>
  <c r="G3448"/>
  <c r="F3448"/>
  <c r="C3448"/>
  <c r="K3447"/>
  <c r="G3447"/>
  <c r="F3447"/>
  <c r="C3447"/>
  <c r="K3446"/>
  <c r="J3446"/>
  <c r="G3446"/>
  <c r="F3446"/>
  <c r="C3446"/>
  <c r="K3445"/>
  <c r="J3445"/>
  <c r="G3445"/>
  <c r="F3445"/>
  <c r="C3445"/>
  <c r="K3444"/>
  <c r="J3444"/>
  <c r="G3444"/>
  <c r="F3444"/>
  <c r="C3444"/>
  <c r="K3443"/>
  <c r="J3443"/>
  <c r="G3443"/>
  <c r="F3443"/>
  <c r="C3443"/>
  <c r="K3442"/>
  <c r="J3442"/>
  <c r="G3442"/>
  <c r="F3442"/>
  <c r="C3442"/>
  <c r="K3441"/>
  <c r="J3441"/>
  <c r="G3441"/>
  <c r="F3441"/>
  <c r="C3441"/>
  <c r="K3440"/>
  <c r="J3440"/>
  <c r="G3440"/>
  <c r="F3440"/>
  <c r="C3440"/>
  <c r="K3439"/>
  <c r="J3439"/>
  <c r="G3439"/>
  <c r="F3439"/>
  <c r="C3439"/>
  <c r="K3438"/>
  <c r="J3438"/>
  <c r="G3438"/>
  <c r="F3438"/>
  <c r="C3438"/>
  <c r="K3437"/>
  <c r="J3437"/>
  <c r="G3437"/>
  <c r="F3437"/>
  <c r="C3437"/>
  <c r="K3436"/>
  <c r="J3436"/>
  <c r="G3436"/>
  <c r="F3436"/>
  <c r="C3436"/>
  <c r="K3435"/>
  <c r="J3435"/>
  <c r="G3435"/>
  <c r="F3435"/>
  <c r="C3435"/>
  <c r="K3434"/>
  <c r="J3434"/>
  <c r="G3434"/>
  <c r="F3434"/>
  <c r="C3434"/>
  <c r="K3433"/>
  <c r="J3433"/>
  <c r="G3433"/>
  <c r="F3433"/>
  <c r="C3433"/>
  <c r="K3432"/>
  <c r="J3432"/>
  <c r="G3432"/>
  <c r="F3432"/>
  <c r="C3432"/>
  <c r="K3431"/>
  <c r="J3431"/>
  <c r="G3431"/>
  <c r="F3431"/>
  <c r="C3431"/>
  <c r="K3430"/>
  <c r="J3430"/>
  <c r="G3430"/>
  <c r="F3430"/>
  <c r="C3430"/>
  <c r="K3429"/>
  <c r="J3429"/>
  <c r="G3429"/>
  <c r="F3429"/>
  <c r="C3429"/>
  <c r="K3428"/>
  <c r="J3428"/>
  <c r="G3428"/>
  <c r="F3428"/>
  <c r="C3428"/>
  <c r="K3427"/>
  <c r="J3427"/>
  <c r="G3427"/>
  <c r="F3427"/>
  <c r="C3427"/>
  <c r="K3426"/>
  <c r="J3426"/>
  <c r="G3426"/>
  <c r="F3426"/>
  <c r="C3426"/>
  <c r="K3425"/>
  <c r="J3425"/>
  <c r="G3425"/>
  <c r="F3425"/>
  <c r="C3425"/>
  <c r="K3424"/>
  <c r="J3424"/>
  <c r="G3424"/>
  <c r="F3424"/>
  <c r="C3424"/>
  <c r="K3423"/>
  <c r="J3423"/>
  <c r="G3423"/>
  <c r="F3423"/>
  <c r="C3423"/>
  <c r="K3422"/>
  <c r="J3422"/>
  <c r="G3422"/>
  <c r="F3422"/>
  <c r="C3422"/>
  <c r="K3421"/>
  <c r="J3421"/>
  <c r="G3421"/>
  <c r="F3421"/>
  <c r="C3421"/>
  <c r="K3420"/>
  <c r="J3420"/>
  <c r="G3420"/>
  <c r="F3420"/>
  <c r="C3420"/>
  <c r="K3419"/>
  <c r="J3419"/>
  <c r="G3419"/>
  <c r="F3419"/>
  <c r="C3419"/>
  <c r="K3418"/>
  <c r="J3418"/>
  <c r="G3418"/>
  <c r="F3418"/>
  <c r="C3418"/>
  <c r="K3417"/>
  <c r="J3417"/>
  <c r="G3417"/>
  <c r="F3417"/>
  <c r="C3417"/>
  <c r="K3416"/>
  <c r="J3416"/>
  <c r="G3416"/>
  <c r="F3416"/>
  <c r="C3416"/>
  <c r="K3415"/>
  <c r="J3415"/>
  <c r="G3415"/>
  <c r="F3415"/>
  <c r="C3415"/>
  <c r="K3414"/>
  <c r="J3414"/>
  <c r="G3414"/>
  <c r="F3414"/>
  <c r="C3414"/>
  <c r="K3413"/>
  <c r="J3413"/>
  <c r="G3413"/>
  <c r="F3413"/>
  <c r="C3413"/>
  <c r="K3412"/>
  <c r="J3412"/>
  <c r="G3412"/>
  <c r="F3412"/>
  <c r="C3412"/>
  <c r="K3411"/>
  <c r="J3411"/>
  <c r="G3411"/>
  <c r="F3411"/>
  <c r="C3411"/>
  <c r="K3410"/>
  <c r="J3410"/>
  <c r="G3410"/>
  <c r="F3410"/>
  <c r="C3410"/>
  <c r="K3409"/>
  <c r="J3409"/>
  <c r="G3409"/>
  <c r="F3409"/>
  <c r="C3409"/>
  <c r="K3408"/>
  <c r="J3408"/>
  <c r="G3408"/>
  <c r="F3408"/>
  <c r="C3408"/>
  <c r="K3407"/>
  <c r="J3407"/>
  <c r="G3407"/>
  <c r="F3407"/>
  <c r="C3407"/>
  <c r="K3406"/>
  <c r="J3406"/>
  <c r="G3406"/>
  <c r="F3406"/>
  <c r="C3406"/>
  <c r="K3405"/>
  <c r="J3405"/>
  <c r="G3405"/>
  <c r="F3405"/>
  <c r="C3405"/>
  <c r="K3404"/>
  <c r="J3404"/>
  <c r="G3404"/>
  <c r="F3404"/>
  <c r="C3404"/>
  <c r="K3403"/>
  <c r="J3403"/>
  <c r="G3403"/>
  <c r="F3403"/>
  <c r="C3403"/>
  <c r="K3402"/>
  <c r="J3402"/>
  <c r="G3402"/>
  <c r="F3402"/>
  <c r="C3402"/>
  <c r="K3401"/>
  <c r="J3401"/>
  <c r="G3401"/>
  <c r="F3401"/>
  <c r="C3401"/>
  <c r="K3400"/>
  <c r="J3400"/>
  <c r="G3400"/>
  <c r="F3400"/>
  <c r="C3400"/>
  <c r="K3399"/>
  <c r="J3399"/>
  <c r="G3399"/>
  <c r="F3399"/>
  <c r="C3399"/>
  <c r="K3398"/>
  <c r="J3398"/>
  <c r="G3398"/>
  <c r="F3398"/>
  <c r="C3398"/>
  <c r="K3397"/>
  <c r="J3397"/>
  <c r="G3397"/>
  <c r="F3397"/>
  <c r="C3397"/>
  <c r="K3396"/>
  <c r="J3396"/>
  <c r="G3396"/>
  <c r="F3396"/>
  <c r="C3396"/>
  <c r="K3395"/>
  <c r="J3395"/>
  <c r="G3395"/>
  <c r="F3395"/>
  <c r="C3395"/>
  <c r="K3394"/>
  <c r="J3394"/>
  <c r="G3394"/>
  <c r="F3394"/>
  <c r="C3394"/>
  <c r="K3393"/>
  <c r="J3393"/>
  <c r="G3393"/>
  <c r="F3393"/>
  <c r="C3393"/>
  <c r="K3392"/>
  <c r="J3392"/>
  <c r="G3392"/>
  <c r="F3392"/>
  <c r="C3392"/>
  <c r="K3391"/>
  <c r="J3391"/>
  <c r="G3391"/>
  <c r="F3391"/>
  <c r="C3391"/>
  <c r="K3390"/>
  <c r="J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J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J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J3369"/>
  <c r="G3369"/>
  <c r="F3369"/>
  <c r="C3369"/>
  <c r="K3368"/>
  <c r="J3368"/>
  <c r="G3368"/>
  <c r="F3368"/>
  <c r="C3368"/>
  <c r="K3367"/>
  <c r="J3367"/>
  <c r="G3367"/>
  <c r="F3367"/>
  <c r="C3367"/>
  <c r="K3366"/>
  <c r="J3366"/>
  <c r="G3366"/>
  <c r="F3366"/>
  <c r="C3366"/>
  <c r="K3365"/>
  <c r="J3365"/>
  <c r="G3365"/>
  <c r="F3365"/>
  <c r="C3365"/>
  <c r="K3364"/>
  <c r="J3364"/>
  <c r="G3364"/>
  <c r="F3364"/>
  <c r="C3364"/>
  <c r="K3363"/>
  <c r="J3363"/>
  <c r="G3363"/>
  <c r="F3363"/>
  <c r="C3363"/>
  <c r="K3362"/>
  <c r="J3362"/>
  <c r="G3362"/>
  <c r="F3362"/>
  <c r="C3362"/>
  <c r="K3361"/>
  <c r="J3361"/>
  <c r="G3361"/>
  <c r="F3361"/>
  <c r="C3361"/>
  <c r="K3360"/>
  <c r="J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J3356"/>
  <c r="G3356"/>
  <c r="F3356"/>
  <c r="C3356"/>
  <c r="K3355"/>
  <c r="J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J3347"/>
  <c r="G3347"/>
  <c r="F3347"/>
  <c r="C3347"/>
  <c r="K3346"/>
  <c r="J3346"/>
  <c r="G3346"/>
  <c r="F3346"/>
  <c r="C3346"/>
  <c r="K3345"/>
  <c r="J3345"/>
  <c r="G3345"/>
  <c r="F3345"/>
  <c r="C3345"/>
  <c r="K3344"/>
  <c r="J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J3329"/>
  <c r="G3329"/>
  <c r="F3329"/>
  <c r="C3329"/>
  <c r="K3328"/>
  <c r="J3328"/>
  <c r="G3328"/>
  <c r="F3328"/>
  <c r="C3328"/>
  <c r="K3327"/>
  <c r="J3327"/>
  <c r="G3327"/>
  <c r="F3327"/>
  <c r="C3327"/>
  <c r="K3326"/>
  <c r="J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J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J3308"/>
  <c r="G3308"/>
  <c r="F3308"/>
  <c r="C3308"/>
  <c r="K3307"/>
  <c r="J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J3299"/>
  <c r="G3299"/>
  <c r="F3299"/>
  <c r="C3299"/>
  <c r="K3298"/>
  <c r="J3298"/>
  <c r="G3298"/>
  <c r="F3298"/>
  <c r="C3298"/>
  <c r="K3297"/>
  <c r="J3297"/>
  <c r="G3297"/>
  <c r="F3297"/>
  <c r="C3297"/>
  <c r="K3296"/>
  <c r="J3296"/>
  <c r="G3296"/>
  <c r="F3296"/>
  <c r="C3296"/>
  <c r="K3295"/>
  <c r="J3295"/>
  <c r="G3295"/>
  <c r="F3295"/>
  <c r="C3295"/>
  <c r="K3294"/>
  <c r="J3294"/>
  <c r="G3294"/>
  <c r="F3294"/>
  <c r="C3294"/>
  <c r="K3293"/>
  <c r="J3293"/>
  <c r="G3293"/>
  <c r="F3293"/>
  <c r="C3293"/>
  <c r="K3292"/>
  <c r="J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J3288"/>
  <c r="G3288"/>
  <c r="F3288"/>
  <c r="C3288"/>
  <c r="K3287"/>
  <c r="J3287"/>
  <c r="G3287"/>
  <c r="F3287"/>
  <c r="C3287"/>
  <c r="K3286"/>
  <c r="J3286"/>
  <c r="G3286"/>
  <c r="F3286"/>
  <c r="C3286"/>
  <c r="K3285"/>
  <c r="J3285"/>
  <c r="G3285"/>
  <c r="F3285"/>
  <c r="C3285"/>
  <c r="K3284"/>
  <c r="J3284"/>
  <c r="G3284"/>
  <c r="F3284"/>
  <c r="C3284"/>
  <c r="K3283"/>
  <c r="J3283"/>
  <c r="G3283"/>
  <c r="F3283"/>
  <c r="C3283"/>
  <c r="K3282"/>
  <c r="J3282"/>
  <c r="G3282"/>
  <c r="F3282"/>
  <c r="C3282"/>
  <c r="K328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J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J3242"/>
  <c r="G3242"/>
  <c r="F3242"/>
  <c r="C3242"/>
  <c r="K3241"/>
  <c r="J3241"/>
  <c r="G3241"/>
  <c r="F3241"/>
  <c r="C3241"/>
  <c r="K3240"/>
  <c r="J3240"/>
  <c r="G3240"/>
  <c r="F3240"/>
  <c r="C3240"/>
  <c r="K3239"/>
  <c r="J3239"/>
  <c r="G3239"/>
  <c r="F3239"/>
  <c r="C3239"/>
  <c r="K3238"/>
  <c r="J3238"/>
  <c r="G3238"/>
  <c r="F3238"/>
  <c r="C3238"/>
  <c r="K3237"/>
  <c r="J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J3217"/>
  <c r="G3217"/>
  <c r="F3217"/>
  <c r="C3217"/>
  <c r="K3216"/>
  <c r="J3216"/>
  <c r="G3216"/>
  <c r="F3216"/>
  <c r="C3216"/>
  <c r="K3215"/>
  <c r="J3215"/>
  <c r="G3215"/>
  <c r="F3215"/>
  <c r="C3215"/>
  <c r="K3214"/>
  <c r="J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J3210"/>
  <c r="G3210"/>
  <c r="F3210"/>
  <c r="C3210"/>
  <c r="K3209"/>
  <c r="J3209"/>
  <c r="G3209"/>
  <c r="F3209"/>
  <c r="C3209"/>
  <c r="K3208"/>
  <c r="J3208"/>
  <c r="G3208"/>
  <c r="F3208"/>
  <c r="C3208"/>
  <c r="K3207"/>
  <c r="J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J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J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J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J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J3017"/>
  <c r="G3017"/>
  <c r="F3017"/>
  <c r="C3017"/>
  <c r="K3016"/>
  <c r="J3016"/>
  <c r="G3016"/>
  <c r="F3016"/>
  <c r="C3016"/>
  <c r="K3015"/>
  <c r="J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J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J2907"/>
  <c r="G2907"/>
  <c r="F2907"/>
  <c r="C2907"/>
  <c r="K2906"/>
  <c r="J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G2498"/>
  <c r="F2498"/>
  <c r="C2498"/>
  <c r="K2497"/>
  <c r="J2497"/>
  <c r="G2497"/>
  <c r="F2497"/>
  <c r="C2497"/>
  <c r="K2496"/>
  <c r="J2496"/>
  <c r="G2496"/>
  <c r="F2496"/>
  <c r="C2496"/>
  <c r="K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G1794"/>
  <c r="F1794"/>
  <c r="C1794"/>
  <c r="K1793"/>
  <c r="J1793"/>
  <c r="G1793"/>
  <c r="F1793"/>
  <c r="C1793"/>
  <c r="K1792"/>
  <c r="G1792"/>
  <c r="F1792"/>
  <c r="C1792"/>
  <c r="K1791"/>
  <c r="G1791"/>
  <c r="F1791"/>
  <c r="C1791"/>
  <c r="K1790"/>
  <c r="J1790"/>
  <c r="G1790"/>
  <c r="F1790"/>
  <c r="C1790"/>
  <c r="K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G1390"/>
  <c r="F1390"/>
  <c r="C1390"/>
  <c r="K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G891"/>
  <c r="F891"/>
  <c r="C891"/>
  <c r="K890"/>
  <c r="G890"/>
  <c r="F890"/>
  <c r="C890"/>
  <c r="K889"/>
  <c r="G889"/>
  <c r="F889"/>
  <c r="C889"/>
  <c r="K888"/>
  <c r="G888"/>
  <c r="F888"/>
  <c r="C888"/>
  <c r="K887"/>
  <c r="J887"/>
  <c r="G887"/>
  <c r="F887"/>
  <c r="C887"/>
  <c r="K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G872"/>
  <c r="F872"/>
  <c r="C872"/>
  <c r="K871"/>
  <c r="J871"/>
  <c r="G871"/>
  <c r="F871"/>
  <c r="C871"/>
  <c r="K870"/>
  <c r="G870"/>
  <c r="F870"/>
  <c r="C870"/>
  <c r="K869"/>
  <c r="G869"/>
  <c r="F869"/>
  <c r="C869"/>
  <c r="K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G818"/>
  <c r="F818"/>
  <c r="C818"/>
  <c r="K817"/>
  <c r="J817"/>
  <c r="G817"/>
  <c r="F817"/>
  <c r="C817"/>
  <c r="K816"/>
  <c r="J816"/>
  <c r="G816"/>
  <c r="F816"/>
  <c r="C816"/>
  <c r="K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G709"/>
  <c r="F709"/>
  <c r="C709"/>
  <c r="K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G547"/>
  <c r="F547"/>
  <c r="C547"/>
  <c r="K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G490"/>
  <c r="F490"/>
  <c r="C490"/>
  <c r="K489"/>
  <c r="G489"/>
  <c r="F489"/>
  <c r="C489"/>
  <c r="K488"/>
  <c r="G488"/>
  <c r="F488"/>
  <c r="C488"/>
  <c r="K487"/>
  <c r="J487"/>
  <c r="G487"/>
  <c r="F487"/>
  <c r="C487"/>
  <c r="K486"/>
  <c r="J486"/>
  <c r="G486"/>
  <c r="F486"/>
  <c r="C486"/>
  <c r="K485"/>
  <c r="G485"/>
  <c r="F485"/>
  <c r="C485"/>
  <c r="K484"/>
  <c r="J484"/>
  <c r="G484"/>
  <c r="F484"/>
  <c r="C484"/>
  <c r="K483"/>
  <c r="G483"/>
  <c r="F483"/>
  <c r="C483"/>
  <c r="K482"/>
  <c r="J482"/>
  <c r="G482"/>
  <c r="F482"/>
  <c r="C482"/>
  <c r="K481"/>
  <c r="G481"/>
  <c r="F481"/>
  <c r="C481"/>
  <c r="K480"/>
  <c r="J480"/>
  <c r="G480"/>
  <c r="F480"/>
  <c r="C480"/>
  <c r="K479"/>
  <c r="G479"/>
  <c r="F479"/>
  <c r="C479"/>
  <c r="K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G451"/>
  <c r="F451"/>
  <c r="C451"/>
  <c r="K450"/>
  <c r="G450"/>
  <c r="F450"/>
  <c r="C450"/>
  <c r="K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G325"/>
  <c r="F325"/>
  <c r="C325"/>
  <c r="K324"/>
  <c r="J324"/>
  <c r="G324"/>
  <c r="F324"/>
  <c r="C324"/>
  <c r="K323"/>
  <c r="J323"/>
  <c r="G323"/>
  <c r="F323"/>
  <c r="C323"/>
  <c r="K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G259"/>
  <c r="F259"/>
  <c r="C259"/>
  <c r="K258"/>
  <c r="J258"/>
  <c r="G258"/>
  <c r="F258"/>
  <c r="C258"/>
  <c r="K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<sst xmlns="http://schemas.openxmlformats.org/spreadsheetml/2006/main" count="17186" uniqueCount="1258">
  <si>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</si>
  <si>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</si>
  <si>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</si>
  <si>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</si>
  <si>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</si>
  <si>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</si>
  <si>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</si>
  <si>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</si>
  <si>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</si>
  <si>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</si>
  <si>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</si>
  <si>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</si>
  <si>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</si>
  <si>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</si>
  <si>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</si>
  <si>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</si>
  <si>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</si>
  <si>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</si>
  <si>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</si>
  <si>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BEARING MAN GROUP                       </t>
  </si>
  <si>
    <t>JNX</t>
  </si>
  <si>
    <t>DROSTE PARK</t>
  </si>
  <si>
    <t xml:space="preserve">MARLEY SA PTY LTD                       </t>
  </si>
  <si>
    <t>BRONKHORSTSPRUIT</t>
  </si>
  <si>
    <t xml:space="preserve">SUPREME SPRING                          </t>
  </si>
  <si>
    <t>NIGEL</t>
  </si>
  <si>
    <t xml:space="preserve">HALEWOOD INTERNATIONAL                  </t>
  </si>
  <si>
    <t>APEX INDUSTRIAL</t>
  </si>
  <si>
    <t xml:space="preserve">MARCOM PLASTICS CC                      </t>
  </si>
  <si>
    <t>ROSSLYN</t>
  </si>
  <si>
    <t xml:space="preserve">DKT &amp; PARTNERS                          </t>
  </si>
  <si>
    <t>PERSEVERANCE</t>
  </si>
  <si>
    <t xml:space="preserve">JOHNSON MATTHEY PTY LTD                 </t>
  </si>
  <si>
    <t>GERMISTON SOUTH</t>
  </si>
  <si>
    <t xml:space="preserve">JADEC STEEL PROJECT CC                  </t>
  </si>
  <si>
    <t>ANDERBOLT</t>
  </si>
  <si>
    <t xml:space="preserve">PROTECH CONSULTING                      </t>
  </si>
  <si>
    <t>SOMERSET WEST</t>
  </si>
  <si>
    <t xml:space="preserve">GRW ENGINERING                          </t>
  </si>
  <si>
    <t>WORCESTER</t>
  </si>
  <si>
    <t xml:space="preserve">SUNBAKE BENONI                          </t>
  </si>
  <si>
    <t>BENONI</t>
  </si>
  <si>
    <t xml:space="preserve">IMP AUTOMATED LABORATORY SERVICE        </t>
  </si>
  <si>
    <t>BOKSBURG</t>
  </si>
  <si>
    <t xml:space="preserve">RCL FOODS CONSUMER PTY                  </t>
  </si>
  <si>
    <t xml:space="preserve">RISHABA TRADING CC                      </t>
  </si>
  <si>
    <t>SUNDERLAND RIDGE</t>
  </si>
  <si>
    <t xml:space="preserve">JENDAMARK AUTOMATION PTY LTD            </t>
  </si>
  <si>
    <t>NORTH END</t>
  </si>
  <si>
    <t xml:space="preserve">ALBANY BAKERIES                         </t>
  </si>
  <si>
    <t>WALTLOO</t>
  </si>
  <si>
    <t xml:space="preserve">ELECTROSALES ELECTRICAL                 </t>
  </si>
  <si>
    <t xml:space="preserve">ENTYCE BEVERAGES                        </t>
  </si>
  <si>
    <t>DURBAN</t>
  </si>
  <si>
    <t xml:space="preserve">RCL FOODS SUGAR &amp; MILLING               </t>
  </si>
  <si>
    <t>PRETORIA WEST</t>
  </si>
  <si>
    <t xml:space="preserve">SUPPLYRITE CC                           </t>
  </si>
  <si>
    <t>GOSFORTH PARK</t>
  </si>
  <si>
    <t xml:space="preserve">AEL MINING SERVICES LIMITED             </t>
  </si>
  <si>
    <t>MODDERFONTEIN</t>
  </si>
  <si>
    <t xml:space="preserve">BMI COVERLAND PTY LTD                   </t>
  </si>
  <si>
    <t>BRITS</t>
  </si>
  <si>
    <t xml:space="preserve">REEF CONSTRUCTION MACHINERY             </t>
  </si>
  <si>
    <t>JET PARK</t>
  </si>
  <si>
    <t xml:space="preserve">RCL FOODCORP (PTY) LTD                  </t>
  </si>
  <si>
    <t>RANDFONTEIN</t>
  </si>
  <si>
    <t xml:space="preserve">BEVCAN                                  </t>
  </si>
  <si>
    <t>NUFFIELD</t>
  </si>
  <si>
    <t xml:space="preserve">TIGER CONSUMER BRANDS LTD               </t>
  </si>
  <si>
    <t xml:space="preserve">CIM AUTOMATION                          </t>
  </si>
  <si>
    <t>MONTAGUE GARDENS</t>
  </si>
  <si>
    <t xml:space="preserve">REGRADE MASTERS                         </t>
  </si>
  <si>
    <t>BOKSBURG NORTH</t>
  </si>
  <si>
    <t xml:space="preserve">BRIDGESTONE FIRESTONE SA PTY LTD        </t>
  </si>
  <si>
    <t xml:space="preserve">TIGER BRANDS SNACKS , TREANTS BEVERAGES </t>
  </si>
  <si>
    <t>ROODEKOP</t>
  </si>
  <si>
    <t xml:space="preserve">TOYOTA                                  </t>
  </si>
  <si>
    <t>ISIPINGO BEACH</t>
  </si>
  <si>
    <t xml:space="preserve">TRUDA SNACKS                            </t>
  </si>
  <si>
    <t>MKONDENI</t>
  </si>
  <si>
    <t xml:space="preserve">CIRCUIT BREAKER INDUSTRIES PTY LTD      </t>
  </si>
  <si>
    <t>ELANDSFONTEIN</t>
  </si>
  <si>
    <t xml:space="preserve">KIM TAYLOR ENTEPRISE                    </t>
  </si>
  <si>
    <t>MAYVILLE</t>
  </si>
  <si>
    <t xml:space="preserve">WASSERTEC OZONE SYSTEMS                 </t>
  </si>
  <si>
    <t>MUIZENBERG</t>
  </si>
  <si>
    <t xml:space="preserve">TELPLAST PTY LTD                        </t>
  </si>
  <si>
    <t>INDUSTRIA</t>
  </si>
  <si>
    <t xml:space="preserve">COMPRESSED AIR EQUIPMENT                </t>
  </si>
  <si>
    <t>MOUNT EDGECOMBE</t>
  </si>
  <si>
    <t xml:space="preserve">FILTEC AUTOMATION PTY LTD               </t>
  </si>
  <si>
    <t xml:space="preserve">FEDERAL MOGUL FRICTION PRODUCTS         </t>
  </si>
  <si>
    <t xml:space="preserve">DIYA VALVES INTERNATIONALS CC           </t>
  </si>
  <si>
    <t>PIETERMARITZBURG</t>
  </si>
  <si>
    <t xml:space="preserve">AUTO TRIM ROSSLYN AD DIV OF FETEX       </t>
  </si>
  <si>
    <t xml:space="preserve">SILVER CONTROLS SYSTEM Cc               </t>
  </si>
  <si>
    <t>MILNERTON</t>
  </si>
  <si>
    <t xml:space="preserve">ACEPAK PACKAGING SYSTEMS                </t>
  </si>
  <si>
    <t xml:space="preserve">BENTELER AUTOMOTIVE SA (PTY) LTD        </t>
  </si>
  <si>
    <t>UITENHAGE</t>
  </si>
  <si>
    <t xml:space="preserve">LADYSMITH TRADING CO.                   </t>
  </si>
  <si>
    <t>LADYSMITH</t>
  </si>
  <si>
    <t xml:space="preserve">TOYOTA SA MOTORS                        </t>
  </si>
  <si>
    <t>PROSPECTON</t>
  </si>
  <si>
    <t xml:space="preserve">PREMIER BAKERY                          </t>
  </si>
  <si>
    <t>Durban</t>
  </si>
  <si>
    <t xml:space="preserve">SIEMENS Ad                              </t>
  </si>
  <si>
    <t>BONAERO PARK</t>
  </si>
  <si>
    <t xml:space="preserve">PACIFIC FLUID COMPONENTS CC             </t>
  </si>
  <si>
    <t>QUEENSBURGH</t>
  </si>
  <si>
    <t xml:space="preserve">BBF SAFETY GROUP PTY LTD                </t>
  </si>
  <si>
    <t>PINETOWN</t>
  </si>
  <si>
    <t xml:space="preserve">SAPPI SA                                </t>
  </si>
  <si>
    <t>STANGER</t>
  </si>
  <si>
    <t xml:space="preserve">SMITHS MANUFACTURING PTY LTD            </t>
  </si>
  <si>
    <t xml:space="preserve">MAGNACORP 397 CC/TA CONCEPT             </t>
  </si>
  <si>
    <t xml:space="preserve">CSM ENGINEERING CC                      </t>
  </si>
  <si>
    <t>CENTURION</t>
  </si>
  <si>
    <t xml:space="preserve">ACADEMY BRUSHWARE                       </t>
  </si>
  <si>
    <t>BABELEGI</t>
  </si>
  <si>
    <t xml:space="preserve">HYDROMATIC                              </t>
  </si>
  <si>
    <t>PAARDENEILAND</t>
  </si>
  <si>
    <t xml:space="preserve">MAYO DAIRY PTY LTD                      </t>
  </si>
  <si>
    <t xml:space="preserve">SASOL SOLVENTS                          </t>
  </si>
  <si>
    <t>SASOLBURG</t>
  </si>
  <si>
    <t xml:space="preserve">DRYTECH INTERNATIONAL PTY LTD           </t>
  </si>
  <si>
    <t>DENVER</t>
  </si>
  <si>
    <t xml:space="preserve">MAVTECH                                 </t>
  </si>
  <si>
    <t>ROOIHUISKRAAL</t>
  </si>
  <si>
    <t xml:space="preserve">CONTINENTAL TYRE SA                     </t>
  </si>
  <si>
    <t>STRUANDALE</t>
  </si>
  <si>
    <t xml:space="preserve">PAARL COLDSET (PTY) LTD                 </t>
  </si>
  <si>
    <t xml:space="preserve">PHARMACARE LTD T/A ASPEN                </t>
  </si>
  <si>
    <t>KORSTEN</t>
  </si>
  <si>
    <t xml:space="preserve">MARTIN &amp; MARTIN (PTY) LTD               </t>
  </si>
  <si>
    <t>NDABENI</t>
  </si>
  <si>
    <t xml:space="preserve">FILMATIC PACKAGING SYSTEM (PTY) LTD     </t>
  </si>
  <si>
    <t>PAARL</t>
  </si>
  <si>
    <t xml:space="preserve">CLURE PROJECTS CC                       </t>
  </si>
  <si>
    <t>NEAVE TSP</t>
  </si>
  <si>
    <t xml:space="preserve">BMG BELLVILLE 0120                      </t>
  </si>
  <si>
    <t>STIKLAND</t>
  </si>
  <si>
    <t xml:space="preserve">AIR PRODUCTS                            </t>
  </si>
  <si>
    <t>SPARTAN</t>
  </si>
  <si>
    <t xml:space="preserve">KRONES SA PTY LTD                       </t>
  </si>
  <si>
    <t>NORTH RIDING</t>
  </si>
  <si>
    <t xml:space="preserve">QUALITECHS                              </t>
  </si>
  <si>
    <t>STEELEDALE</t>
  </si>
  <si>
    <t xml:space="preserve">LEDA ENGINEERING SERVICES CC            </t>
  </si>
  <si>
    <t>KILLARNEY GARDENS</t>
  </si>
  <si>
    <t xml:space="preserve">H.G MOLENAAR (PTY) LTD                  </t>
  </si>
  <si>
    <t xml:space="preserve">RAPID INDUSTRIAL SUPPLIES PTY LTD       </t>
  </si>
  <si>
    <t xml:space="preserve">DIRECTECH                               </t>
  </si>
  <si>
    <t>KYA SAND</t>
  </si>
  <si>
    <t xml:space="preserve">DISTELL                                 </t>
  </si>
  <si>
    <t xml:space="preserve">SENIOR FLEXONICS (SA) (PTY) LTD         </t>
  </si>
  <si>
    <t>THORNTON</t>
  </si>
  <si>
    <t xml:space="preserve">DIVFOOD A DIV OF NAMPAK PRODUCTS LTD    </t>
  </si>
  <si>
    <t>VANDERBIJLPARK</t>
  </si>
  <si>
    <t xml:space="preserve">VAN NIEKERK PACKAGING SUPPORT           </t>
  </si>
  <si>
    <t xml:space="preserve">EBERSPACHER SOUTH AFRICA (PTY) LTD      </t>
  </si>
  <si>
    <t>DEAL PARTY</t>
  </si>
  <si>
    <t xml:space="preserve">LIQUI BOX                               </t>
  </si>
  <si>
    <t>AIRPORT INDUSTRIA</t>
  </si>
  <si>
    <t xml:space="preserve">EXTRUFORM PTY LTD                       </t>
  </si>
  <si>
    <t>BLACKHEATH</t>
  </si>
  <si>
    <t xml:space="preserve">ALDOR AFRICA                            </t>
  </si>
  <si>
    <t>STORMMILL</t>
  </si>
  <si>
    <t xml:space="preserve">PAIL PAC                                </t>
  </si>
  <si>
    <t xml:space="preserve">CAXTON WORKS                            </t>
  </si>
  <si>
    <t xml:space="preserve">SCHULLPAK (PTY)LTD                      </t>
  </si>
  <si>
    <t>OLIVEDALE</t>
  </si>
  <si>
    <t xml:space="preserve">G N MOTOR REWINDING                     </t>
  </si>
  <si>
    <t>PATENSIE</t>
  </si>
  <si>
    <t xml:space="preserve">LN AUTOMATION                           </t>
  </si>
  <si>
    <t>WALMER</t>
  </si>
  <si>
    <t xml:space="preserve">CHANLOU TRADING CC                      </t>
  </si>
  <si>
    <t>SELCOURT</t>
  </si>
  <si>
    <t xml:space="preserve">THE SOUTH AFRICAN BREWERIES LTD         </t>
  </si>
  <si>
    <t xml:space="preserve">DUPLEIX LIQUID METERS PTY LTD           </t>
  </si>
  <si>
    <t xml:space="preserve">EGLI PRECISION ENGINEERING PTY LTD      </t>
  </si>
  <si>
    <t xml:space="preserve">S4 INTERGRATION (PTY)LTD                </t>
  </si>
  <si>
    <t>PORT ELIZABETH</t>
  </si>
  <si>
    <t xml:space="preserve">BOWLER PLASTICS (PTY) LTD               </t>
  </si>
  <si>
    <t>OTTERY</t>
  </si>
  <si>
    <t xml:space="preserve">CLIFFORD WELDING SYSTEMS PTY LTD        </t>
  </si>
  <si>
    <t xml:space="preserve">EXCEL TOOLING                           </t>
  </si>
  <si>
    <t xml:space="preserve">NEVEN MATTHEWS                          </t>
  </si>
  <si>
    <t>WITBANK</t>
  </si>
  <si>
    <t>TIGER CONSUMER BRANDS LTD T/A TIGER MILL</t>
  </si>
  <si>
    <t xml:space="preserve">POLYOAK PACKAGING (PTY) LTD             </t>
  </si>
  <si>
    <t xml:space="preserve">TMD FRICTION SA PTY LTD                 </t>
  </si>
  <si>
    <t>MERRIVALE</t>
  </si>
  <si>
    <t xml:space="preserve">NATIONAL BRAND                          </t>
  </si>
  <si>
    <t xml:space="preserve">COCA - COLA FORTUNE (PTY) LTD           </t>
  </si>
  <si>
    <t xml:space="preserve">VICTORY ELECTRICAL CC                   </t>
  </si>
  <si>
    <t xml:space="preserve">ISOWAL SA PTY LTD                       </t>
  </si>
  <si>
    <t>SILVERTON</t>
  </si>
  <si>
    <t xml:space="preserve">B M S C ENGINEERING CC                  </t>
  </si>
  <si>
    <t>DURBANVILLE</t>
  </si>
  <si>
    <t xml:space="preserve">CBI ELECTRIC AFRICAN CABLES             </t>
  </si>
  <si>
    <t>PEACEHAVEN</t>
  </si>
  <si>
    <t xml:space="preserve">SKYE PLASTICS (PTY) LTD                 </t>
  </si>
  <si>
    <t xml:space="preserve">PROCESS DYNAMICS PTY LTD                </t>
  </si>
  <si>
    <t>RHODESFIELD</t>
  </si>
  <si>
    <t xml:space="preserve">OFFSET PRESS SUPPLIES (PTY) LTD         </t>
  </si>
  <si>
    <t xml:space="preserve">STAINLESS ACCESSORIES E.C               </t>
  </si>
  <si>
    <t xml:space="preserve">P.J.ENGINEERING                         </t>
  </si>
  <si>
    <t>SOMERSET EAST</t>
  </si>
  <si>
    <t xml:space="preserve">NR EXTREME ENGINEERING AND PIPING       </t>
  </si>
  <si>
    <t>CONGELLA</t>
  </si>
  <si>
    <t xml:space="preserve">KZN PNUEMATICS (PTY) LTD                </t>
  </si>
  <si>
    <t xml:space="preserve">BMG EAST LONDON                         </t>
  </si>
  <si>
    <t>EAST LONDON</t>
  </si>
  <si>
    <t xml:space="preserve">ROBOTIC HANDLING SYSTEM Cc              </t>
  </si>
  <si>
    <t>BELLVILLE</t>
  </si>
  <si>
    <t xml:space="preserve">SASOL INFRACHEM                         </t>
  </si>
  <si>
    <t>WENTWORTH</t>
  </si>
  <si>
    <t xml:space="preserve">CAVALETTO 98                            </t>
  </si>
  <si>
    <t>UMBILO</t>
  </si>
  <si>
    <t xml:space="preserve">WICTRA HOLDINGS PTY                     </t>
  </si>
  <si>
    <t>DUNSWART</t>
  </si>
  <si>
    <t xml:space="preserve">FORMEX ENGINEERING                      </t>
  </si>
  <si>
    <t xml:space="preserve">PREMIER FMCG                            </t>
  </si>
  <si>
    <t>HERMANSTAD</t>
  </si>
  <si>
    <t>CSM BEARING AND PNEUMATIC SUPPLIES PTY L</t>
  </si>
  <si>
    <t>PRETORIA</t>
  </si>
  <si>
    <t xml:space="preserve">MARLEY SA (PTY)L.T.D                    </t>
  </si>
  <si>
    <t>OLIFANTSFONTEIN</t>
  </si>
  <si>
    <t xml:space="preserve">PNEUMATIC AID                           </t>
  </si>
  <si>
    <t xml:space="preserve">BRAVO GROUP LOUGE                       </t>
  </si>
  <si>
    <t>PAROW</t>
  </si>
  <si>
    <t xml:space="preserve">BEARING &amp; ACCESSORIES CC                </t>
  </si>
  <si>
    <t>JACOBS</t>
  </si>
  <si>
    <t xml:space="preserve">AMS BEARING CC                          </t>
  </si>
  <si>
    <t xml:space="preserve">AUTO INDUSTRIAL MACHINING               </t>
  </si>
  <si>
    <t xml:space="preserve">MPACT PLASTICS COMPRESSION MOULDING     </t>
  </si>
  <si>
    <t>WADEVILLE</t>
  </si>
  <si>
    <t xml:space="preserve">NATIONAL BRANDS BIS / SNK DIV           </t>
  </si>
  <si>
    <t>ISANDO</t>
  </si>
  <si>
    <t xml:space="preserve">GRANROTH                                </t>
  </si>
  <si>
    <t xml:space="preserve">SCOTT BADER                             </t>
  </si>
  <si>
    <t>HAMMARSDALE</t>
  </si>
  <si>
    <t xml:space="preserve">BUILD IT BETLHEHEM                      </t>
  </si>
  <si>
    <t>BETHLEHEM</t>
  </si>
  <si>
    <t xml:space="preserve">ILLOVO SUGAR                            </t>
  </si>
  <si>
    <t xml:space="preserve">GUD HOLDINGS (PTY)LTD                   </t>
  </si>
  <si>
    <t xml:space="preserve">PILOT FURNITURE MANUFACTURERS           </t>
  </si>
  <si>
    <t xml:space="preserve">ADP MARINE &amp; MODULOR (PTY)LTD           </t>
  </si>
  <si>
    <t xml:space="preserve">LION MATCH PRODUCTS                     </t>
  </si>
  <si>
    <t xml:space="preserve">SEALED AIR AFRICA (PTY) LTD             </t>
  </si>
  <si>
    <t xml:space="preserve">ROBOTIC INNOVATIONS PTY                 </t>
  </si>
  <si>
    <t>IRENE</t>
  </si>
  <si>
    <t xml:space="preserve">PROMAX                                  </t>
  </si>
  <si>
    <t xml:space="preserve">CTP WEB PRINTERS JOHANNESBURG           </t>
  </si>
  <si>
    <t xml:space="preserve">CFW INDUSTRIES (PTY) LTD                </t>
  </si>
  <si>
    <t>PAROW INDUSTRIA</t>
  </si>
  <si>
    <t xml:space="preserve">RHEINMETALL LAINGSDALE (PTY) LTD        </t>
  </si>
  <si>
    <t>MAITLAND</t>
  </si>
  <si>
    <t xml:space="preserve">ATLANTIS FOUNDRY                        </t>
  </si>
  <si>
    <t>ATLANTIS</t>
  </si>
  <si>
    <t xml:space="preserve">CA MULLER FABRICATION CC                </t>
  </si>
  <si>
    <t>WELLINGTON</t>
  </si>
  <si>
    <t xml:space="preserve">MECHATRONICS                            </t>
  </si>
  <si>
    <t xml:space="preserve">TSITSIKAMMA CRYSTAL WATER               </t>
  </si>
  <si>
    <t>TSITSIKAMMA</t>
  </si>
  <si>
    <t xml:space="preserve">QUALITY PRODUCTS (PTY) LTD              </t>
  </si>
  <si>
    <t xml:space="preserve">TONGAAT HULETTS GROUP LIMITED           </t>
  </si>
  <si>
    <t>RED HILL</t>
  </si>
  <si>
    <t xml:space="preserve">HARVARD PROJECTS                        </t>
  </si>
  <si>
    <t>MARAISBURG</t>
  </si>
  <si>
    <t xml:space="preserve">CITRASHINE                              </t>
  </si>
  <si>
    <t>BOOYSENS RESERVE</t>
  </si>
  <si>
    <t xml:space="preserve">UNIVERSAL STORAGE SYSTEMS (PTY)LTD      </t>
  </si>
  <si>
    <t>STRYDOMPARK</t>
  </si>
  <si>
    <t xml:space="preserve">TOPLINE TOOLING (PTY) LTD               </t>
  </si>
  <si>
    <t>NEW GERMANY</t>
  </si>
  <si>
    <t xml:space="preserve">PARMALAT SA                             </t>
  </si>
  <si>
    <t>KYALAMI</t>
  </si>
  <si>
    <t xml:space="preserve">COCA -COLA BEVERAGES SA (PTY) LTD       </t>
  </si>
  <si>
    <t>DEVLAND</t>
  </si>
  <si>
    <t xml:space="preserve">MASSAMATIC PTY LTD                      </t>
  </si>
  <si>
    <t>PAROW EAST</t>
  </si>
  <si>
    <t xml:space="preserve">HENRED FRUEHAUF TRAILERS                </t>
  </si>
  <si>
    <t xml:space="preserve">PARMALAT SA (PTY) LTD                   </t>
  </si>
  <si>
    <t xml:space="preserve">PBA SPARES (PTY)LTD                     </t>
  </si>
  <si>
    <t>CAPE TOWN</t>
  </si>
  <si>
    <t xml:space="preserve">HYDRAQUIP                               </t>
  </si>
  <si>
    <t>DAL JOSAFAT</t>
  </si>
  <si>
    <t xml:space="preserve">EFAMATIC MACHINE TOOLS                  </t>
  </si>
  <si>
    <t>CLEVELAND</t>
  </si>
  <si>
    <t xml:space="preserve">AUTO X PTY LTD                          </t>
  </si>
  <si>
    <t xml:space="preserve">SPICER AXLE (PTY) LTD                   </t>
  </si>
  <si>
    <t xml:space="preserve">NESTLE SA                               </t>
  </si>
  <si>
    <t>HARRISMITH</t>
  </si>
  <si>
    <t xml:space="preserve">UNILEVER SOUTH AFRICA (PTY) LTD         </t>
  </si>
  <si>
    <t xml:space="preserve">HULAMIN OPERATIONTS PTY LTD             </t>
  </si>
  <si>
    <t xml:space="preserve">NR EXTREME ENGINEERING &amp; PIPING         </t>
  </si>
  <si>
    <t xml:space="preserve">PRESSURE DIE CASTINGS PTY LTD           </t>
  </si>
  <si>
    <t xml:space="preserve">UNILIVER SA                             </t>
  </si>
  <si>
    <t xml:space="preserve">MAHLE BEHR SOUTH AFRCA (PTY) LTD        </t>
  </si>
  <si>
    <t xml:space="preserve">SAPPI SA LTD                            </t>
  </si>
  <si>
    <t>UMKOMAAS</t>
  </si>
  <si>
    <t xml:space="preserve">TIGER BRANDS CHOCOLATE UNIT             </t>
  </si>
  <si>
    <t xml:space="preserve">RCL FOODS CONSUMER BEVERAGES            </t>
  </si>
  <si>
    <t xml:space="preserve">FORD MOTORING CO OF SA                  </t>
  </si>
  <si>
    <t xml:space="preserve">CONSOL GLASS                            </t>
  </si>
  <si>
    <t xml:space="preserve">DANONE SA PTY LTD                       </t>
  </si>
  <si>
    <t xml:space="preserve">VEOLIA WATER SOLUTIONS                  </t>
  </si>
  <si>
    <t xml:space="preserve">SANMIK AGENCIES CC                      </t>
  </si>
  <si>
    <t>GEORGE INDUSTRIA</t>
  </si>
  <si>
    <t xml:space="preserve">PIONEER FOODS (PTY) LTD                 </t>
  </si>
  <si>
    <t xml:space="preserve">MECHANICAL CONCEPTS CC                  </t>
  </si>
  <si>
    <t xml:space="preserve">NORMANDIEN FARMS                        </t>
  </si>
  <si>
    <t>THORNVILLE</t>
  </si>
  <si>
    <t xml:space="preserve">NATIONAL BRANDS LTD BECKETTS            </t>
  </si>
  <si>
    <t xml:space="preserve">UV + IR ENGINEERING PTY LTD             </t>
  </si>
  <si>
    <t xml:space="preserve">DARGLE WATER                            </t>
  </si>
  <si>
    <t>DARGLE</t>
  </si>
  <si>
    <t xml:space="preserve">NAMPAK LIQUID PACKING                   </t>
  </si>
  <si>
    <t>DUNDEE</t>
  </si>
  <si>
    <t xml:space="preserve">CONSUPAQ (PTY) LTD                      </t>
  </si>
  <si>
    <t>DURBAN NORTH</t>
  </si>
  <si>
    <t xml:space="preserve">CULINARY A DIV OF TIGER CONSUMER BRANDS </t>
  </si>
  <si>
    <t>BOKSBURG EAST</t>
  </si>
  <si>
    <t xml:space="preserve">FESTO DUR OFFICE                        </t>
  </si>
  <si>
    <t>SPRINGFIELD PARK</t>
  </si>
  <si>
    <t>HAMMANSKRAAL</t>
  </si>
  <si>
    <t xml:space="preserve">MA AUTOMOTIVE TOOL &amp; DIE                </t>
  </si>
  <si>
    <t xml:space="preserve">ABERDARE CABLES (PTY) LTD               </t>
  </si>
  <si>
    <t xml:space="preserve">CB PNEUMATICS PTY LTD                   </t>
  </si>
  <si>
    <t xml:space="preserve">DCD PROTECTED MOBILITY                  </t>
  </si>
  <si>
    <t>TIGER BRANDS SNACKS &amp; TREATS &amp; BEVERAGES</t>
  </si>
  <si>
    <t>MOBENI</t>
  </si>
  <si>
    <t xml:space="preserve">RCL FOODS CONSUMER (PTY) LTD            </t>
  </si>
  <si>
    <t xml:space="preserve">PAILPAC PTY LTD                         </t>
  </si>
  <si>
    <t>GILLITTS</t>
  </si>
  <si>
    <t xml:space="preserve">DURR SOUTH AFRICA                       </t>
  </si>
  <si>
    <t>FRAMESBY</t>
  </si>
  <si>
    <t xml:space="preserve">GOSSAMER STRUCTURES CC                  </t>
  </si>
  <si>
    <t xml:space="preserve">GRINDING MEDIA SOUTH AFRICA             </t>
  </si>
  <si>
    <t>GERMISTON</t>
  </si>
  <si>
    <t xml:space="preserve">SHATTERPRUFE TRADING SA                 </t>
  </si>
  <si>
    <t xml:space="preserve">FINLAR FINE FOODS (PTY) LTD             </t>
  </si>
  <si>
    <t xml:space="preserve">KARAN BEEF (PTY) LTD                    </t>
  </si>
  <si>
    <t>BALFOUR</t>
  </si>
  <si>
    <t xml:space="preserve">CHET CHEMICALS A DIV OF                 </t>
  </si>
  <si>
    <t xml:space="preserve">QUALITEC ENGINEERING CC                 </t>
  </si>
  <si>
    <t xml:space="preserve">BRITISH AMERICAN TOBACCO SA (PTY) LTD   </t>
  </si>
  <si>
    <t>HEIDELBERG</t>
  </si>
  <si>
    <t xml:space="preserve">AFRISAM SA                              </t>
  </si>
  <si>
    <t>ROODEPOORT</t>
  </si>
  <si>
    <t xml:space="preserve">HITECH ELECTRICAL PROJECT               </t>
  </si>
  <si>
    <t>MIDRAND</t>
  </si>
  <si>
    <t xml:space="preserve">ELUMATEC SOUTH AFRICA                   </t>
  </si>
  <si>
    <t xml:space="preserve">DETNET SA                               </t>
  </si>
  <si>
    <t xml:space="preserve">COMMUTER TRANSPORT ENGINEERING          </t>
  </si>
  <si>
    <t>OKAVANGO PARK</t>
  </si>
  <si>
    <t xml:space="preserve">DISTELL (PTY) LTD                       </t>
  </si>
  <si>
    <t>STELLENBOSCH</t>
  </si>
  <si>
    <t xml:space="preserve">IRVIN &amp; JONSON LTD                      </t>
  </si>
  <si>
    <t xml:space="preserve">BIO CAPSULE PHARMACEUTICALS             </t>
  </si>
  <si>
    <t>DIEP RIVER</t>
  </si>
  <si>
    <t xml:space="preserve">MERCEDES BENZ SOUTH AFRICA LIMITED      </t>
  </si>
  <si>
    <t>GATELY TSP</t>
  </si>
  <si>
    <t xml:space="preserve">FORD MOTOR CO. SA MANUFACTURING         </t>
  </si>
  <si>
    <t xml:space="preserve">MCCAIN FOOD SOUTH AFRICA PTY LTD        </t>
  </si>
  <si>
    <t>DELMAS EXT 1</t>
  </si>
  <si>
    <t xml:space="preserve">FOODCORP PTY LTD                        </t>
  </si>
  <si>
    <t>RUSTENBURG</t>
  </si>
  <si>
    <t xml:space="preserve">ELEMENT SIX PRODUCTION                  </t>
  </si>
  <si>
    <t xml:space="preserve">PLASTIC OMNIUM AUTO INERGY SA           </t>
  </si>
  <si>
    <t xml:space="preserve">PFERD SA PTY LTD                        </t>
  </si>
  <si>
    <t xml:space="preserve">BALLENA TRADING 31 PTY LTD              </t>
  </si>
  <si>
    <t xml:space="preserve">ISUZU MOTORS S.A (PTY)LTD               </t>
  </si>
  <si>
    <t xml:space="preserve">GOODYEAR SOUTH AFRICA PTY LTD           </t>
  </si>
  <si>
    <t xml:space="preserve">COCA COLA BEVERAGES SA                  </t>
  </si>
  <si>
    <t xml:space="preserve">ACTIVE ENTERPRISES CC                   </t>
  </si>
  <si>
    <t>HENNOPSPARK</t>
  </si>
  <si>
    <t xml:space="preserve">CONSOLIDATED WIRE INDUSTRIES            </t>
  </si>
  <si>
    <t xml:space="preserve">FIRST NATIONAL BATTERY                  </t>
  </si>
  <si>
    <t xml:space="preserve">MED AUTOMATION                          </t>
  </si>
  <si>
    <t xml:space="preserve">FESTO CPT                               </t>
  </si>
  <si>
    <t>YSTERPLAAT</t>
  </si>
  <si>
    <t xml:space="preserve">TI GROUP AUTOMOTIVE SYSTEM              </t>
  </si>
  <si>
    <t xml:space="preserve">MITTAL STEEL SOUTH AFRICA LIMITED       </t>
  </si>
  <si>
    <t xml:space="preserve">AVION EAST RAND PTY LTD                 </t>
  </si>
  <si>
    <t xml:space="preserve">BAGTECH INTERNATIONAL PTY LTD           </t>
  </si>
  <si>
    <t>MAYDON WHARF</t>
  </si>
  <si>
    <t xml:space="preserve">REEF ENGINEERING &amp; MNFG CO.             </t>
  </si>
  <si>
    <t>ALRODE</t>
  </si>
  <si>
    <t xml:space="preserve">PREMIER FMCG PTY LTD                    </t>
  </si>
  <si>
    <t>MTHATHA</t>
  </si>
  <si>
    <t xml:space="preserve">RCL FOODS CONSUMER (PTY)LTD             </t>
  </si>
  <si>
    <t>INDUSTRIAL AREA</t>
  </si>
  <si>
    <t xml:space="preserve">COCA COLA BEVERAGES S.A(PTY)LTD         </t>
  </si>
  <si>
    <t>HERCULES</t>
  </si>
  <si>
    <t xml:space="preserve">TECHNICRETE ISG                         </t>
  </si>
  <si>
    <t xml:space="preserve">NTP RADIOSOTOP                          </t>
  </si>
  <si>
    <t xml:space="preserve">BEVCAN A DIV OF NAMPAK PRODUCT LTD      </t>
  </si>
  <si>
    <t xml:space="preserve">FRESENIUS KABI MANUFACTURING            </t>
  </si>
  <si>
    <t xml:space="preserve">NAMPARK LIQUID                          </t>
  </si>
  <si>
    <t>COOPERS</t>
  </si>
  <si>
    <t xml:space="preserve">HEINEKEN SOUTH AFRICA (PTY)LTD          </t>
  </si>
  <si>
    <t>MIDVAAL</t>
  </si>
  <si>
    <t xml:space="preserve">NAMPAK LIQUID PACKAGING                 </t>
  </si>
  <si>
    <t>ISITHEBE</t>
  </si>
  <si>
    <t xml:space="preserve">CLOVER SA (PTY) LTD                     </t>
  </si>
  <si>
    <t>NORTHDENE</t>
  </si>
  <si>
    <t xml:space="preserve">HENDOK DISTRIBUTION (PTY) LTD           </t>
  </si>
  <si>
    <t>PHOENIX</t>
  </si>
  <si>
    <t xml:space="preserve">BRITTECH                                </t>
  </si>
  <si>
    <t>KOSMOSDAL</t>
  </si>
  <si>
    <t xml:space="preserve">ATC INNOVATION (PTY) LTD                </t>
  </si>
  <si>
    <t xml:space="preserve">C &amp; M HYDRAULIC SERVICES                </t>
  </si>
  <si>
    <t xml:space="preserve">ECHO FLOORS (PTY)LTD                    </t>
  </si>
  <si>
    <t>DRIEFONTEIN</t>
  </si>
  <si>
    <t xml:space="preserve">JESSOP &amp; ASSOCIATES (PTY) LTD           </t>
  </si>
  <si>
    <t>THREE RIVERS</t>
  </si>
  <si>
    <t xml:space="preserve">ASPEN NUTRITIONALS                      </t>
  </si>
  <si>
    <t>CLAYVILLE</t>
  </si>
  <si>
    <t xml:space="preserve">VOLKSWAGEN OF SA                        </t>
  </si>
  <si>
    <t xml:space="preserve">SHATTERPRUFE TRADING AS A               </t>
  </si>
  <si>
    <t xml:space="preserve">MAHLE BEHR SOUTH AFRICA (PTY) LTD       </t>
  </si>
  <si>
    <t>MARKMAN TSP</t>
  </si>
  <si>
    <t xml:space="preserve">MERCEDES - BENZ S.A LIMITED             </t>
  </si>
  <si>
    <t xml:space="preserve">STARKE INDUSTRIES CC                    </t>
  </si>
  <si>
    <t xml:space="preserve">Selepe Project Ltd                      </t>
  </si>
  <si>
    <t xml:space="preserve">THE HYDRAULIC CONNECTION                </t>
  </si>
  <si>
    <t>EDENVALE</t>
  </si>
  <si>
    <t>ECHAR CONSTRACTION EQUIPMENT MANUFACTURE</t>
  </si>
  <si>
    <t xml:space="preserve">M &amp; C BEARINGS &amp; TRANSMISSION           </t>
  </si>
  <si>
    <t xml:space="preserve">KELLOGGS CO OF SA                       </t>
  </si>
  <si>
    <t>NEW ERA</t>
  </si>
  <si>
    <t xml:space="preserve">TRUDA SNACKS CAPE CC                    </t>
  </si>
  <si>
    <t>EPPING INDUSTRIAL</t>
  </si>
  <si>
    <t xml:space="preserve">FLUID SYSTEMS                           </t>
  </si>
  <si>
    <t>BEACONVALE</t>
  </si>
  <si>
    <t xml:space="preserve">MAXION WHEELS SA                        </t>
  </si>
  <si>
    <t xml:space="preserve">PRIMA INDUSTRIAL HOLDINGS               </t>
  </si>
  <si>
    <t xml:space="preserve">AMMTECH                                 </t>
  </si>
  <si>
    <t>RANDBURG</t>
  </si>
  <si>
    <t xml:space="preserve">ROBIN COSS AVIATION CC                  </t>
  </si>
  <si>
    <t>CAPE TOWN AIRPORT</t>
  </si>
  <si>
    <t xml:space="preserve">H.F.S. HYDRAULIC                        </t>
  </si>
  <si>
    <t>WESTMEAD</t>
  </si>
  <si>
    <t xml:space="preserve">BUILD IT HARRISMITH                     </t>
  </si>
  <si>
    <t xml:space="preserve">S4 INTEGRATION (PTY) LTD                </t>
  </si>
  <si>
    <t xml:space="preserve">DFS PROCESS SOLUTIONS (PTY0 LTD         </t>
  </si>
  <si>
    <t xml:space="preserve">BENTELER SA                             </t>
  </si>
  <si>
    <t xml:space="preserve">PATERSON HUGHES ENGINEERING             </t>
  </si>
  <si>
    <t xml:space="preserve">FAIR CAPE DAIRIES (PTY) LTD             </t>
  </si>
  <si>
    <t xml:space="preserve">MONDI LIMITED                           </t>
  </si>
  <si>
    <t>MEREBANK</t>
  </si>
  <si>
    <t xml:space="preserve">STRAIT ACCESS TECHNOLOGIES HOLDINGS     </t>
  </si>
  <si>
    <t>OBSERVATORY</t>
  </si>
  <si>
    <t xml:space="preserve">HP HOSE &amp; FITTING SPECIALIST CC         </t>
  </si>
  <si>
    <t>CANELANDS</t>
  </si>
  <si>
    <t xml:space="preserve">KANSAI PLASCON (PTY) LTD                </t>
  </si>
  <si>
    <t xml:space="preserve">SOUTHERN PULP MACHINERY                 </t>
  </si>
  <si>
    <t xml:space="preserve">AUTOMA MULTI STYRENE                    </t>
  </si>
  <si>
    <t xml:space="preserve">WHIRLPOOL S.A                           </t>
  </si>
  <si>
    <t xml:space="preserve">COREL INSTRUMENTATION &amp; CONTRO          </t>
  </si>
  <si>
    <t>VAALPARK</t>
  </si>
  <si>
    <t xml:space="preserve">SOUTH AFRICAN BANK NOTE CO.             </t>
  </si>
  <si>
    <t>PRETORIA NORTH</t>
  </si>
  <si>
    <t xml:space="preserve">ZIPCORD INDUSTRIES (PTY)LTD             </t>
  </si>
  <si>
    <t xml:space="preserve">PRAGA TECHNICAL PTY LTD                 </t>
  </si>
  <si>
    <t xml:space="preserve">SUPPLYTECH                              </t>
  </si>
  <si>
    <t xml:space="preserve">VOLTEX (PTY) LTD                        </t>
  </si>
  <si>
    <t xml:space="preserve">RICH PRODUCTS CORP OF SA                </t>
  </si>
  <si>
    <t>OPHIRTON</t>
  </si>
  <si>
    <t xml:space="preserve">TALI DISGITAL CC                        </t>
  </si>
  <si>
    <t>WYNBERG</t>
  </si>
  <si>
    <t xml:space="preserve">PREMIER FMCG (PTY) LTD                  </t>
  </si>
  <si>
    <t>KROONSTAD</t>
  </si>
  <si>
    <t xml:space="preserve">COCA COLA SHANDUKA BEVERAGES SA         </t>
  </si>
  <si>
    <t xml:space="preserve">UMOYA AUTOMATION CC                     </t>
  </si>
  <si>
    <t>ALBERTON NORTH</t>
  </si>
  <si>
    <t xml:space="preserve">FELTEX AUTOMOTIVE DIVISION              </t>
  </si>
  <si>
    <t xml:space="preserve">STEELWOOD INTERNATIONAL PTY LTD         </t>
  </si>
  <si>
    <t>LANSERIA</t>
  </si>
  <si>
    <t xml:space="preserve">DE BEERS GROUP SERVICES                 </t>
  </si>
  <si>
    <t xml:space="preserve">PRIME INTERNATINAL TRDAING              </t>
  </si>
  <si>
    <t>SANDTON</t>
  </si>
  <si>
    <t xml:space="preserve">PAARL PNEUMATICS CC                     </t>
  </si>
  <si>
    <t xml:space="preserve">BIC SA PTY LTD                          </t>
  </si>
  <si>
    <t xml:space="preserve">UNIVERSITY OF PRETORIA                  </t>
  </si>
  <si>
    <t>HATFIELD</t>
  </si>
  <si>
    <t xml:space="preserve">AEROSUD AVIATION                        </t>
  </si>
  <si>
    <t>PIERRE VAN RYNEVELD</t>
  </si>
  <si>
    <t xml:space="preserve">A.R.B. ELECTRICAL WHOLESALERS PTY LTD   </t>
  </si>
  <si>
    <t>RICHARDS BAY</t>
  </si>
  <si>
    <t xml:space="preserve">FEDERAL MOGUL ENGINE BEARINGS (PTY) LTD </t>
  </si>
  <si>
    <t xml:space="preserve">SA STEELLPACK SOLUTION PTY LTD          </t>
  </si>
  <si>
    <t>TONGAAT</t>
  </si>
  <si>
    <t xml:space="preserve">MARBLE HALL CITRUS                      </t>
  </si>
  <si>
    <t>MARBLE HALL</t>
  </si>
  <si>
    <t>ALBANY BAKERIES A DIVISION OF TIGER BRAN</t>
  </si>
  <si>
    <t>MANABA BEACH</t>
  </si>
  <si>
    <t xml:space="preserve">VESUVIUS                                </t>
  </si>
  <si>
    <t xml:space="preserve">PRODUCTIVE ENGINEERING CC               </t>
  </si>
  <si>
    <t xml:space="preserve">FAURECIA EXHAUST SYSTEMS (PTY) LTD      </t>
  </si>
  <si>
    <t xml:space="preserve">NU-LEAF NUSRSERY LTD                    </t>
  </si>
  <si>
    <t>HONEY DEW</t>
  </si>
  <si>
    <t xml:space="preserve">HAKA SOLUTIONS (PTY)LTD                 </t>
  </si>
  <si>
    <t xml:space="preserve">COCA COLA SHANDUKA BEVERAGES            </t>
  </si>
  <si>
    <t xml:space="preserve">AMCOR FLEXIBLE CAPE                     </t>
  </si>
  <si>
    <t xml:space="preserve">DALEIN AGRI PLAN PTY LTD                </t>
  </si>
  <si>
    <t>LEEUWFONTEIN</t>
  </si>
  <si>
    <t xml:space="preserve">QUALIPAK (PTY) LTD                      </t>
  </si>
  <si>
    <t xml:space="preserve">OMNIA FERTILIZER                        </t>
  </si>
  <si>
    <t xml:space="preserve">HYGIENIC TISSUE MILL                    </t>
  </si>
  <si>
    <t>WILLOWTON</t>
  </si>
  <si>
    <t xml:space="preserve">PIONEER FOOD GROCERIES PTY LTD          </t>
  </si>
  <si>
    <t>CERES</t>
  </si>
  <si>
    <t xml:space="preserve">SCAW SA                                 </t>
  </si>
  <si>
    <t xml:space="preserve">FOXOLUTION SYSTEMS ENG CC               </t>
  </si>
  <si>
    <t>SUNNYDALE</t>
  </si>
  <si>
    <t xml:space="preserve">SOUTHERN OIL LTD T/A SOILL              </t>
  </si>
  <si>
    <t>SWELLENDAM</t>
  </si>
  <si>
    <t xml:space="preserve">NATIONAL PACKAGING SYSTEMS              </t>
  </si>
  <si>
    <t xml:space="preserve">UNILEVER SA PTY LTD                     </t>
  </si>
  <si>
    <t xml:space="preserve">TIGER CONSUMER BRANDS                   </t>
  </si>
  <si>
    <t xml:space="preserve">UCL COMPANY                             </t>
  </si>
  <si>
    <t>DALTON</t>
  </si>
  <si>
    <t xml:space="preserve">NIORO PLASTICS                          </t>
  </si>
  <si>
    <t xml:space="preserve">GENERAL PNEUMATICS NATAL PTY LTD        </t>
  </si>
  <si>
    <t xml:space="preserve">PIONEER FOODS                           </t>
  </si>
  <si>
    <t xml:space="preserve">UMICORE CATALYST SA PTY LTD             </t>
  </si>
  <si>
    <t xml:space="preserve">HACKMACK ENTERPRISES                    </t>
  </si>
  <si>
    <t>ARCADIA</t>
  </si>
  <si>
    <t xml:space="preserve">SNEAKER SNACKS CC                       </t>
  </si>
  <si>
    <t>HERIOTDALE</t>
  </si>
  <si>
    <t xml:space="preserve">RCL FOODS CONSUMER                      </t>
  </si>
  <si>
    <t>BOLTONIA</t>
  </si>
  <si>
    <t xml:space="preserve">FUSE - A - TRON CC                      </t>
  </si>
  <si>
    <t xml:space="preserve">ANDERSON ENGINEERING &amp;                  </t>
  </si>
  <si>
    <t xml:space="preserve">KENZEL ENGINEERING TRUST                </t>
  </si>
  <si>
    <t>SIDWELL</t>
  </si>
  <si>
    <t xml:space="preserve">BANDAG SOUHT AFRICA PTY LTD             </t>
  </si>
  <si>
    <t>ALRODE EXT 2</t>
  </si>
  <si>
    <t xml:space="preserve">STEN STAINLEES STEEL PROCEES            </t>
  </si>
  <si>
    <t xml:space="preserve">FLEXIBLE MACHINE CONTROL                </t>
  </si>
  <si>
    <t xml:space="preserve">UNILEVER ANDERBOLT HOMECARE LIQUIDS     </t>
  </si>
  <si>
    <t xml:space="preserve">FLOWSERVE SA PTY LTD                    </t>
  </si>
  <si>
    <t xml:space="preserve">UNI-ROLL CC                             </t>
  </si>
  <si>
    <t xml:space="preserve">COOKHOUSE CREAMY (PTY)LTD               </t>
  </si>
  <si>
    <t>COOKHOUSE</t>
  </si>
  <si>
    <t xml:space="preserve">FORD OF SOUTHERN AFRICA AX9WA           </t>
  </si>
  <si>
    <t xml:space="preserve">NESTLE SOUTH AFRICA (PTY) L.T.D         </t>
  </si>
  <si>
    <t xml:space="preserve">FIRST NATIONAL BATTEREY                 </t>
  </si>
  <si>
    <t>FORT JACKSON</t>
  </si>
  <si>
    <t xml:space="preserve">GUALA CLOSURES S.A                      </t>
  </si>
  <si>
    <t xml:space="preserve">MAIN STREET 1310 PTY LTD                </t>
  </si>
  <si>
    <t>BELLVILLE SOUTH</t>
  </si>
  <si>
    <t xml:space="preserve">KIMBERLEY-CLARK S.A                     </t>
  </si>
  <si>
    <t xml:space="preserve">HYDROMATIC ENTERPRISES PTY LTD          </t>
  </si>
  <si>
    <t>MARBURG</t>
  </si>
  <si>
    <t xml:space="preserve">G.U.D HOLDINGS                          </t>
  </si>
  <si>
    <t xml:space="preserve">DES GROUP (PTY) LTD                     </t>
  </si>
  <si>
    <t>UMBOGINTWINI</t>
  </si>
  <si>
    <t xml:space="preserve">NJC MANUFACTURING (PTY) LTD             </t>
  </si>
  <si>
    <t>TERENURE</t>
  </si>
  <si>
    <t xml:space="preserve">WELFIT ODDY LTD                         </t>
  </si>
  <si>
    <t xml:space="preserve">SASOL DYNO NOBEL PTY LTD                </t>
  </si>
  <si>
    <t>EKANDUSTRIA</t>
  </si>
  <si>
    <t xml:space="preserve">CROWN CHICKENS (PTY) LTD                </t>
  </si>
  <si>
    <t xml:space="preserve">SPRING MEADOW DAIRY FARM (PTY)LTD       </t>
  </si>
  <si>
    <t>NOTTINGHAM ROAD</t>
  </si>
  <si>
    <t>MAYDON WARF</t>
  </si>
  <si>
    <t xml:space="preserve">PIONEER FOOD T/A ESCOURT MILL           </t>
  </si>
  <si>
    <t xml:space="preserve">AGT FOOD                                </t>
  </si>
  <si>
    <t>CHAMDOR</t>
  </si>
  <si>
    <t xml:space="preserve">ANDREW MENTIS PTY                       </t>
  </si>
  <si>
    <t>ACTIVIA PARK</t>
  </si>
  <si>
    <t xml:space="preserve">TECH NORTH RUSTENBERG                   </t>
  </si>
  <si>
    <t xml:space="preserve">SHAMROCK MILLING                        </t>
  </si>
  <si>
    <t>SILVER LAKES</t>
  </si>
  <si>
    <t xml:space="preserve">MILSON ENGINEERING MANAGEMENT           </t>
  </si>
  <si>
    <t>PETIT</t>
  </si>
  <si>
    <t xml:space="preserve">UNIVERSAL AUTOMATED SYSTEMS PTY LTD     </t>
  </si>
  <si>
    <t xml:space="preserve">MZTRANSMISSION &amp; ENGINEERING CC         </t>
  </si>
  <si>
    <t xml:space="preserve">REPMA ENGINEERING PTY LTD               </t>
  </si>
  <si>
    <t>INDUSTRIA NORTH</t>
  </si>
  <si>
    <t xml:space="preserve">SINGISI FOREST                          </t>
  </si>
  <si>
    <t>MEYERTON</t>
  </si>
  <si>
    <t xml:space="preserve">BEARINGS ON CC                          </t>
  </si>
  <si>
    <t>ROBERTSHAM</t>
  </si>
  <si>
    <t xml:space="preserve">TONGAAT HULETT STARCH                   </t>
  </si>
  <si>
    <t xml:space="preserve">ANALOG &amp; DIGITAL POWER ELECTRONICS      </t>
  </si>
  <si>
    <t xml:space="preserve">Mavtech Technologies Ltd                </t>
  </si>
  <si>
    <t xml:space="preserve">REEF CONSTRUCTION MACHINERY PTY LTD     </t>
  </si>
  <si>
    <t xml:space="preserve">NON FERROUS METAL WORKS SA PTY          </t>
  </si>
  <si>
    <t>ISIPINGO</t>
  </si>
  <si>
    <t xml:space="preserve">WINTERTIDE TRADING 69 CC                </t>
  </si>
  <si>
    <t xml:space="preserve">VEOLIA WATER SOLUTIONS &amp;-               </t>
  </si>
  <si>
    <t>KEMPTON PARK</t>
  </si>
  <si>
    <t xml:space="preserve">GUD Holdings (Pty) Ltd                  </t>
  </si>
  <si>
    <t>NOOITGEDACHT</t>
  </si>
  <si>
    <t xml:space="preserve">FOODSERV SOLUTIONS                      </t>
  </si>
  <si>
    <t xml:space="preserve">PMD PACKAGING SYSTEMS                   </t>
  </si>
  <si>
    <t>MULDERSDRIF</t>
  </si>
  <si>
    <t xml:space="preserve">P24 INTERCONNECT                        </t>
  </si>
  <si>
    <t xml:space="preserve">PROGETTO INTERNATIONAL                  </t>
  </si>
  <si>
    <t xml:space="preserve">CALDEIRA ENGENEERING                    </t>
  </si>
  <si>
    <t xml:space="preserve">SASOL CHEMICALS SA                      </t>
  </si>
  <si>
    <t xml:space="preserve">WOOL TESTING BUREAU SA                  </t>
  </si>
  <si>
    <t>SUMMERSTRAND</t>
  </si>
  <si>
    <t xml:space="preserve">CBI ELECTRIC TELECOM CABLES             </t>
  </si>
  <si>
    <t xml:space="preserve">DORMAS                                  </t>
  </si>
  <si>
    <t xml:space="preserve">S &amp; R INSTALLIONS CC                    </t>
  </si>
  <si>
    <t xml:space="preserve">SCHAFER ENGINEERING CC                  </t>
  </si>
  <si>
    <t xml:space="preserve">KW BREAD PACKAGING SYSTEMS CC           </t>
  </si>
  <si>
    <t xml:space="preserve">PRODUCTIVE SYSTEMS CC                   </t>
  </si>
  <si>
    <t xml:space="preserve">CROWN CHICKENS                          </t>
  </si>
  <si>
    <t>ANDEON</t>
  </si>
  <si>
    <t xml:space="preserve">INTEGRADED CONVOY PROTECTION            </t>
  </si>
  <si>
    <t xml:space="preserve">TOTAL MINING CC                         </t>
  </si>
  <si>
    <t xml:space="preserve">ELSTER KENT METERING                    </t>
  </si>
  <si>
    <t xml:space="preserve">AUTOLIV SA                              </t>
  </si>
  <si>
    <t xml:space="preserve">HOT PLATINUM                            </t>
  </si>
  <si>
    <t>ATHLONE INDUSTRIA 1</t>
  </si>
  <si>
    <t xml:space="preserve">ILLOVO SUGAR LTD                        </t>
  </si>
  <si>
    <t xml:space="preserve">BMW ROSSLYN                             </t>
  </si>
  <si>
    <t xml:space="preserve">EBERSPACHER ROSSLYN                     </t>
  </si>
  <si>
    <t xml:space="preserve">SIGNAL INSTRUMENTATION CC               </t>
  </si>
  <si>
    <t xml:space="preserve">SASKO BAKERY                            </t>
  </si>
  <si>
    <t xml:space="preserve">MORDERN PROCESSING EQUIPMENT CC         </t>
  </si>
  <si>
    <t xml:space="preserve">TFM INDUSTRIES PTY LTD                  </t>
  </si>
  <si>
    <t xml:space="preserve">RIDGE DISTRIBUTORS CC                   </t>
  </si>
  <si>
    <t xml:space="preserve">DSV CO TRADECORP                        </t>
  </si>
  <si>
    <t xml:space="preserve">FRIMAX FOODS (PTY) LTD                  </t>
  </si>
  <si>
    <t>VERULAM</t>
  </si>
  <si>
    <t xml:space="preserve">POLYOAK PACKAGING PTY LTD               </t>
  </si>
  <si>
    <t>AEROTON</t>
  </si>
  <si>
    <t xml:space="preserve">AJ COMPONENTS                           </t>
  </si>
  <si>
    <t>ALBERTON</t>
  </si>
  <si>
    <t xml:space="preserve">CONTINETAL BISCUITS PTY LTD             </t>
  </si>
  <si>
    <t xml:space="preserve">SAR ELECTRONIC SA (PTY)LTD              </t>
  </si>
  <si>
    <t xml:space="preserve">BROWN THE DIAMOND                       </t>
  </si>
  <si>
    <t>BLAIRGOWRIE</t>
  </si>
  <si>
    <t xml:space="preserve">AMETIS PROJECTS CC                      </t>
  </si>
  <si>
    <t xml:space="preserve">MEGA - PAK                              </t>
  </si>
  <si>
    <t xml:space="preserve">DISTELL LIMITED                         </t>
  </si>
  <si>
    <t xml:space="preserve">HEAT AND CONTROL (PTY) LTD              </t>
  </si>
  <si>
    <t xml:space="preserve">AFRISAM SA PTY LTD                      </t>
  </si>
  <si>
    <t>VULCANIA</t>
  </si>
  <si>
    <t xml:space="preserve">BMG PRETORIA 0169                       </t>
  </si>
  <si>
    <t xml:space="preserve">TRANSNET ENGINEERING                    </t>
  </si>
  <si>
    <t>KOEDOESPOORT</t>
  </si>
  <si>
    <t>COCA-COCAL BEVERAGES SOTH AFRICA PTY LTD</t>
  </si>
  <si>
    <t xml:space="preserve">SHATTERPRUFE TRADING                    </t>
  </si>
  <si>
    <t>GARANKUWA</t>
  </si>
  <si>
    <t xml:space="preserve">ILLOVO SUGAR LTDB EDENVEL               </t>
  </si>
  <si>
    <t>MEADOWDALE</t>
  </si>
  <si>
    <t xml:space="preserve">PRIME UNIVERSAL FOOD                    </t>
  </si>
  <si>
    <t xml:space="preserve">PHUMULA MINING EQUIPMENT                </t>
  </si>
  <si>
    <t>ERMELO</t>
  </si>
  <si>
    <t xml:space="preserve">FOXTEC-IKHWEZI PTY LTD                  </t>
  </si>
  <si>
    <t>WEST BANK</t>
  </si>
  <si>
    <t xml:space="preserve">HANSENS ENGENNERING                     </t>
  </si>
  <si>
    <t xml:space="preserve">COROBRICK (PTY) LTD                     </t>
  </si>
  <si>
    <t>AVOCA</t>
  </si>
  <si>
    <t xml:space="preserve">GLEDHOW SUGAR CO. PTY LTD               </t>
  </si>
  <si>
    <t xml:space="preserve">TOYOTA BOSHOKU SA PTY LTD               </t>
  </si>
  <si>
    <t xml:space="preserve">TTS TRANS TECHNICAL SOLUTION            </t>
  </si>
  <si>
    <t xml:space="preserve">BEIER ENVIROTEC                         </t>
  </si>
  <si>
    <t xml:space="preserve">MARTIN &amp; MARTIN PTY LTD                 </t>
  </si>
  <si>
    <t xml:space="preserve">SA SUGAR ASSOCIATION                    </t>
  </si>
  <si>
    <t xml:space="preserve">LINDE + WIEMANN (PTY) LTD               </t>
  </si>
  <si>
    <t xml:space="preserve">INDUSTRIAL LOCOMOTIVE SERVICES          </t>
  </si>
  <si>
    <t xml:space="preserve">BORBET SA (PTY) LTD                     </t>
  </si>
  <si>
    <t xml:space="preserve">DR OETKER SOUTH AFRICA (PTY) L.T.D      </t>
  </si>
  <si>
    <t>SELBY</t>
  </si>
  <si>
    <t xml:space="preserve">CHILL BEVERAGES INTERNATIONAL (PTY) LTD </t>
  </si>
  <si>
    <t xml:space="preserve">CAPE OIL AND MARGRAINE                  </t>
  </si>
  <si>
    <t xml:space="preserve">FUEL INDUSTRY SERVICES PTY LTD          </t>
  </si>
  <si>
    <t xml:space="preserve">TONGAAT HULLETTS GROUP LTD              </t>
  </si>
  <si>
    <t>ROSSBURGH</t>
  </si>
  <si>
    <t xml:space="preserve">VIDEX WIRE PRODUCTS PTY LTD             </t>
  </si>
  <si>
    <t xml:space="preserve">Rand Refinery                           </t>
  </si>
  <si>
    <t>Germiston</t>
  </si>
  <si>
    <t xml:space="preserve">ESKORT LTD                              </t>
  </si>
  <si>
    <t>ESTCOURT</t>
  </si>
  <si>
    <t xml:space="preserve">COCA-COLA BEVERGES SOUTH AFRICA PTY LTD </t>
  </si>
  <si>
    <t>PHOENIX INDUSTRIAL AREA</t>
  </si>
  <si>
    <t xml:space="preserve">WOODLANDS RESOURCE RECOVERY PLANT       </t>
  </si>
  <si>
    <t>HUMANSDORP</t>
  </si>
  <si>
    <t xml:space="preserve">FRESENIUS KABI SA (PTY) L.T.D           </t>
  </si>
  <si>
    <t xml:space="preserve">AIR LIGUIDE INTERNATIONAL S.A           </t>
  </si>
  <si>
    <t xml:space="preserve">FLS TECHNICAL SERVICE                   </t>
  </si>
  <si>
    <t>LAKESIDE</t>
  </si>
  <si>
    <t xml:space="preserve">CSM BEARING &amp; PNUEMATIC SUPPLIES        </t>
  </si>
  <si>
    <t>MOSSEL BAY</t>
  </si>
  <si>
    <t xml:space="preserve">MAINSTREET 1310                         </t>
  </si>
  <si>
    <t xml:space="preserve">UTI JET PARK                            </t>
  </si>
  <si>
    <t xml:space="preserve">BULKMATIC SOLIDS MACH                   </t>
  </si>
  <si>
    <t xml:space="preserve">PRIME PRODUCT MANUFACTURING             </t>
  </si>
  <si>
    <t xml:space="preserve">ARCH WATER PRODUCTS SA                  </t>
  </si>
  <si>
    <t>CHLOORKOP</t>
  </si>
  <si>
    <t xml:space="preserve">ELECTRONIC &amp; POWER                      </t>
  </si>
  <si>
    <t xml:space="preserve">FESTO PLZ                               </t>
  </si>
  <si>
    <t>NEWTON PARK</t>
  </si>
  <si>
    <t xml:space="preserve">BEARING &amp; HYDRAULIC SPARES              </t>
  </si>
  <si>
    <t xml:space="preserve">DC MEAT WHOLESALERS CC                  </t>
  </si>
  <si>
    <t xml:space="preserve">EMENEM INDUSTRIAL CC                    </t>
  </si>
  <si>
    <t xml:space="preserve">SPRINGS BEE GEE ELECT WHOLE CC          </t>
  </si>
  <si>
    <t>SPRINGS</t>
  </si>
  <si>
    <t xml:space="preserve">COLGATE PALMOLIVE LTD                   </t>
  </si>
  <si>
    <t xml:space="preserve">CONTROL SYSTEM INTEGRATION (PTY)LTD     </t>
  </si>
  <si>
    <t xml:space="preserve">SCHAEFFLER SOUTH AFRICA                 </t>
  </si>
  <si>
    <t>ESTADEAL</t>
  </si>
  <si>
    <t xml:space="preserve">BEARINGS DISTRIBUTORS WESKUS            </t>
  </si>
  <si>
    <t>VREDENBURG</t>
  </si>
  <si>
    <t xml:space="preserve">NORDSON SA PYT LTD                      </t>
  </si>
  <si>
    <t xml:space="preserve">MAINTENANCE ENGINERING SERVICES         </t>
  </si>
  <si>
    <t>DURBAN-NOORD</t>
  </si>
  <si>
    <t xml:space="preserve">PIONEER FOODS GROCERIES PTY             </t>
  </si>
  <si>
    <t xml:space="preserve">INTERCEMENT S.A                         </t>
  </si>
  <si>
    <t>BELLAIR</t>
  </si>
  <si>
    <t xml:space="preserve">JOHN THOMSON A DIV OF ACTOM (PTY) LTD   </t>
  </si>
  <si>
    <t xml:space="preserve">SUNNY MACHINES MANUFACTURING PTY LTD    </t>
  </si>
  <si>
    <t>WITFIELD</t>
  </si>
  <si>
    <t xml:space="preserve">ATLAS ELECTRO HYDRAULIC SYSTEMS PTY LTD </t>
  </si>
  <si>
    <t xml:space="preserve">ROLLMECH PTY LTD                        </t>
  </si>
  <si>
    <t xml:space="preserve">FIRSTPRO ENGINEERING PTY LTD            </t>
  </si>
  <si>
    <t xml:space="preserve">CONSOL GLASS (PTY) LTD                  </t>
  </si>
  <si>
    <t xml:space="preserve">TI GROUP AUTOMOTIVE SYSTEMS (PTY) LTD   </t>
  </si>
  <si>
    <t xml:space="preserve">CONRO PRECISION                         </t>
  </si>
  <si>
    <t xml:space="preserve">LEAR SEWING PTY LTD                     </t>
  </si>
  <si>
    <t>WOODBROOK</t>
  </si>
  <si>
    <t xml:space="preserve">NESSA ENGINEERING                       </t>
  </si>
  <si>
    <t xml:space="preserve">H BIRKENMAYER (PTY) LTD                 </t>
  </si>
  <si>
    <t xml:space="preserve">NATIONAL BRANDS LOMITED                 </t>
  </si>
  <si>
    <t xml:space="preserve">TIGER FOOD BRANDS LIMITED               </t>
  </si>
  <si>
    <t xml:space="preserve">BULK TECHNIK CC                         </t>
  </si>
  <si>
    <t>NORTHCLIFF</t>
  </si>
  <si>
    <t xml:space="preserve">ASSA ABLOY (SA)(PTY) LTD                </t>
  </si>
  <si>
    <t xml:space="preserve">BASF SA PTY LTD                         </t>
  </si>
  <si>
    <t xml:space="preserve">SMMF SOFTWARE TECHNOLOGIES              </t>
  </si>
  <si>
    <t xml:space="preserve">PROPANELS PTY LTD                       </t>
  </si>
  <si>
    <t xml:space="preserve">WEIR MINERALS AFRICA                    </t>
  </si>
  <si>
    <t xml:space="preserve">METROCAS CC                             </t>
  </si>
  <si>
    <t>VORNA VALLEY</t>
  </si>
  <si>
    <t xml:space="preserve">ACTIVE DRAWING  &amp; ENGINEERING           </t>
  </si>
  <si>
    <t xml:space="preserve">CADSOURCE                               </t>
  </si>
  <si>
    <t>DUNCANVILLE</t>
  </si>
  <si>
    <t xml:space="preserve">AFROX GOC LTD                           </t>
  </si>
  <si>
    <t xml:space="preserve">THE SIMBA GROUP PTY LTD                 </t>
  </si>
  <si>
    <t xml:space="preserve">MARLYN INSTRUMENTATION CC               </t>
  </si>
  <si>
    <t xml:space="preserve">ISIPINGO READINGMIX                     </t>
  </si>
  <si>
    <t xml:space="preserve">EAST COAST INSTRUMENTATION SALES        </t>
  </si>
  <si>
    <t xml:space="preserve">NISSAN SUID-AFRIKA (EDMS)BPK            </t>
  </si>
  <si>
    <t xml:space="preserve">EVOLVE PRODUCTION SUPPORT PTY LTD       </t>
  </si>
  <si>
    <t xml:space="preserve">MALUTS PTY LTD                          </t>
  </si>
  <si>
    <t xml:space="preserve">SUNBAKE BOERSTRA                        </t>
  </si>
  <si>
    <t xml:space="preserve">SNYMAN  TOOL &amp; DIE CC                   </t>
  </si>
  <si>
    <t xml:space="preserve">BRIDGESTONE FIRESTONE                   </t>
  </si>
  <si>
    <t xml:space="preserve">ELINEM ENGINEERING PTY LTD              </t>
  </si>
  <si>
    <t xml:space="preserve">SUPERFECTA FOOD                         </t>
  </si>
  <si>
    <t>KRUGERSDORP</t>
  </si>
  <si>
    <t xml:space="preserve">PHARMACEUTICAL CONTRACTORS              </t>
  </si>
  <si>
    <t xml:space="preserve">ESD FACILITIES GASES                    </t>
  </si>
  <si>
    <t xml:space="preserve">CAPE GATE                               </t>
  </si>
  <si>
    <t xml:space="preserve">BLANES INSTRUMENTS                      </t>
  </si>
  <si>
    <t xml:space="preserve">LONMIN PLATINUM COMPRISSING WESTERN     </t>
  </si>
  <si>
    <t>MARIKANA</t>
  </si>
  <si>
    <t xml:space="preserve">ERGO MINING                             </t>
  </si>
  <si>
    <t>BRAKPAN</t>
  </si>
  <si>
    <t xml:space="preserve">VOLKSWAGEN OF SA (VC 3055)              </t>
  </si>
  <si>
    <t xml:space="preserve">NEDBANK (NEDFLEET)                      </t>
  </si>
  <si>
    <t xml:space="preserve">OPEN DOOR TRADERS CC                    </t>
  </si>
  <si>
    <t>WOODSTOCK</t>
  </si>
  <si>
    <t xml:space="preserve">THE SOUTH AFRICAN BREWERIES MALTING     </t>
  </si>
  <si>
    <t>CALEDON</t>
  </si>
  <si>
    <t xml:space="preserve">THE SIMBA GROUP                         </t>
  </si>
  <si>
    <t xml:space="preserve">MEXAN PRODUCTS                          </t>
  </si>
  <si>
    <t xml:space="preserve">TS ENGINEERING                          </t>
  </si>
  <si>
    <t xml:space="preserve">CONTINENTAL BISCUITS (PTY)LTD           </t>
  </si>
  <si>
    <t xml:space="preserve">FAIRFIELD DAIRY PTY LTD                 </t>
  </si>
  <si>
    <t>HOWICK</t>
  </si>
  <si>
    <t xml:space="preserve">DALE SPIRAL SYSTEMS &amp; BAKERY AUTOMATION </t>
  </si>
  <si>
    <t xml:space="preserve">ERNEST LOW                              </t>
  </si>
  <si>
    <t xml:space="preserve">RCL FOODS SUGAR &amp; MILLING PTY LTD       </t>
  </si>
  <si>
    <t xml:space="preserve">SAFRIPOL (PTY) LTD                      </t>
  </si>
  <si>
    <t xml:space="preserve">BEDFORD MACHANICAL AND PUMP SPARES      </t>
  </si>
  <si>
    <t xml:space="preserve">CONCORD FOOD &amp; DRUG DISTRIBUTORS        </t>
  </si>
  <si>
    <t>TROYEVILLE</t>
  </si>
  <si>
    <t xml:space="preserve">VOLTEX CAPE TOWN                        </t>
  </si>
  <si>
    <t xml:space="preserve">ANDRITZ DELKOR (PTY)LTD                 </t>
  </si>
  <si>
    <t>POMONA</t>
  </si>
  <si>
    <t xml:space="preserve">SYNC SYSTEMS                            </t>
  </si>
  <si>
    <t xml:space="preserve">VENK PAC                                </t>
  </si>
  <si>
    <t xml:space="preserve">BARACUDA HOLDINGS                       </t>
  </si>
  <si>
    <t xml:space="preserve">BOOYCO ENINEERING PTY LTD               </t>
  </si>
  <si>
    <t xml:space="preserve">RHINO VALVES PTY LTD                    </t>
  </si>
  <si>
    <t xml:space="preserve">PG BISON A DIV OF KAP DIVERSIFIED       </t>
  </si>
  <si>
    <t xml:space="preserve">PFG BUILDING GLASS                      </t>
  </si>
  <si>
    <t xml:space="preserve">ISANDO FOODS                            </t>
  </si>
  <si>
    <t xml:space="preserve">MACSTEEL COIL PROCESSING                </t>
  </si>
  <si>
    <t xml:space="preserve">BADER SA PTY LTD                        </t>
  </si>
  <si>
    <t xml:space="preserve">ROMATEX HOME TEXTILES PTY LTD           </t>
  </si>
  <si>
    <t xml:space="preserve">ISEGEN S. A                             </t>
  </si>
  <si>
    <t xml:space="preserve">MACSTEEL FUILD CONTROL                  </t>
  </si>
  <si>
    <t>ALTON</t>
  </si>
  <si>
    <t xml:space="preserve">BOYSEN EXHAUST TECHNOLOGY RSA (PTY) LTD </t>
  </si>
  <si>
    <t xml:space="preserve">AFGRI POULTRY (PTY)LTD                  </t>
  </si>
  <si>
    <t>SUNDRA</t>
  </si>
  <si>
    <t xml:space="preserve">ROCKFIBRE PTY LTD                       </t>
  </si>
  <si>
    <t>VEREENIGING</t>
  </si>
  <si>
    <t xml:space="preserve">REVLON SA                               </t>
  </si>
  <si>
    <t xml:space="preserve">NAMPAK CLOSURES                         </t>
  </si>
  <si>
    <t xml:space="preserve">JOHNSON MATTHEY SALTS                   </t>
  </si>
  <si>
    <t xml:space="preserve">TUPPERWARE SA                           </t>
  </si>
  <si>
    <t xml:space="preserve">ALPHAPAX PACKAGING CC                   </t>
  </si>
  <si>
    <t xml:space="preserve">TF DESIGN (PTY) LTD                     </t>
  </si>
  <si>
    <t xml:space="preserve">UNIVERSAL CLIPS                         </t>
  </si>
  <si>
    <t xml:space="preserve">ABERDER CABLES                          </t>
  </si>
  <si>
    <t xml:space="preserve">JOLUCHA ENGINEERING C.C                 </t>
  </si>
  <si>
    <t xml:space="preserve">PROSEP CHEMICALS                        </t>
  </si>
  <si>
    <t>BARTLETTS</t>
  </si>
  <si>
    <t xml:space="preserve">AMALGAMOTION                            </t>
  </si>
  <si>
    <t xml:space="preserve">REHAU POLYMER PTY LTD                   </t>
  </si>
  <si>
    <t xml:space="preserve">RHEINMETALL DENEL MUNITION              </t>
  </si>
  <si>
    <t>FIRGROVE</t>
  </si>
  <si>
    <t xml:space="preserve">UMVOTI MILLA (PTY)LTD                   </t>
  </si>
  <si>
    <t>GREYTOWN</t>
  </si>
  <si>
    <t xml:space="preserve">MR PRICE GROUP                          </t>
  </si>
  <si>
    <t xml:space="preserve">COMMUTER TRANSPORT ENGINEERING DUR      </t>
  </si>
  <si>
    <t>MASONS MILL</t>
  </si>
  <si>
    <t xml:space="preserve">RAINBOW FARMS PTY LTD P1                </t>
  </si>
  <si>
    <t xml:space="preserve">ABSOLUTE AFRICA                         </t>
  </si>
  <si>
    <t>MARLBORO</t>
  </si>
  <si>
    <t xml:space="preserve">MAKSAL TUBE PTY LTD                     </t>
  </si>
  <si>
    <t xml:space="preserve">THE OIL LABORATORY PTY LTD              </t>
  </si>
  <si>
    <t>BLANCHEVILLE</t>
  </si>
  <si>
    <t xml:space="preserve">CHEMLINK SA (PTY) LTD                   </t>
  </si>
  <si>
    <t>DALESIDE</t>
  </si>
  <si>
    <t xml:space="preserve">T.R.W OCCUPANT RESTRIANT SYST           </t>
  </si>
  <si>
    <t xml:space="preserve">S.A. MINT                               </t>
  </si>
  <si>
    <t xml:space="preserve">CAVALIER FOODS                          </t>
  </si>
  <si>
    <t>CULLINAN</t>
  </si>
  <si>
    <t xml:space="preserve">UNILIVER SA PTY LTD                     </t>
  </si>
  <si>
    <t xml:space="preserve">Javan Fabrications                      </t>
  </si>
  <si>
    <t>EPPINDUST</t>
  </si>
  <si>
    <t xml:space="preserve">Bosal Afrika Pty                        </t>
  </si>
  <si>
    <t xml:space="preserve">HULETT HYDRO EXTRUSIONS                 </t>
  </si>
  <si>
    <t xml:space="preserve">IN2JUICE                                </t>
  </si>
  <si>
    <t xml:space="preserve">GRIPPER &amp; CO (PTY) LTD                  </t>
  </si>
  <si>
    <t xml:space="preserve">PHARMAPAC (PTY)LTD                      </t>
  </si>
  <si>
    <t xml:space="preserve">GAYATRI PAPER MILLS PTY LTD             </t>
  </si>
  <si>
    <t xml:space="preserve">MARCE FIRE FIGHTING TECHNOLOGY          </t>
  </si>
  <si>
    <t>LYTTELTON</t>
  </si>
  <si>
    <t xml:space="preserve">AEL MINING SERVICES LTD                 </t>
  </si>
  <si>
    <t xml:space="preserve">PNR WAREHOUSE                           </t>
  </si>
  <si>
    <t>RANDVAAL</t>
  </si>
  <si>
    <t xml:space="preserve">FAMOUS BRANDS MANAGEMENT                </t>
  </si>
  <si>
    <t xml:space="preserve">VACUQUIP SOLUTIONS                      </t>
  </si>
  <si>
    <t xml:space="preserve">PHARMAPAC (PTY) LTD                     </t>
  </si>
  <si>
    <t>FALCON PARK</t>
  </si>
  <si>
    <t xml:space="preserve">RAINBOW FARMS (PTY) LTD - WOR           </t>
  </si>
  <si>
    <t xml:space="preserve">TMS NORTHFIELD ENGINEERING              </t>
  </si>
  <si>
    <t xml:space="preserve">FOSECO                                  </t>
  </si>
  <si>
    <t xml:space="preserve">BAYER PTY LTD                           </t>
  </si>
  <si>
    <t>VORSTERSKROON</t>
  </si>
  <si>
    <t xml:space="preserve">FAURECIA EMISSIONS CONTROL TECHNOLOGY   </t>
  </si>
  <si>
    <t>RETREAT</t>
  </si>
  <si>
    <t xml:space="preserve">RAINBOW FARMS (PTY) LTD                 </t>
  </si>
  <si>
    <t xml:space="preserve">PIONEER FOODS PTY LTD                   </t>
  </si>
  <si>
    <t xml:space="preserve">ILLOVO SUGAR LTD - SEZELA               </t>
  </si>
  <si>
    <t xml:space="preserve">ROV DURRANT ENGINEERING (PTY) LTD       </t>
  </si>
  <si>
    <t>ALBANY BAKERY A DIVISION OF TIGER BRANDS</t>
  </si>
  <si>
    <t xml:space="preserve">KHP HYDRAULICS &amp; PNEUMATICS (PTY) LTD   </t>
  </si>
  <si>
    <t xml:space="preserve">RAND INSTRUMENTS AFRICA (PTY)LTD        </t>
  </si>
  <si>
    <t xml:space="preserve">THE SAB BREWERIES LTD                   </t>
  </si>
  <si>
    <t xml:space="preserve">DURBAN WIRE &amp; PLASTICS PTY LTD          </t>
  </si>
  <si>
    <t xml:space="preserve">DYNAMIC SYSTEMS                         </t>
  </si>
  <si>
    <t>GLENASHLEY</t>
  </si>
  <si>
    <t xml:space="preserve">IMANA FOODS SA (PTY) LTD                </t>
  </si>
  <si>
    <t xml:space="preserve">TROPICAL PLASTICS &amp; PACKAGING (PTY) LTD </t>
  </si>
  <si>
    <t xml:space="preserve">BLISS CHEMICALS PTY LTD                 </t>
  </si>
  <si>
    <t xml:space="preserve">TECHNOGRAN                              </t>
  </si>
  <si>
    <t>LINKSFIELD</t>
  </si>
  <si>
    <t xml:space="preserve">VEBME                                   </t>
  </si>
  <si>
    <t xml:space="preserve">PRO PROJECT ENGINEERING                 </t>
  </si>
  <si>
    <t>KUILS RIVER</t>
  </si>
  <si>
    <t xml:space="preserve">CEMPACK                                 </t>
  </si>
  <si>
    <t xml:space="preserve">JLINC T/A TAMASA TRADING 213 CC         </t>
  </si>
  <si>
    <t xml:space="preserve">COLUMBIT PTY /T/A INDUSTRIES            </t>
  </si>
  <si>
    <t>CITY DEEP</t>
  </si>
  <si>
    <t xml:space="preserve">BURCAP PLASTIC PTY LTD                  </t>
  </si>
  <si>
    <t xml:space="preserve">Ladysmith Trading                       </t>
  </si>
  <si>
    <t xml:space="preserve">ZEN HAIR SALON                          </t>
  </si>
  <si>
    <t xml:space="preserve">ADVANCED COMPRESSOR TECHNOLOGY          </t>
  </si>
  <si>
    <t xml:space="preserve">ANYTHING ELECTRICAL CC                  </t>
  </si>
  <si>
    <t>AIRFIELD</t>
  </si>
  <si>
    <t xml:space="preserve">AS AUTOMATIONS SOLUTIONS CC             </t>
  </si>
  <si>
    <t>DAGGAFONTEIN</t>
  </si>
  <si>
    <t xml:space="preserve">AUTOMA MULTI STYRENE PTY LTD            </t>
  </si>
  <si>
    <t xml:space="preserve">VALIDUS MEDICAL (PTY) LTD               </t>
  </si>
  <si>
    <t xml:space="preserve">NEW STYLE PRK                           </t>
  </si>
  <si>
    <t>JORDAN &amp; CO A DIV BOLTON FOOTWEAR PTY LT</t>
  </si>
  <si>
    <t>ELSIES RIVER</t>
  </si>
  <si>
    <t xml:space="preserve">GANSBAAI MARINE PTY LTD                 </t>
  </si>
  <si>
    <t>GANSBAAI</t>
  </si>
  <si>
    <t xml:space="preserve">ZI-TECH VAVESTOCK (PTY)LTD              </t>
  </si>
  <si>
    <t xml:space="preserve">ADCOCK INGRASM CRITICAL CARE PTY LTD    </t>
  </si>
  <si>
    <t xml:space="preserve">ELECTRO TECHNICAL AGENCIES              </t>
  </si>
  <si>
    <t xml:space="preserve">PILOT TOOLS                             </t>
  </si>
  <si>
    <t xml:space="preserve">PAIL PAC PTY LTD                        </t>
  </si>
  <si>
    <t xml:space="preserve">ABI BOTTLING PTY LTD                    </t>
  </si>
  <si>
    <t xml:space="preserve">FOODCORP PTY LTD MILLING                </t>
  </si>
  <si>
    <t xml:space="preserve">RHODES FOOD GROUP                       </t>
  </si>
  <si>
    <t xml:space="preserve">SAINT GOBAIN CONSTRUCTION PRODUCTS      </t>
  </si>
  <si>
    <t xml:space="preserve">ADP AFRICA                              </t>
  </si>
  <si>
    <t xml:space="preserve">ERA STENE / ROSEMA BRICKS PTY LTD       </t>
  </si>
  <si>
    <t xml:space="preserve">GUTH NDE SA                             </t>
  </si>
  <si>
    <t>NEWLANDS</t>
  </si>
  <si>
    <t xml:space="preserve">MAVERICK ENGINEERING (PTY) LTD          </t>
  </si>
  <si>
    <t xml:space="preserve">IMPROCHEM (PTY)LTD                      </t>
  </si>
  <si>
    <t>JOHANNESBURG</t>
  </si>
  <si>
    <t xml:space="preserve">HIGH FORCE HYDRAULIC PNEUMATIC &amp;        </t>
  </si>
  <si>
    <t xml:space="preserve">S.A. LITHO PRINTINGS &amp; PACK. (S)        </t>
  </si>
  <si>
    <t xml:space="preserve">HUNTER DOUGLAS S.A (PTY)LTD             </t>
  </si>
  <si>
    <t xml:space="preserve">HEINEKEN SOUTH AFRICA (PTY) LTD         </t>
  </si>
  <si>
    <t>KLIPRIVIER</t>
  </si>
  <si>
    <t xml:space="preserve">G.U.D. HOLDINGS (PTY) LTD               </t>
  </si>
  <si>
    <t xml:space="preserve">TECHQUIP DEVELOPMENTS CC                </t>
  </si>
  <si>
    <t>HENNENMAN</t>
  </si>
  <si>
    <t xml:space="preserve">GAMTOO SAAGMEULE                        </t>
  </si>
  <si>
    <t>KIMBERLEY</t>
  </si>
  <si>
    <t xml:space="preserve">ZENTIVA SA PTY LTD                      </t>
  </si>
  <si>
    <t xml:space="preserve">OUTOTEC (RSA) PTY (PTY)                 </t>
  </si>
  <si>
    <t xml:space="preserve">RG BROSE AUTOMOTIVE COMPONENTS          </t>
  </si>
  <si>
    <t xml:space="preserve">NAMPAK TISSUE A DIVISION OF             </t>
  </si>
  <si>
    <t xml:space="preserve">AC PNEUMATICS                           </t>
  </si>
  <si>
    <t>WETTON</t>
  </si>
  <si>
    <t xml:space="preserve">MALESELA TAIHAN ELECTRIC CABLES PTY LTD </t>
  </si>
  <si>
    <t xml:space="preserve">TRU GAGE MACHINES                       </t>
  </si>
  <si>
    <t>KNIGHTS</t>
  </si>
  <si>
    <t xml:space="preserve">FLOWSEAL ENGINEERING CC                 </t>
  </si>
  <si>
    <t xml:space="preserve">NEOPAK PTY LTD                          </t>
  </si>
  <si>
    <t xml:space="preserve">LEONARD DIGLER (PTY)LTD                 </t>
  </si>
  <si>
    <t xml:space="preserve">TECTRA AUTOMATION                       </t>
  </si>
  <si>
    <t>WITFONTEIN</t>
  </si>
  <si>
    <t xml:space="preserve">BEIR SAFETY FOOTWEAR A DIVISION OF      </t>
  </si>
  <si>
    <t xml:space="preserve">HULAMIN OPERATIONS PTY LTD              </t>
  </si>
  <si>
    <t xml:space="preserve">ADJ ENGINEERING WORKS                   </t>
  </si>
  <si>
    <t xml:space="preserve">SOMTA TOOLS PTY LTD                     </t>
  </si>
  <si>
    <t xml:space="preserve">NORTHWEST BUS AND COACH SUPLIERS        </t>
  </si>
  <si>
    <t>SAMRAND</t>
  </si>
  <si>
    <t xml:space="preserve">BUCKLE PACKAGING                        </t>
  </si>
  <si>
    <t>JEPPESTOWN</t>
  </si>
  <si>
    <t xml:space="preserve">WILLARD BATTERIES (PTY) LTD             </t>
  </si>
  <si>
    <t xml:space="preserve">PREMIER FOODS (PTY) LTD                 </t>
  </si>
  <si>
    <t xml:space="preserve">SEDIBENG BREWERIES                      </t>
  </si>
  <si>
    <t xml:space="preserve">WEST END CLAY BRICKS (PTY) LTD          </t>
  </si>
  <si>
    <t>WESTONARIA</t>
  </si>
  <si>
    <t xml:space="preserve">Ascendis Supply Chain                   </t>
  </si>
  <si>
    <t xml:space="preserve">ACT LOGISTICS                           </t>
  </si>
  <si>
    <t xml:space="preserve">INSTRECH ENGINEERING                    </t>
  </si>
  <si>
    <t xml:space="preserve">SPECIALISED MECHANICAL                  </t>
  </si>
  <si>
    <t>RIETFONTEIN</t>
  </si>
  <si>
    <t xml:space="preserve">BMG ROSSLYN 0182                        </t>
  </si>
  <si>
    <t xml:space="preserve">BIRD MACHINES CC                        </t>
  </si>
  <si>
    <t>WHITE RIVER</t>
  </si>
  <si>
    <t xml:space="preserve">MICROMATH TRADING 168 CC                </t>
  </si>
  <si>
    <t xml:space="preserve">DES GROUP (PTY)LTD                      </t>
  </si>
  <si>
    <t xml:space="preserve">SPERO SENSORS &amp; INSTRUMENTS PTY LTD     </t>
  </si>
  <si>
    <t xml:space="preserve">SKYNET WORLWIDE EXP                     </t>
  </si>
  <si>
    <t xml:space="preserve">ELPACK ELECTRICAL CONTRACTORS Cc        </t>
  </si>
  <si>
    <t xml:space="preserve">VITAL HEALTH FOODS PTY LTD              </t>
  </si>
  <si>
    <t xml:space="preserve">CKV ENGINEERING                         </t>
  </si>
  <si>
    <t xml:space="preserve">BME PACKAGING CC                        </t>
  </si>
  <si>
    <t>LONGMEADOW EXT 8</t>
  </si>
  <si>
    <t xml:space="preserve">IDWALA CARBONATES                       </t>
  </si>
  <si>
    <t xml:space="preserve">UNIVERSAL PAPER MANUFATUCRERS           </t>
  </si>
  <si>
    <t xml:space="preserve">AIRBUS DS OPTRONICS PTY LTD             </t>
  </si>
  <si>
    <t xml:space="preserve">TORRE AUTOMOTIVE (PTY) LTD              </t>
  </si>
  <si>
    <t xml:space="preserve">SKYNET PORT ELIZABETH                   </t>
  </si>
  <si>
    <t xml:space="preserve">CSM BEARINGS &amp; PNUEMATIC SUPPLIES       </t>
  </si>
  <si>
    <t>DA NOVA</t>
  </si>
  <si>
    <t xml:space="preserve">CHW DESIGN CC                           </t>
  </si>
  <si>
    <t xml:space="preserve">TRANSPACO CORES &amp; TUBES (PTY) LTD       </t>
  </si>
  <si>
    <t xml:space="preserve">IDWALA INDUSTRIAL HOLDINGS LTD          </t>
  </si>
  <si>
    <t>DANIELSKUIL</t>
  </si>
  <si>
    <t xml:space="preserve">CORRUSEAL CORRUGATED KZN PTY LTD        </t>
  </si>
  <si>
    <t xml:space="preserve">BLENDCOR (PTY) LTD                      </t>
  </si>
  <si>
    <t>FYNNLAND</t>
  </si>
  <si>
    <t>QUEENSTOWN</t>
  </si>
  <si>
    <t xml:space="preserve">NESTLE SOUTH AFRICA (PTY) LTD           </t>
  </si>
  <si>
    <t xml:space="preserve">JOHN BEAN TECHNOLOGIES PTY LTD          </t>
  </si>
  <si>
    <t>BRACKENFELL</t>
  </si>
  <si>
    <t xml:space="preserve">FILKRAFT ( PTY) LTD                     </t>
  </si>
  <si>
    <t xml:space="preserve">A C PNEUMATICS                          </t>
  </si>
  <si>
    <t xml:space="preserve">DIVFOOD / NAMPAK                        </t>
  </si>
  <si>
    <t xml:space="preserve">TRM SUPPLIES CC                         </t>
  </si>
  <si>
    <t xml:space="preserve">CYCLONE INDUSTRIES PTY LTD              </t>
  </si>
  <si>
    <t xml:space="preserve">MYKATRADE 39CC                          </t>
  </si>
  <si>
    <t xml:space="preserve">PIONEER FOODS GROCERIES                 </t>
  </si>
  <si>
    <t xml:space="preserve">DUTTON PLASTICS ENGINEERING             </t>
  </si>
  <si>
    <t xml:space="preserve">ROCBOLT TECHNOLGIES                     </t>
  </si>
  <si>
    <t xml:space="preserve">COIN DE MIRE                            </t>
  </si>
  <si>
    <t xml:space="preserve">PARAMOUNT ADVACED TECHNOLOGIES          </t>
  </si>
  <si>
    <t xml:space="preserve">DG IMPEX CC                             </t>
  </si>
  <si>
    <t>KELVIN</t>
  </si>
  <si>
    <t>PORT SHEPSTONE</t>
  </si>
  <si>
    <t xml:space="preserve">SCHULLPAK GAUTENG (PTY)LTD              </t>
  </si>
  <si>
    <t xml:space="preserve">WIKA INSTRUMENTS (PTY)LTD               </t>
  </si>
  <si>
    <t xml:space="preserve">IMFUYO PROJECTS (PTY)LTD                </t>
  </si>
  <si>
    <t>APEX EXT 3</t>
  </si>
  <si>
    <t xml:space="preserve">ACAP HYDRO PNEUMATIC SUPPLY CC          </t>
  </si>
  <si>
    <t xml:space="preserve">PLEXIPHON 190 CC                        </t>
  </si>
  <si>
    <t>MARLANDS</t>
  </si>
  <si>
    <t xml:space="preserve">ACTISOL CC T/A EX-ES GENERAL            </t>
  </si>
  <si>
    <t xml:space="preserve">TRANSVAAL HYDRAULICS                    </t>
  </si>
  <si>
    <t xml:space="preserve">CAPE GATE PTY LTD                       </t>
  </si>
  <si>
    <t xml:space="preserve">HYDRABERG HYDRAULICS CC                 </t>
  </si>
  <si>
    <t xml:space="preserve">FLEXONICS                               </t>
  </si>
  <si>
    <t xml:space="preserve">RYMCO PTY LTD ACHOR YEAST               </t>
  </si>
  <si>
    <t xml:space="preserve">CAPE SWEETENERS                         </t>
  </si>
  <si>
    <t xml:space="preserve">CONTROLELECTRIC - GARETH CC             </t>
  </si>
  <si>
    <t>Briardene</t>
  </si>
  <si>
    <t xml:space="preserve">GEDORE TOOLS (PTY) LTD                  </t>
  </si>
  <si>
    <t xml:space="preserve">CSIR CENTRAL PROCUREMENT OFFICE         </t>
  </si>
  <si>
    <t xml:space="preserve">DANNTECH  CC                            </t>
  </si>
  <si>
    <t xml:space="preserve">TENNECO EMISSION CONTROL                </t>
  </si>
  <si>
    <t xml:space="preserve">IPACKCHEM PTY LTD                       </t>
  </si>
  <si>
    <t xml:space="preserve">KIMBERLY CLARK                          </t>
  </si>
  <si>
    <t xml:space="preserve">AM SYSTEMS INTEGRATION                  </t>
  </si>
  <si>
    <t xml:space="preserve">BREWBEV                                 </t>
  </si>
  <si>
    <t xml:space="preserve">KLT AUTOMATION &amp; TUBLAR PRODUCT PTY LTD </t>
  </si>
  <si>
    <t xml:space="preserve">PUMPS &amp; TRANSMISSION                    </t>
  </si>
  <si>
    <t>PIET RETIEF</t>
  </si>
  <si>
    <t xml:space="preserve">MVA BRICKS CC                           </t>
  </si>
  <si>
    <t xml:space="preserve">ATL BLOW MOULDERS                       </t>
  </si>
  <si>
    <t>RISPARK</t>
  </si>
  <si>
    <t xml:space="preserve">PIONEER FOODS (PTY)LTD                  </t>
  </si>
  <si>
    <t xml:space="preserve">ACCUTECH WEIGHING SERVICES              </t>
  </si>
  <si>
    <t xml:space="preserve">COMPRESSED AIR DRIERS &amp; FILTERS         </t>
  </si>
  <si>
    <t>EASTLEIGH</t>
  </si>
  <si>
    <t xml:space="preserve">GRAVMAX                                 </t>
  </si>
  <si>
    <t>DE KROON</t>
  </si>
  <si>
    <t xml:space="preserve">TECHNOVAA PACKAGING                     </t>
  </si>
  <si>
    <t xml:space="preserve">BARNES REINFORCING INDUSTRIES           </t>
  </si>
  <si>
    <t xml:space="preserve">K SNACKS                                </t>
  </si>
  <si>
    <t xml:space="preserve">P HOUGH / DNJE                          </t>
  </si>
  <si>
    <t>VEOLIA WATER SOLUTIONS &amp; TECHNOLOGIES SA</t>
  </si>
  <si>
    <t xml:space="preserve">ANGLO OPERATIONS (PTY) LTD              </t>
  </si>
  <si>
    <t>CROWN MINES</t>
  </si>
  <si>
    <t xml:space="preserve">COCA COLA BEVERAGES SA(Pty) LTD         </t>
  </si>
  <si>
    <t xml:space="preserve">PHARMA - Q PTY LTD                      </t>
  </si>
  <si>
    <t>INDUSTRIA WEST</t>
  </si>
  <si>
    <t xml:space="preserve">Slk Bolt And Nuts                       </t>
  </si>
  <si>
    <t xml:space="preserve">CHC RESOURECES DEPORT                   </t>
  </si>
  <si>
    <t xml:space="preserve">G U D Holdings                          </t>
  </si>
  <si>
    <t xml:space="preserve">NECSA                                   </t>
  </si>
  <si>
    <t xml:space="preserve">UNIQUE HYDRA (PTY)LTD                   </t>
  </si>
  <si>
    <t xml:space="preserve">BM FOOD MANUFACTURERS                   </t>
  </si>
  <si>
    <t xml:space="preserve">MONITECH                                </t>
  </si>
  <si>
    <t>BRENTWOOD PARK</t>
  </si>
  <si>
    <t xml:space="preserve">MUDI APPLIEDTECHNOLOGY                  </t>
  </si>
  <si>
    <t xml:space="preserve">PPC CEMENT SA                           </t>
  </si>
  <si>
    <t xml:space="preserve">SUNNY PACKS MANUFACTURING (PTY)LTD      </t>
  </si>
  <si>
    <t xml:space="preserve">STEINHOBEL INSTRUMENTATION (PTY)LTD     </t>
  </si>
  <si>
    <t xml:space="preserve">FONTANA MANUFACTURERS PTY LTD           </t>
  </si>
  <si>
    <t xml:space="preserve">DEVCOTECH ELECTRICAL ENG                </t>
  </si>
  <si>
    <t xml:space="preserve">LYTTELTON DOLOMITE (PTY)LTD             </t>
  </si>
  <si>
    <t xml:space="preserve">FLOWESAER ENGINEERING CC                </t>
  </si>
  <si>
    <t xml:space="preserve">JENDAMARK AUTOMATION (PTY)LTD           </t>
  </si>
  <si>
    <t xml:space="preserve">DNH MANUFACTURING (PTY) LTD             </t>
  </si>
  <si>
    <t xml:space="preserve">ADIENT PASDEC PTY                       </t>
  </si>
  <si>
    <t xml:space="preserve">TRAX INTERCONNECT                       </t>
  </si>
  <si>
    <t xml:space="preserve">CLOVER SA                               </t>
  </si>
  <si>
    <t xml:space="preserve">MERCEDES BENZ TRAINING CENTRE           </t>
  </si>
  <si>
    <t xml:space="preserve">MODERN PREOCESSSING EQUIPMENT CC        </t>
  </si>
  <si>
    <t xml:space="preserve">SABRIX PTY LTD                          </t>
  </si>
  <si>
    <t xml:space="preserve">DOUGLASDALE DAIRY PTY LTD               </t>
  </si>
  <si>
    <t>BRYANSTON</t>
  </si>
  <si>
    <t xml:space="preserve">CT SPARES AND MAITENCE                  </t>
  </si>
  <si>
    <t xml:space="preserve">SANOFI INDUSTRIES SA (PTY)LTD           </t>
  </si>
  <si>
    <t xml:space="preserve">TITUS CONSULTING CC                     </t>
  </si>
  <si>
    <t>GONUBIE</t>
  </si>
  <si>
    <t xml:space="preserve">AFRICAN CRYOGENICS                      </t>
  </si>
  <si>
    <t xml:space="preserve">NEW ENTERPRISE TRADING PTY LTD          </t>
  </si>
  <si>
    <t xml:space="preserve">K R INDUSTRIAL &amp; AUTOMOTIVE SUPPLIES    </t>
  </si>
  <si>
    <t>CLAIRWOOD</t>
  </si>
  <si>
    <t xml:space="preserve">SASOL NITRO                             </t>
  </si>
  <si>
    <t>Rustenburg</t>
  </si>
  <si>
    <t xml:space="preserve">UNIQUE DAIRY PRODUCTS                   </t>
  </si>
  <si>
    <t xml:space="preserve">STENSON GLOBAL                          </t>
  </si>
  <si>
    <t xml:space="preserve">ACK SOLUTIONS PTY LTD                   </t>
  </si>
  <si>
    <t xml:space="preserve">MED ENGINEERING (PTY) LTD               </t>
  </si>
  <si>
    <t xml:space="preserve">GRAMEC PTY LTD                          </t>
  </si>
  <si>
    <t>BRAMLEY</t>
  </si>
  <si>
    <t xml:space="preserve">ABI DIV OF SAB LTD                      </t>
  </si>
  <si>
    <t xml:space="preserve">SOUTH AFRICAN BUREAU OF STANDARDS       </t>
  </si>
  <si>
    <t>GROENKLOOF</t>
  </si>
  <si>
    <t xml:space="preserve">PROXA (PTY) LTD                         </t>
  </si>
  <si>
    <t xml:space="preserve">WORLD POWER PRODUCTS                    </t>
  </si>
  <si>
    <t>TURFFONTEIN</t>
  </si>
  <si>
    <t xml:space="preserve">PHARMACHEM LABORATORIES (PTY0LTD        </t>
  </si>
  <si>
    <t xml:space="preserve">PJ ENGINEERING                          </t>
  </si>
  <si>
    <t xml:space="preserve">VAAL FLUID SYSTEMS SA (PTY) LTD         </t>
  </si>
  <si>
    <t xml:space="preserve">COCA COLA CANNERS OF SA                 </t>
  </si>
  <si>
    <t xml:space="preserve">GRAHAMSTOWN BRICK PTL LTD               </t>
  </si>
  <si>
    <t>GRAHAMSTOWN</t>
  </si>
  <si>
    <t xml:space="preserve">T R W OCCUPANT RESTRIANT SYST           </t>
  </si>
  <si>
    <t xml:space="preserve">MACSTEEL FLUID CONTROL                  </t>
  </si>
  <si>
    <t xml:space="preserve">NEOPAK                                  </t>
  </si>
  <si>
    <t xml:space="preserve">ROHLIG JOHANNESBURG MAIN WHERHOUSE      </t>
  </si>
  <si>
    <t>LONGMEADOW EXT 2</t>
  </si>
  <si>
    <t xml:space="preserve">COMPTECH ELECTRONICS                    </t>
  </si>
  <si>
    <t xml:space="preserve">GILBOT GENERAL ENG (PTY)LTD             </t>
  </si>
  <si>
    <t xml:space="preserve">SIETECH CC                              </t>
  </si>
  <si>
    <t xml:space="preserve">KIMMINS ENGINEERING SERVICES            </t>
  </si>
  <si>
    <t xml:space="preserve">GEOMETRIC GENERAL MANUFACTURING CC      </t>
  </si>
  <si>
    <t xml:space="preserve">JAM INTERNATIONAL                       </t>
  </si>
  <si>
    <t>HONEYDEW</t>
  </si>
  <si>
    <t xml:space="preserve">BEARMA STAAL BK                         </t>
  </si>
  <si>
    <t xml:space="preserve">VANESCO PTY LTD                         </t>
  </si>
  <si>
    <t>ROBERTVILLE</t>
  </si>
  <si>
    <t xml:space="preserve">ORION ENGINEERED CARDONS PTY LTD        </t>
  </si>
  <si>
    <t xml:space="preserve">TONGAAT HULLET STARCH                   </t>
  </si>
  <si>
    <t xml:space="preserve">AUTOCAST SOUTH AFRICA (PTY) LTD         </t>
  </si>
  <si>
    <t xml:space="preserve">AFDIA PTY LTD                           </t>
  </si>
  <si>
    <t>DOORNPOORT</t>
  </si>
  <si>
    <t xml:space="preserve">LODOX SYSTEMS (PTY)LTD                  </t>
  </si>
  <si>
    <t xml:space="preserve">LEONARD DINGLER PTY LTD                 </t>
  </si>
  <si>
    <t xml:space="preserve">LAFARGE INDUSTRIES SA                   </t>
  </si>
  <si>
    <t xml:space="preserve">ELECTRICAL SUPPLIES CORP                </t>
  </si>
  <si>
    <t xml:space="preserve">UMKOMAAS LIGNIN                         </t>
  </si>
  <si>
    <t xml:space="preserve">THYSSENKRUPP INDUSTRIAL SOLUTION        </t>
  </si>
  <si>
    <t xml:space="preserve">TOMRA SORTING (PTY)LTD                  </t>
  </si>
  <si>
    <t>FERNDALE</t>
  </si>
  <si>
    <t xml:space="preserve">J MARK ENGINEERING                      </t>
  </si>
  <si>
    <t xml:space="preserve">UNIVERSITY OF STELLENBOSCH CREDITORS    </t>
  </si>
  <si>
    <t xml:space="preserve">ADCOCK INGRAM HEALTHCARE                </t>
  </si>
  <si>
    <t xml:space="preserve">ZETES (PTY)LTD                          </t>
  </si>
  <si>
    <t xml:space="preserve">GREIF SA PTY LTD                        </t>
  </si>
  <si>
    <t xml:space="preserve">WARSHAY INVESTMENTS (PTY)LTD            </t>
  </si>
  <si>
    <t xml:space="preserve">ENVISION AFRICA                         </t>
  </si>
  <si>
    <t>GLENMARAIS</t>
  </si>
  <si>
    <t xml:space="preserve">PHILAFRICA FOOD PTY LTD                 </t>
  </si>
  <si>
    <t xml:space="preserve">NESTLE SOUTH AFRICA PTY LTD             </t>
  </si>
  <si>
    <t xml:space="preserve">BCG STAINLESS STEEL SERVICES CC         </t>
  </si>
  <si>
    <t xml:space="preserve">L'OREAL MANUFACTURING (PTY)LTD          </t>
  </si>
  <si>
    <t xml:space="preserve">PIONEER FOOD PTY LTD                    </t>
  </si>
  <si>
    <t xml:space="preserve">GRUNDFOS                                </t>
  </si>
  <si>
    <t>MEADOWBROOK</t>
  </si>
  <si>
    <t xml:space="preserve">ANGLOGOLD ASHANTI                       </t>
  </si>
  <si>
    <t xml:space="preserve">STRATEGY ELECTRICAL                     </t>
  </si>
  <si>
    <t xml:space="preserve">KDP HYDRAULIC SERVICES &amp; ENG CC         </t>
  </si>
  <si>
    <t xml:space="preserve">FAIR PLASTICS PACKAGING                 </t>
  </si>
  <si>
    <t xml:space="preserve">PBA ENGINEERING                         </t>
  </si>
  <si>
    <t xml:space="preserve">ACTOM PTY LTD                           </t>
  </si>
  <si>
    <t xml:space="preserve">FAURENTIA INTERIOR SYSTEMS              </t>
  </si>
  <si>
    <t xml:space="preserve">GRW COMMERCIALS (PTY)LTD                </t>
  </si>
  <si>
    <t xml:space="preserve">A.P.L. CARTONS (PTY) LTD                </t>
  </si>
  <si>
    <t xml:space="preserve">TONGAAT HULETT STARCH PTY LTD           </t>
  </si>
  <si>
    <t xml:space="preserve">JOHNSON AND JOHNSON (PTY) LTD           </t>
  </si>
  <si>
    <t xml:space="preserve">MOTION TRONIC Cc                        </t>
  </si>
  <si>
    <t>WATERFALL</t>
  </si>
  <si>
    <t xml:space="preserve">DES GROUP PTY LTD                       </t>
  </si>
  <si>
    <t xml:space="preserve">THE BIOVAC INSTITUTE                    </t>
  </si>
  <si>
    <t>PINELANDS</t>
  </si>
  <si>
    <t xml:space="preserve">PAILPRINT PTY LTD                       </t>
  </si>
  <si>
    <t xml:space="preserve">PEAKERS OPERATION PTY LTD               </t>
  </si>
  <si>
    <t>UMHLANGA RIDGE</t>
  </si>
  <si>
    <t xml:space="preserve">PBA EQUIPMENT PTY LTD                   </t>
  </si>
  <si>
    <t xml:space="preserve">UNIVERSAL PAPER MANUFACTURERS           </t>
  </si>
  <si>
    <t xml:space="preserve">FREDDY HIRCH &amp; CO                       </t>
  </si>
  <si>
    <t xml:space="preserve">NICRO INDUSTRIAL                        </t>
  </si>
  <si>
    <t xml:space="preserve">PREMIUM IDEAS SA (PTY)L.T.D             </t>
  </si>
  <si>
    <t xml:space="preserve">AFRILEK AUTOMATION                      </t>
  </si>
  <si>
    <t>AMANZIMTOTI</t>
  </si>
  <si>
    <t>KLERKSOORD</t>
  </si>
  <si>
    <t xml:space="preserve">MYKAS PLASTICS CC                       </t>
  </si>
  <si>
    <t>LENASIA</t>
  </si>
  <si>
    <t>FISCHER STAINLESS STEEL TUBING S.A PTY L</t>
  </si>
  <si>
    <t xml:space="preserve">THUSO MILLS                             </t>
  </si>
  <si>
    <t>BOTHAVILLE</t>
  </si>
  <si>
    <t xml:space="preserve">MICRO DUST EXTRACTION SERVICES C        </t>
  </si>
  <si>
    <t xml:space="preserve">SILVERTON ENGINEERING                   </t>
  </si>
  <si>
    <t xml:space="preserve">HUHTAMAKI DIV FLEXIBLE                  </t>
  </si>
  <si>
    <t xml:space="preserve">SDK AGENCIES CC                         </t>
  </si>
  <si>
    <t xml:space="preserve">ZF ACTIVE &amp; PASSIVE SAFTEY TECHNOLOGY   </t>
  </si>
  <si>
    <t xml:space="preserve">COCHRANE STEEL                          </t>
  </si>
  <si>
    <t xml:space="preserve">AGM 2 TRUST                             </t>
  </si>
  <si>
    <t>LOTHAIR</t>
  </si>
  <si>
    <t xml:space="preserve">THE SIMBA GROUP LTD                     </t>
  </si>
  <si>
    <t xml:space="preserve">DURMALAR (PTY) LTD                      </t>
  </si>
  <si>
    <t>KRUINHOF</t>
  </si>
  <si>
    <t xml:space="preserve">UNILIVER                                </t>
  </si>
  <si>
    <t xml:space="preserve">EXPLOSION PROTECTED                     </t>
  </si>
  <si>
    <t xml:space="preserve">ILLOVO SUGAR LTD-UMZIMKULU              </t>
  </si>
  <si>
    <t xml:space="preserve">CLOVER SA (PTY)LTD                      </t>
  </si>
  <si>
    <t xml:space="preserve">EUREKA CONSTRUCTION                     </t>
  </si>
  <si>
    <t xml:space="preserve">NEDAN REFINERY                          </t>
  </si>
  <si>
    <t>MOKOPANE</t>
  </si>
  <si>
    <t xml:space="preserve">BLACK SHEEP INDUSTRIES (PTY)LTD         </t>
  </si>
  <si>
    <t xml:space="preserve">RESCUE TECHNOLOGY CC                    </t>
  </si>
  <si>
    <t xml:space="preserve">LYTTELTON DOLOMITE                      </t>
  </si>
  <si>
    <t xml:space="preserve">ETVAAL MEUBELVERVAARDIGERS              </t>
  </si>
  <si>
    <t xml:space="preserve">DIESEL ELECTRICAL INDUSTRIES            </t>
  </si>
  <si>
    <t>GEDULD</t>
  </si>
  <si>
    <t xml:space="preserve">MULTIBRAKE SERVICES                     </t>
  </si>
  <si>
    <t>ELLATON</t>
  </si>
  <si>
    <t xml:space="preserve">SIDEL PACAGING                          </t>
  </si>
  <si>
    <t xml:space="preserve">SELONA INTERNATIONAL A.C.T PTY LTD      </t>
  </si>
  <si>
    <t xml:space="preserve">GRUPO ANTOLIN (PTY) LTD                 </t>
  </si>
  <si>
    <t xml:space="preserve">FESTIVE A DIV OF ASTRAL OPERATIONS LTD  </t>
  </si>
  <si>
    <t xml:space="preserve">BLUE SKIES                              </t>
  </si>
  <si>
    <t xml:space="preserve">DK COURIERS                             </t>
  </si>
  <si>
    <t xml:space="preserve">CULINARY, A DIVISION OF                 </t>
  </si>
  <si>
    <t xml:space="preserve">TAURUS PAPER PRODUCTS (PTY)LTD          </t>
  </si>
  <si>
    <t xml:space="preserve">MODIMAD CC                              </t>
  </si>
  <si>
    <t xml:space="preserve">IRVIN &amp; JOHNSON LTD                     </t>
  </si>
  <si>
    <t xml:space="preserve">MAIN STREET 1477 (PTY) LTD              </t>
  </si>
  <si>
    <t>WOODMEAD</t>
  </si>
  <si>
    <t xml:space="preserve">BANDINI CHEESE PTY LTD                  </t>
  </si>
  <si>
    <t>DOORNKOP</t>
  </si>
  <si>
    <t xml:space="preserve">ID CONTROL SOLUTIONS (PTY)LTD           </t>
  </si>
  <si>
    <t xml:space="preserve">CTP PRINTERS CPT                        </t>
  </si>
  <si>
    <t xml:space="preserve">LAUB ENGIEERING PTY LTD                 </t>
  </si>
  <si>
    <t xml:space="preserve">THE ANDERSON LID CO.                    </t>
  </si>
  <si>
    <t xml:space="preserve">PICABIZ 304                             </t>
  </si>
  <si>
    <t>LONEHILL</t>
  </si>
  <si>
    <t xml:space="preserve">CSIR PRETORIA                           </t>
  </si>
  <si>
    <t xml:space="preserve">FLOMECH CC                              </t>
  </si>
  <si>
    <t>GLEN ANIL</t>
  </si>
  <si>
    <t xml:space="preserve">PRECISION METAL PRODUCTS                </t>
  </si>
  <si>
    <t xml:space="preserve">SOUTH DEEP GOLD MINE                    </t>
  </si>
  <si>
    <t xml:space="preserve">BERMAR HYDRAULICS                       </t>
  </si>
  <si>
    <t xml:space="preserve">EASTCAPE MIDLANDS TVET COLLEGE          </t>
  </si>
  <si>
    <t xml:space="preserve">CCG CABLE TERMINATIONS                  </t>
  </si>
  <si>
    <t xml:space="preserve">KARAN BEEF FEEDLOT                      </t>
  </si>
  <si>
    <t xml:space="preserve">RYMCO PTY LTD T/A ANCHOR YEAST          </t>
  </si>
  <si>
    <t xml:space="preserve">WANG ON FIBRES (PTY)LTD                 </t>
  </si>
  <si>
    <t xml:space="preserve">FLSMIDTH (PTY) LTD                      </t>
  </si>
  <si>
    <t>CONSTANTIA KLOOF</t>
  </si>
  <si>
    <t xml:space="preserve">ELECTRO-MECH SERVICES                   </t>
  </si>
  <si>
    <t xml:space="preserve">PFISTERER PTY LTD                       </t>
  </si>
  <si>
    <t xml:space="preserve">SMITHS PLASTICS PTY LTD                 </t>
  </si>
  <si>
    <t xml:space="preserve">HOPFAST SUPPLIES CC                     </t>
  </si>
  <si>
    <t xml:space="preserve">SHUKELA TRAINING CENTRE P/L             </t>
  </si>
  <si>
    <t xml:space="preserve">WICTRA HOLDINGS PTY LTD                 </t>
  </si>
  <si>
    <t xml:space="preserve">CTP GRAVURE                             </t>
  </si>
  <si>
    <t xml:space="preserve">UNILEVER SOUTH AFRICA (PTY)LTD          </t>
  </si>
  <si>
    <t xml:space="preserve">SMA ENGINEERING S.A. (PTY) LTD          </t>
  </si>
  <si>
    <t xml:space="preserve">BMG VREDENBURG 0415                     </t>
  </si>
  <si>
    <t>VREDENBERG</t>
  </si>
  <si>
    <t xml:space="preserve">WILMAR CONTINENTAL EDIBLE OILS          </t>
  </si>
  <si>
    <t xml:space="preserve">ZAMLINX                                 </t>
  </si>
  <si>
    <t>BREDELL</t>
  </si>
  <si>
    <t xml:space="preserve">MAXAM DANTEX SA PTY LTD                 </t>
  </si>
  <si>
    <t xml:space="preserve">ANDRITZ DELKOR PTY LTD                  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</si>
</sst>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666750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292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97"/>
  <sheetViews>
    <sheetView tabSelected="1" topLeftCell="A4144" workbookViewId="0">
      <selection activeCell="A4159" sqref="A4159"/>
    </sheetView>
  </sheetViews>
  <sheetFormatPr defaultRowHeight="12.75"/>
  <cols>
    <col min="1" max="1" width="11.5703125" customWidth="1"/>
    <col min="2" max="2" width="7.140625" customWidth="1"/>
    <col min="3" max="3" width="14" customWidth="1"/>
    <col min="4" max="4" width="6" customWidth="1"/>
    <col min="5" max="5" width="9.85546875" customWidth="1"/>
    <col min="6" max="6" width="11.140625" customWidth="1"/>
    <col min="7" max="8" width="4.5703125" customWidth="1"/>
    <col min="9" max="9" width="6.28515625" customWidth="1"/>
    <col min="10" max="10" width="7" customWidth="1"/>
    <col min="11" max="11" width="16.85546875" bestFit="1" customWidth="1"/>
    <col min="12" max="12" width="7.28515625" customWidth="1"/>
  </cols>
  <sheetData>
    <row r="1" spans="1:13" ht="41.25" customHeight="1">
      <c r="A1" s="1" t="s">
        <v>0</v>
      </c>
      <c r="B1" s="1" t="s">
        <v>1</v>
      </c>
      <c r="C1" s="24" t="s">
        <v>2</v>
      </c>
      <c r="D1" s="24"/>
      <c r="E1" s="24"/>
      <c r="F1" s="2"/>
      <c r="G1" s="2"/>
      <c r="H1" s="2"/>
      <c r="I1" s="2"/>
      <c r="J1" s="2"/>
      <c r="K1" s="2"/>
      <c r="L1" s="2"/>
      <c r="M1" s="2"/>
    </row>
    <row r="2" spans="1:13">
      <c r="A2" s="1" t="s">
        <v>3</v>
      </c>
      <c r="B2" s="3">
        <v>43497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1" t="s">
        <v>4</v>
      </c>
      <c r="B3" s="4">
        <v>0.62986111111111109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</row>
    <row r="6" spans="1:13">
      <c r="A6" s="6">
        <v>43497</v>
      </c>
      <c r="B6" s="7">
        <v>0.62847222222222221</v>
      </c>
      <c r="C6" s="2" t="str">
        <f>"FES1162670736"</f>
        <v>FES1162670736</v>
      </c>
      <c r="D6" s="2" t="s">
        <v>18</v>
      </c>
      <c r="E6" s="2" t="s">
        <v>19</v>
      </c>
      <c r="F6" s="2" t="str">
        <f>"2170672287 "</f>
        <v xml:space="preserve">2170672287 </v>
      </c>
      <c r="G6" s="2" t="str">
        <f>"ON1"</f>
        <v>ON1</v>
      </c>
      <c r="H6" s="2" t="s">
        <v>20</v>
      </c>
      <c r="I6" s="2" t="s">
        <v>21</v>
      </c>
      <c r="J6" s="2" t="str">
        <f>""</f>
        <v/>
      </c>
      <c r="K6" s="2" t="str">
        <f>"PFES1162670736_0001"</f>
        <v>PFES1162670736_0001</v>
      </c>
      <c r="L6" s="2">
        <v>1</v>
      </c>
      <c r="M6" s="2">
        <v>8</v>
      </c>
    </row>
    <row r="7" spans="1:13">
      <c r="A7" s="6">
        <v>43497</v>
      </c>
      <c r="B7" s="7">
        <v>0.62708333333333333</v>
      </c>
      <c r="C7" s="2" t="str">
        <f>"FES1162670531"</f>
        <v>FES1162670531</v>
      </c>
      <c r="D7" s="2" t="s">
        <v>18</v>
      </c>
      <c r="E7" s="2" t="s">
        <v>22</v>
      </c>
      <c r="F7" s="2" t="str">
        <f>"2170671212 "</f>
        <v xml:space="preserve">2170671212 </v>
      </c>
      <c r="G7" s="2" t="str">
        <f>"DBC"</f>
        <v>DBC</v>
      </c>
      <c r="H7" s="2" t="s">
        <v>20</v>
      </c>
      <c r="I7" s="2" t="s">
        <v>23</v>
      </c>
      <c r="J7" s="2" t="str">
        <f>""</f>
        <v/>
      </c>
      <c r="K7" s="2" t="str">
        <f>"PFES1162670531_0001"</f>
        <v>PFES1162670531_0001</v>
      </c>
      <c r="L7" s="2">
        <v>2</v>
      </c>
      <c r="M7" s="2">
        <v>22</v>
      </c>
    </row>
    <row r="8" spans="1:13">
      <c r="A8" s="6">
        <v>43496</v>
      </c>
      <c r="B8" s="7">
        <v>0.68541666666666667</v>
      </c>
      <c r="C8" s="2" t="str">
        <f>"FES1162670531"</f>
        <v>FES1162670531</v>
      </c>
      <c r="D8" s="2" t="s">
        <v>18</v>
      </c>
      <c r="E8" s="2" t="s">
        <v>24</v>
      </c>
      <c r="F8" s="2" t="str">
        <f>"2170669461 "</f>
        <v xml:space="preserve">2170669461 </v>
      </c>
      <c r="G8" s="2" t="str">
        <f t="shared" ref="G8:G21" si="0">"ON1"</f>
        <v>ON1</v>
      </c>
      <c r="H8" s="2" t="s">
        <v>20</v>
      </c>
      <c r="I8" s="2" t="s">
        <v>25</v>
      </c>
      <c r="J8" s="2" t="str">
        <f>""</f>
        <v/>
      </c>
      <c r="K8" s="2" t="str">
        <f>"PFES1162670531_0002"</f>
        <v>PFES1162670531_0002</v>
      </c>
      <c r="L8" s="2">
        <v>1</v>
      </c>
      <c r="M8" s="2">
        <v>1</v>
      </c>
    </row>
    <row r="9" spans="1:13">
      <c r="A9" s="6">
        <v>43497</v>
      </c>
      <c r="B9" s="7">
        <v>0.62638888888888888</v>
      </c>
      <c r="C9" s="2" t="str">
        <f>"FES1162670713"</f>
        <v>FES1162670713</v>
      </c>
      <c r="D9" s="2" t="s">
        <v>18</v>
      </c>
      <c r="E9" s="2" t="s">
        <v>26</v>
      </c>
      <c r="F9" s="2" t="str">
        <f>"2170672252 "</f>
        <v xml:space="preserve">2170672252 </v>
      </c>
      <c r="G9" s="2" t="str">
        <f t="shared" si="0"/>
        <v>ON1</v>
      </c>
      <c r="H9" s="2" t="s">
        <v>20</v>
      </c>
      <c r="I9" s="2" t="s">
        <v>27</v>
      </c>
      <c r="J9" s="2" t="str">
        <f>""</f>
        <v/>
      </c>
      <c r="K9" s="2" t="str">
        <f>"PFES1162670713_0001"</f>
        <v>PFES1162670713_0001</v>
      </c>
      <c r="L9" s="2">
        <v>1</v>
      </c>
      <c r="M9" s="2">
        <v>10</v>
      </c>
    </row>
    <row r="10" spans="1:13">
      <c r="A10" s="6">
        <v>43497</v>
      </c>
      <c r="B10" s="7">
        <v>0.625</v>
      </c>
      <c r="C10" s="2" t="str">
        <f>"FES1162670731"</f>
        <v>FES1162670731</v>
      </c>
      <c r="D10" s="2" t="s">
        <v>18</v>
      </c>
      <c r="E10" s="2" t="s">
        <v>19</v>
      </c>
      <c r="F10" s="2" t="str">
        <f>"2170672276 "</f>
        <v xml:space="preserve">2170672276 </v>
      </c>
      <c r="G10" s="2" t="str">
        <f t="shared" si="0"/>
        <v>ON1</v>
      </c>
      <c r="H10" s="2" t="s">
        <v>20</v>
      </c>
      <c r="I10" s="2" t="s">
        <v>21</v>
      </c>
      <c r="J10" s="2" t="str">
        <f>""</f>
        <v/>
      </c>
      <c r="K10" s="2" t="str">
        <f>"PFES1162670731_0001"</f>
        <v>PFES1162670731_0001</v>
      </c>
      <c r="L10" s="2">
        <v>1</v>
      </c>
      <c r="M10" s="2">
        <v>4</v>
      </c>
    </row>
    <row r="11" spans="1:13">
      <c r="A11" s="6">
        <v>43497</v>
      </c>
      <c r="B11" s="7">
        <v>0.625</v>
      </c>
      <c r="C11" s="2" t="str">
        <f>"FES1162670729"</f>
        <v>FES1162670729</v>
      </c>
      <c r="D11" s="2" t="s">
        <v>18</v>
      </c>
      <c r="E11" s="2" t="s">
        <v>28</v>
      </c>
      <c r="F11" s="2" t="str">
        <f>"2170672277 "</f>
        <v xml:space="preserve">2170672277 </v>
      </c>
      <c r="G11" s="2" t="str">
        <f t="shared" si="0"/>
        <v>ON1</v>
      </c>
      <c r="H11" s="2" t="s">
        <v>20</v>
      </c>
      <c r="I11" s="2" t="s">
        <v>29</v>
      </c>
      <c r="J11" s="2" t="str">
        <f>""</f>
        <v/>
      </c>
      <c r="K11" s="2" t="str">
        <f>"PFES1162670729_0001"</f>
        <v>PFES1162670729_0001</v>
      </c>
      <c r="L11" s="2">
        <v>1</v>
      </c>
      <c r="M11" s="2">
        <v>1</v>
      </c>
    </row>
    <row r="12" spans="1:13">
      <c r="A12" s="6">
        <v>43497</v>
      </c>
      <c r="B12" s="7">
        <v>0.62430555555555556</v>
      </c>
      <c r="C12" s="2" t="str">
        <f>"FES1162670723"</f>
        <v>FES1162670723</v>
      </c>
      <c r="D12" s="2" t="s">
        <v>18</v>
      </c>
      <c r="E12" s="2" t="s">
        <v>30</v>
      </c>
      <c r="F12" s="2" t="str">
        <f>"2170671448 "</f>
        <v xml:space="preserve">2170671448 </v>
      </c>
      <c r="G12" s="2" t="str">
        <f t="shared" si="0"/>
        <v>ON1</v>
      </c>
      <c r="H12" s="2" t="s">
        <v>20</v>
      </c>
      <c r="I12" s="2" t="s">
        <v>31</v>
      </c>
      <c r="J12" s="2" t="str">
        <f>""</f>
        <v/>
      </c>
      <c r="K12" s="2" t="str">
        <f>"PFES1162670723_0001"</f>
        <v>PFES1162670723_0001</v>
      </c>
      <c r="L12" s="2">
        <v>1</v>
      </c>
      <c r="M12" s="2">
        <v>1</v>
      </c>
    </row>
    <row r="13" spans="1:13">
      <c r="A13" s="6">
        <v>43497</v>
      </c>
      <c r="B13" s="7">
        <v>0.62361111111111112</v>
      </c>
      <c r="C13" s="2" t="str">
        <f>"FES1162670705"</f>
        <v>FES1162670705</v>
      </c>
      <c r="D13" s="2" t="s">
        <v>18</v>
      </c>
      <c r="E13" s="2" t="s">
        <v>32</v>
      </c>
      <c r="F13" s="2" t="str">
        <f>"2170672242 "</f>
        <v xml:space="preserve">2170672242 </v>
      </c>
      <c r="G13" s="2" t="str">
        <f t="shared" si="0"/>
        <v>ON1</v>
      </c>
      <c r="H13" s="2" t="s">
        <v>20</v>
      </c>
      <c r="I13" s="2" t="s">
        <v>33</v>
      </c>
      <c r="J13" s="2" t="str">
        <f>""</f>
        <v/>
      </c>
      <c r="K13" s="2" t="str">
        <f>"PFES1162670705_0001"</f>
        <v>PFES1162670705_0001</v>
      </c>
      <c r="L13" s="2">
        <v>1</v>
      </c>
      <c r="M13" s="2">
        <v>3</v>
      </c>
    </row>
    <row r="14" spans="1:13">
      <c r="A14" s="6">
        <v>43497</v>
      </c>
      <c r="B14" s="7">
        <v>0.62222222222222223</v>
      </c>
      <c r="C14" s="2" t="str">
        <f>"FES1162670724"</f>
        <v>FES1162670724</v>
      </c>
      <c r="D14" s="2" t="s">
        <v>18</v>
      </c>
      <c r="E14" s="2" t="s">
        <v>34</v>
      </c>
      <c r="F14" s="2" t="str">
        <f>"2170672069 "</f>
        <v xml:space="preserve">2170672069 </v>
      </c>
      <c r="G14" s="2" t="str">
        <f t="shared" si="0"/>
        <v>ON1</v>
      </c>
      <c r="H14" s="2" t="s">
        <v>20</v>
      </c>
      <c r="I14" s="2" t="s">
        <v>35</v>
      </c>
      <c r="J14" s="2" t="str">
        <f>""</f>
        <v/>
      </c>
      <c r="K14" s="2" t="str">
        <f>"PFES1162670724_0001"</f>
        <v>PFES1162670724_0001</v>
      </c>
      <c r="L14" s="2">
        <v>1</v>
      </c>
      <c r="M14" s="2">
        <v>9</v>
      </c>
    </row>
    <row r="15" spans="1:13">
      <c r="A15" s="6">
        <v>43497</v>
      </c>
      <c r="B15" s="7">
        <v>0.62152777777777779</v>
      </c>
      <c r="C15" s="2" t="str">
        <f>"FES1162670714"</f>
        <v>FES1162670714</v>
      </c>
      <c r="D15" s="2" t="s">
        <v>18</v>
      </c>
      <c r="E15" s="2" t="s">
        <v>36</v>
      </c>
      <c r="F15" s="2" t="str">
        <f>"2170672050 "</f>
        <v xml:space="preserve">2170672050 </v>
      </c>
      <c r="G15" s="2" t="str">
        <f t="shared" si="0"/>
        <v>ON1</v>
      </c>
      <c r="H15" s="2" t="s">
        <v>20</v>
      </c>
      <c r="I15" s="2" t="s">
        <v>37</v>
      </c>
      <c r="J15" s="2" t="str">
        <f>""</f>
        <v/>
      </c>
      <c r="K15" s="2" t="str">
        <f>"PFES1162670714_0001"</f>
        <v>PFES1162670714_0001</v>
      </c>
      <c r="L15" s="2">
        <v>1</v>
      </c>
      <c r="M15" s="2">
        <v>4</v>
      </c>
    </row>
    <row r="16" spans="1:13">
      <c r="A16" s="6">
        <v>43497</v>
      </c>
      <c r="B16" s="7">
        <v>0.61875000000000002</v>
      </c>
      <c r="C16" s="2" t="str">
        <f>"FES1162670728"</f>
        <v>FES1162670728</v>
      </c>
      <c r="D16" s="2" t="s">
        <v>18</v>
      </c>
      <c r="E16" s="2" t="s">
        <v>38</v>
      </c>
      <c r="F16" s="2" t="str">
        <f>"2170670099 "</f>
        <v xml:space="preserve">2170670099 </v>
      </c>
      <c r="G16" s="2" t="str">
        <f t="shared" si="0"/>
        <v>ON1</v>
      </c>
      <c r="H16" s="2" t="s">
        <v>20</v>
      </c>
      <c r="I16" s="2" t="s">
        <v>39</v>
      </c>
      <c r="J16" s="2" t="str">
        <f>""</f>
        <v/>
      </c>
      <c r="K16" s="2" t="str">
        <f>"PFES1162670728_0001"</f>
        <v>PFES1162670728_0001</v>
      </c>
      <c r="L16" s="2">
        <v>1</v>
      </c>
      <c r="M16" s="2">
        <v>2</v>
      </c>
    </row>
    <row r="17" spans="1:13">
      <c r="A17" s="6">
        <v>43497</v>
      </c>
      <c r="B17" s="7">
        <v>0.61805555555555558</v>
      </c>
      <c r="C17" s="2" t="str">
        <f>"FES1162670733"</f>
        <v>FES1162670733</v>
      </c>
      <c r="D17" s="2" t="s">
        <v>18</v>
      </c>
      <c r="E17" s="2" t="s">
        <v>32</v>
      </c>
      <c r="F17" s="2" t="str">
        <f>"2170672280 "</f>
        <v xml:space="preserve">2170672280 </v>
      </c>
      <c r="G17" s="2" t="str">
        <f t="shared" si="0"/>
        <v>ON1</v>
      </c>
      <c r="H17" s="2" t="s">
        <v>20</v>
      </c>
      <c r="I17" s="2" t="s">
        <v>33</v>
      </c>
      <c r="J17" s="2" t="str">
        <f>""</f>
        <v/>
      </c>
      <c r="K17" s="2" t="str">
        <f>"PFES1162670733_0001"</f>
        <v>PFES1162670733_0001</v>
      </c>
      <c r="L17" s="2">
        <v>1</v>
      </c>
      <c r="M17" s="2">
        <v>1</v>
      </c>
    </row>
    <row r="18" spans="1:13">
      <c r="A18" s="6">
        <v>43497</v>
      </c>
      <c r="B18" s="7">
        <v>0.61805555555555558</v>
      </c>
      <c r="C18" s="2" t="str">
        <f>"FES1162670727"</f>
        <v>FES1162670727</v>
      </c>
      <c r="D18" s="2" t="s">
        <v>18</v>
      </c>
      <c r="E18" s="2" t="s">
        <v>40</v>
      </c>
      <c r="F18" s="2" t="str">
        <f>"2170672273 "</f>
        <v xml:space="preserve">2170672273 </v>
      </c>
      <c r="G18" s="2" t="str">
        <f t="shared" si="0"/>
        <v>ON1</v>
      </c>
      <c r="H18" s="2" t="s">
        <v>20</v>
      </c>
      <c r="I18" s="2" t="s">
        <v>41</v>
      </c>
      <c r="J18" s="2" t="str">
        <f>""</f>
        <v/>
      </c>
      <c r="K18" s="2" t="str">
        <f>"PFES1162670727_0001"</f>
        <v>PFES1162670727_0001</v>
      </c>
      <c r="L18" s="2">
        <v>1</v>
      </c>
      <c r="M18" s="2">
        <v>1</v>
      </c>
    </row>
    <row r="19" spans="1:13">
      <c r="A19" s="6">
        <v>43497</v>
      </c>
      <c r="B19" s="7">
        <v>0.61736111111111114</v>
      </c>
      <c r="C19" s="2" t="str">
        <f>"FES1162670715"</f>
        <v>FES1162670715</v>
      </c>
      <c r="D19" s="2" t="s">
        <v>18</v>
      </c>
      <c r="E19" s="2" t="s">
        <v>42</v>
      </c>
      <c r="F19" s="2" t="str">
        <f>"2170672235 "</f>
        <v xml:space="preserve">2170672235 </v>
      </c>
      <c r="G19" s="2" t="str">
        <f t="shared" si="0"/>
        <v>ON1</v>
      </c>
      <c r="H19" s="2" t="s">
        <v>20</v>
      </c>
      <c r="I19" s="2" t="s">
        <v>43</v>
      </c>
      <c r="J19" s="2" t="str">
        <f>""</f>
        <v/>
      </c>
      <c r="K19" s="2" t="str">
        <f>"PFES1162670715_0001"</f>
        <v>PFES1162670715_0001</v>
      </c>
      <c r="L19" s="2">
        <v>1</v>
      </c>
      <c r="M19" s="2">
        <v>1</v>
      </c>
    </row>
    <row r="20" spans="1:13">
      <c r="A20" s="6">
        <v>43497</v>
      </c>
      <c r="B20" s="7">
        <v>0.61319444444444449</v>
      </c>
      <c r="C20" s="2" t="str">
        <f>"FES1162670721"</f>
        <v>FES1162670721</v>
      </c>
      <c r="D20" s="2" t="s">
        <v>18</v>
      </c>
      <c r="E20" s="2" t="s">
        <v>44</v>
      </c>
      <c r="F20" s="2" t="str">
        <f>"2170672265 "</f>
        <v xml:space="preserve">2170672265 </v>
      </c>
      <c r="G20" s="2" t="str">
        <f t="shared" si="0"/>
        <v>ON1</v>
      </c>
      <c r="H20" s="2" t="s">
        <v>20</v>
      </c>
      <c r="I20" s="2" t="s">
        <v>39</v>
      </c>
      <c r="J20" s="2" t="str">
        <f>""</f>
        <v/>
      </c>
      <c r="K20" s="2" t="str">
        <f>"PFES1162670721_0001"</f>
        <v>PFES1162670721_0001</v>
      </c>
      <c r="L20" s="2">
        <v>1</v>
      </c>
      <c r="M20" s="2">
        <v>2</v>
      </c>
    </row>
    <row r="21" spans="1:13">
      <c r="A21" s="6">
        <v>43497</v>
      </c>
      <c r="B21" s="7">
        <v>0.61249999999999993</v>
      </c>
      <c r="C21" s="2" t="str">
        <f>"FES1162670503"</f>
        <v>FES1162670503</v>
      </c>
      <c r="D21" s="2" t="s">
        <v>18</v>
      </c>
      <c r="E21" s="2" t="s">
        <v>45</v>
      </c>
      <c r="F21" s="2" t="str">
        <f>"2170671971 "</f>
        <v xml:space="preserve">2170671971 </v>
      </c>
      <c r="G21" s="2" t="str">
        <f t="shared" si="0"/>
        <v>ON1</v>
      </c>
      <c r="H21" s="2" t="s">
        <v>20</v>
      </c>
      <c r="I21" s="2" t="s">
        <v>46</v>
      </c>
      <c r="J21" s="2" t="str">
        <f>""</f>
        <v/>
      </c>
      <c r="K21" s="2" t="str">
        <f>"PFES1162670503_0001"</f>
        <v>PFES1162670503_0001</v>
      </c>
      <c r="L21" s="2">
        <v>1</v>
      </c>
      <c r="M21" s="2">
        <v>2</v>
      </c>
    </row>
    <row r="22" spans="1:13">
      <c r="A22" s="6">
        <v>43497</v>
      </c>
      <c r="B22" s="7">
        <v>0.60902777777777783</v>
      </c>
      <c r="C22" s="2" t="str">
        <f>"FES1162670692"</f>
        <v>FES1162670692</v>
      </c>
      <c r="D22" s="2" t="s">
        <v>18</v>
      </c>
      <c r="E22" s="2" t="s">
        <v>47</v>
      </c>
      <c r="F22" s="2" t="str">
        <f>"2170672233 "</f>
        <v xml:space="preserve">2170672233 </v>
      </c>
      <c r="G22" s="2" t="str">
        <f>"DBC"</f>
        <v>DBC</v>
      </c>
      <c r="H22" s="2" t="s">
        <v>20</v>
      </c>
      <c r="I22" s="2" t="s">
        <v>48</v>
      </c>
      <c r="J22" s="2" t="str">
        <f>""</f>
        <v/>
      </c>
      <c r="K22" s="2" t="str">
        <f>"PFES1162670692_0001"</f>
        <v>PFES1162670692_0001</v>
      </c>
      <c r="L22" s="2">
        <v>2</v>
      </c>
      <c r="M22" s="2">
        <v>36</v>
      </c>
    </row>
    <row r="23" spans="1:13">
      <c r="A23" s="6">
        <v>43496</v>
      </c>
      <c r="B23" s="7">
        <v>0.67708333333333337</v>
      </c>
      <c r="C23" s="2" t="str">
        <f>"FES1162670692"</f>
        <v>FES1162670692</v>
      </c>
      <c r="D23" s="2" t="s">
        <v>18</v>
      </c>
      <c r="E23" s="2" t="s">
        <v>49</v>
      </c>
      <c r="F23" s="2" t="str">
        <f>"2170672039 "</f>
        <v xml:space="preserve">2170672039 </v>
      </c>
      <c r="G23" s="2" t="str">
        <f>"ON1"</f>
        <v>ON1</v>
      </c>
      <c r="H23" s="2" t="s">
        <v>20</v>
      </c>
      <c r="I23" s="2" t="s">
        <v>50</v>
      </c>
      <c r="J23" s="2" t="str">
        <f>""</f>
        <v/>
      </c>
      <c r="K23" s="2" t="str">
        <f>"PFES1162670692_0002"</f>
        <v>PFES1162670692_0002</v>
      </c>
      <c r="L23" s="2">
        <v>1</v>
      </c>
      <c r="M23" s="2">
        <v>1</v>
      </c>
    </row>
    <row r="24" spans="1:13">
      <c r="A24" s="6">
        <v>43497</v>
      </c>
      <c r="B24" s="7">
        <v>0.6069444444444444</v>
      </c>
      <c r="C24" s="2" t="str">
        <f>"FES1162670702"</f>
        <v>FES1162670702</v>
      </c>
      <c r="D24" s="2" t="s">
        <v>18</v>
      </c>
      <c r="E24" s="2" t="s">
        <v>47</v>
      </c>
      <c r="F24" s="2" t="str">
        <f>"2170668879 "</f>
        <v xml:space="preserve">2170668879 </v>
      </c>
      <c r="G24" s="2" t="str">
        <f>"ON1"</f>
        <v>ON1</v>
      </c>
      <c r="H24" s="2" t="s">
        <v>20</v>
      </c>
      <c r="I24" s="2" t="s">
        <v>48</v>
      </c>
      <c r="J24" s="2" t="str">
        <f>""</f>
        <v/>
      </c>
      <c r="K24" s="2" t="str">
        <f>"PFES1162670702_0001"</f>
        <v>PFES1162670702_0001</v>
      </c>
      <c r="L24" s="2">
        <v>1</v>
      </c>
      <c r="M24" s="2">
        <v>6</v>
      </c>
    </row>
    <row r="25" spans="1:13">
      <c r="A25" s="6">
        <v>43497</v>
      </c>
      <c r="B25" s="7">
        <v>0.60625000000000007</v>
      </c>
      <c r="C25" s="2" t="str">
        <f>"FES1162670695"</f>
        <v>FES1162670695</v>
      </c>
      <c r="D25" s="2" t="s">
        <v>18</v>
      </c>
      <c r="E25" s="2" t="s">
        <v>47</v>
      </c>
      <c r="F25" s="2" t="str">
        <f>"2170667065 "</f>
        <v xml:space="preserve">2170667065 </v>
      </c>
      <c r="G25" s="2" t="str">
        <f>"ON1"</f>
        <v>ON1</v>
      </c>
      <c r="H25" s="2" t="s">
        <v>20</v>
      </c>
      <c r="I25" s="2" t="s">
        <v>48</v>
      </c>
      <c r="J25" s="2" t="str">
        <f>""</f>
        <v/>
      </c>
      <c r="K25" s="2" t="str">
        <f>"PFES1162670695_0001"</f>
        <v>PFES1162670695_0001</v>
      </c>
      <c r="L25" s="2">
        <v>2</v>
      </c>
      <c r="M25" s="2">
        <v>8</v>
      </c>
    </row>
    <row r="26" spans="1:13">
      <c r="A26" s="6">
        <v>43496</v>
      </c>
      <c r="B26" s="7">
        <v>0.67499999999999993</v>
      </c>
      <c r="C26" s="2" t="str">
        <f>"FES1162670695"</f>
        <v>FES1162670695</v>
      </c>
      <c r="D26" s="2" t="s">
        <v>18</v>
      </c>
      <c r="E26" s="2" t="s">
        <v>51</v>
      </c>
      <c r="F26" s="2" t="str">
        <f>"2170671995 "</f>
        <v xml:space="preserve">2170671995 </v>
      </c>
      <c r="G26" s="2" t="str">
        <f>"ON1"</f>
        <v>ON1</v>
      </c>
      <c r="H26" s="2" t="s">
        <v>20</v>
      </c>
      <c r="I26" s="2" t="s">
        <v>43</v>
      </c>
      <c r="J26" s="2" t="str">
        <f>""</f>
        <v/>
      </c>
      <c r="K26" s="2" t="str">
        <f>"PFES1162670695_0002"</f>
        <v>PFES1162670695_0002</v>
      </c>
      <c r="L26" s="2">
        <v>1</v>
      </c>
      <c r="M26" s="2">
        <v>1</v>
      </c>
    </row>
    <row r="27" spans="1:13">
      <c r="A27" s="6">
        <v>43497</v>
      </c>
      <c r="B27" s="7">
        <v>0.60416666666666663</v>
      </c>
      <c r="C27" s="2" t="str">
        <f>"FES1162670722"</f>
        <v>FES1162670722</v>
      </c>
      <c r="D27" s="2" t="s">
        <v>18</v>
      </c>
      <c r="E27" s="2" t="s">
        <v>52</v>
      </c>
      <c r="F27" s="2" t="str">
        <f>"2170672269 "</f>
        <v xml:space="preserve">2170672269 </v>
      </c>
      <c r="G27" s="2" t="str">
        <f>"DBC"</f>
        <v>DBC</v>
      </c>
      <c r="H27" s="2" t="s">
        <v>20</v>
      </c>
      <c r="I27" s="2" t="s">
        <v>53</v>
      </c>
      <c r="J27" s="2" t="str">
        <f>"FRAGILE OIL"</f>
        <v>FRAGILE OIL</v>
      </c>
      <c r="K27" s="2" t="str">
        <f>"PFES1162670722_0001"</f>
        <v>PFES1162670722_0001</v>
      </c>
      <c r="L27" s="2">
        <v>1</v>
      </c>
      <c r="M27" s="2">
        <v>4</v>
      </c>
    </row>
    <row r="28" spans="1:13">
      <c r="A28" s="6">
        <v>43497</v>
      </c>
      <c r="B28" s="7">
        <v>0.60138888888888886</v>
      </c>
      <c r="C28" s="2" t="str">
        <f>"FES1162670720"</f>
        <v>FES1162670720</v>
      </c>
      <c r="D28" s="2" t="s">
        <v>18</v>
      </c>
      <c r="E28" s="2" t="s">
        <v>44</v>
      </c>
      <c r="F28" s="2" t="str">
        <f>"2170672264 "</f>
        <v xml:space="preserve">2170672264 </v>
      </c>
      <c r="G28" s="2" t="str">
        <f t="shared" ref="G28:G52" si="1">"ON1"</f>
        <v>ON1</v>
      </c>
      <c r="H28" s="2" t="s">
        <v>20</v>
      </c>
      <c r="I28" s="2" t="s">
        <v>39</v>
      </c>
      <c r="J28" s="2" t="str">
        <f>""</f>
        <v/>
      </c>
      <c r="K28" s="2" t="str">
        <f>"PFES1162670720_0001"</f>
        <v>PFES1162670720_0001</v>
      </c>
      <c r="L28" s="2">
        <v>1</v>
      </c>
      <c r="M28" s="2">
        <v>3</v>
      </c>
    </row>
    <row r="29" spans="1:13">
      <c r="A29" s="6">
        <v>43497</v>
      </c>
      <c r="B29" s="7">
        <v>0.6</v>
      </c>
      <c r="C29" s="2" t="str">
        <f>"FES1162670711"</f>
        <v>FES1162670711</v>
      </c>
      <c r="D29" s="2" t="s">
        <v>18</v>
      </c>
      <c r="E29" s="2" t="s">
        <v>54</v>
      </c>
      <c r="F29" s="2" t="str">
        <f>"2170672230 "</f>
        <v xml:space="preserve">2170672230 </v>
      </c>
      <c r="G29" s="2" t="str">
        <f t="shared" si="1"/>
        <v>ON1</v>
      </c>
      <c r="H29" s="2" t="s">
        <v>20</v>
      </c>
      <c r="I29" s="2" t="s">
        <v>55</v>
      </c>
      <c r="J29" s="2" t="str">
        <f>""</f>
        <v/>
      </c>
      <c r="K29" s="2" t="str">
        <f>"PFES1162670711_0001"</f>
        <v>PFES1162670711_0001</v>
      </c>
      <c r="L29" s="2">
        <v>1</v>
      </c>
      <c r="M29" s="2">
        <v>3</v>
      </c>
    </row>
    <row r="30" spans="1:13">
      <c r="A30" s="6">
        <v>43497</v>
      </c>
      <c r="B30" s="7">
        <v>0.59930555555555554</v>
      </c>
      <c r="C30" s="2" t="str">
        <f>"FES1162670684"</f>
        <v>FES1162670684</v>
      </c>
      <c r="D30" s="2" t="s">
        <v>18</v>
      </c>
      <c r="E30" s="2" t="s">
        <v>56</v>
      </c>
      <c r="F30" s="2" t="str">
        <f>"2170671691 "</f>
        <v xml:space="preserve">2170671691 </v>
      </c>
      <c r="G30" s="2" t="str">
        <f t="shared" si="1"/>
        <v>ON1</v>
      </c>
      <c r="H30" s="2" t="s">
        <v>20</v>
      </c>
      <c r="I30" s="2" t="s">
        <v>57</v>
      </c>
      <c r="J30" s="2" t="str">
        <f>""</f>
        <v/>
      </c>
      <c r="K30" s="2" t="str">
        <f>"PFES1162670684_0001"</f>
        <v>PFES1162670684_0001</v>
      </c>
      <c r="L30" s="2">
        <v>1</v>
      </c>
      <c r="M30" s="2">
        <v>7</v>
      </c>
    </row>
    <row r="31" spans="1:13">
      <c r="A31" s="6">
        <v>43497</v>
      </c>
      <c r="B31" s="7">
        <v>0.59791666666666665</v>
      </c>
      <c r="C31" s="2" t="str">
        <f>"FES1162670700"</f>
        <v>FES1162670700</v>
      </c>
      <c r="D31" s="2" t="s">
        <v>18</v>
      </c>
      <c r="E31" s="2" t="s">
        <v>58</v>
      </c>
      <c r="F31" s="2" t="str">
        <f>"2170672238 "</f>
        <v xml:space="preserve">2170672238 </v>
      </c>
      <c r="G31" s="2" t="str">
        <f t="shared" si="1"/>
        <v>ON1</v>
      </c>
      <c r="H31" s="2" t="s">
        <v>20</v>
      </c>
      <c r="I31" s="2" t="s">
        <v>59</v>
      </c>
      <c r="J31" s="2" t="str">
        <f>""</f>
        <v/>
      </c>
      <c r="K31" s="2" t="str">
        <f>"PFES1162670700_0001"</f>
        <v>PFES1162670700_0001</v>
      </c>
      <c r="L31" s="2">
        <v>1</v>
      </c>
      <c r="M31" s="2">
        <v>1</v>
      </c>
    </row>
    <row r="32" spans="1:13">
      <c r="A32" s="6">
        <v>43497</v>
      </c>
      <c r="B32" s="7">
        <v>0.59722222222222221</v>
      </c>
      <c r="C32" s="2" t="str">
        <f>"FES1162670623"</f>
        <v>FES1162670623</v>
      </c>
      <c r="D32" s="2" t="s">
        <v>18</v>
      </c>
      <c r="E32" s="2" t="s">
        <v>60</v>
      </c>
      <c r="F32" s="2" t="str">
        <f>"2170672125 "</f>
        <v xml:space="preserve">2170672125 </v>
      </c>
      <c r="G32" s="2" t="str">
        <f t="shared" si="1"/>
        <v>ON1</v>
      </c>
      <c r="H32" s="2" t="s">
        <v>20</v>
      </c>
      <c r="I32" s="2" t="s">
        <v>61</v>
      </c>
      <c r="J32" s="2" t="str">
        <f>""</f>
        <v/>
      </c>
      <c r="K32" s="2" t="str">
        <f>"PFES1162670623_0001"</f>
        <v>PFES1162670623_0001</v>
      </c>
      <c r="L32" s="2">
        <v>1</v>
      </c>
      <c r="M32" s="2">
        <v>3</v>
      </c>
    </row>
    <row r="33" spans="1:13">
      <c r="A33" s="6">
        <v>43497</v>
      </c>
      <c r="B33" s="7">
        <v>0.59583333333333333</v>
      </c>
      <c r="C33" s="2" t="str">
        <f>"FES1162670664"</f>
        <v>FES1162670664</v>
      </c>
      <c r="D33" s="2" t="s">
        <v>18</v>
      </c>
      <c r="E33" s="2" t="s">
        <v>28</v>
      </c>
      <c r="F33" s="2" t="str">
        <f>"2170672205 "</f>
        <v xml:space="preserve">2170672205 </v>
      </c>
      <c r="G33" s="2" t="str">
        <f t="shared" si="1"/>
        <v>ON1</v>
      </c>
      <c r="H33" s="2" t="s">
        <v>20</v>
      </c>
      <c r="I33" s="2" t="s">
        <v>29</v>
      </c>
      <c r="J33" s="2" t="str">
        <f>""</f>
        <v/>
      </c>
      <c r="K33" s="2" t="str">
        <f>"PFES1162670664_0001"</f>
        <v>PFES1162670664_0001</v>
      </c>
      <c r="L33" s="2">
        <v>1</v>
      </c>
      <c r="M33" s="2">
        <v>3</v>
      </c>
    </row>
    <row r="34" spans="1:13">
      <c r="A34" s="6">
        <v>43497</v>
      </c>
      <c r="B34" s="7">
        <v>0.59513888888888888</v>
      </c>
      <c r="C34" s="2" t="str">
        <f>"FES1162670671"</f>
        <v>FES1162670671</v>
      </c>
      <c r="D34" s="2" t="s">
        <v>18</v>
      </c>
      <c r="E34" s="2" t="s">
        <v>62</v>
      </c>
      <c r="F34" s="2" t="str">
        <f>"2170672211 "</f>
        <v xml:space="preserve">2170672211 </v>
      </c>
      <c r="G34" s="2" t="str">
        <f t="shared" si="1"/>
        <v>ON1</v>
      </c>
      <c r="H34" s="2" t="s">
        <v>20</v>
      </c>
      <c r="I34" s="2" t="s">
        <v>63</v>
      </c>
      <c r="J34" s="2" t="str">
        <f>""</f>
        <v/>
      </c>
      <c r="K34" s="2" t="str">
        <f>"PFES1162670671_0001"</f>
        <v>PFES1162670671_0001</v>
      </c>
      <c r="L34" s="2">
        <v>1</v>
      </c>
      <c r="M34" s="2">
        <v>2</v>
      </c>
    </row>
    <row r="35" spans="1:13">
      <c r="A35" s="6">
        <v>43497</v>
      </c>
      <c r="B35" s="7">
        <v>0.59513888888888888</v>
      </c>
      <c r="C35" s="2" t="str">
        <f>"FES1162670718"</f>
        <v>FES1162670718</v>
      </c>
      <c r="D35" s="2" t="s">
        <v>18</v>
      </c>
      <c r="E35" s="2" t="s">
        <v>64</v>
      </c>
      <c r="F35" s="2" t="str">
        <f>"2170672262 "</f>
        <v xml:space="preserve">2170672262 </v>
      </c>
      <c r="G35" s="2" t="str">
        <f t="shared" si="1"/>
        <v>ON1</v>
      </c>
      <c r="H35" s="2" t="s">
        <v>20</v>
      </c>
      <c r="I35" s="2" t="s">
        <v>65</v>
      </c>
      <c r="J35" s="2" t="str">
        <f>""</f>
        <v/>
      </c>
      <c r="K35" s="2" t="str">
        <f>"PFES1162670718_0001"</f>
        <v>PFES1162670718_0001</v>
      </c>
      <c r="L35" s="2">
        <v>1</v>
      </c>
      <c r="M35" s="2">
        <v>1</v>
      </c>
    </row>
    <row r="36" spans="1:13">
      <c r="A36" s="6">
        <v>43497</v>
      </c>
      <c r="B36" s="7">
        <v>0.59375</v>
      </c>
      <c r="C36" s="2" t="str">
        <f>"FES1162670667"</f>
        <v>FES1162670667</v>
      </c>
      <c r="D36" s="2" t="s">
        <v>18</v>
      </c>
      <c r="E36" s="2" t="s">
        <v>66</v>
      </c>
      <c r="F36" s="2" t="str">
        <f>"2170671362 "</f>
        <v xml:space="preserve">2170671362 </v>
      </c>
      <c r="G36" s="2" t="str">
        <f t="shared" si="1"/>
        <v>ON1</v>
      </c>
      <c r="H36" s="2" t="s">
        <v>20</v>
      </c>
      <c r="I36" s="2" t="s">
        <v>67</v>
      </c>
      <c r="J36" s="2" t="str">
        <f>""</f>
        <v/>
      </c>
      <c r="K36" s="2" t="str">
        <f>"PFES1162670667_0001"</f>
        <v>PFES1162670667_0001</v>
      </c>
      <c r="L36" s="2">
        <v>1</v>
      </c>
      <c r="M36" s="2">
        <v>5</v>
      </c>
    </row>
    <row r="37" spans="1:13">
      <c r="A37" s="6">
        <v>43497</v>
      </c>
      <c r="B37" s="7">
        <v>0.59305555555555556</v>
      </c>
      <c r="C37" s="2" t="str">
        <f>"FES1162670699"</f>
        <v>FES1162670699</v>
      </c>
      <c r="D37" s="2" t="s">
        <v>18</v>
      </c>
      <c r="E37" s="2" t="s">
        <v>68</v>
      </c>
      <c r="F37" s="2" t="str">
        <f>"2170672237 "</f>
        <v xml:space="preserve">2170672237 </v>
      </c>
      <c r="G37" s="2" t="str">
        <f t="shared" si="1"/>
        <v>ON1</v>
      </c>
      <c r="H37" s="2" t="s">
        <v>20</v>
      </c>
      <c r="I37" s="2" t="s">
        <v>65</v>
      </c>
      <c r="J37" s="2" t="str">
        <f>""</f>
        <v/>
      </c>
      <c r="K37" s="2" t="str">
        <f>"PFES1162670699_0001"</f>
        <v>PFES1162670699_0001</v>
      </c>
      <c r="L37" s="2">
        <v>1</v>
      </c>
      <c r="M37" s="2">
        <v>3</v>
      </c>
    </row>
    <row r="38" spans="1:13">
      <c r="A38" s="6">
        <v>43497</v>
      </c>
      <c r="B38" s="7">
        <v>0.59236111111111112</v>
      </c>
      <c r="C38" s="2" t="str">
        <f>"FES1162670698"</f>
        <v>FES1162670698</v>
      </c>
      <c r="D38" s="2" t="s">
        <v>18</v>
      </c>
      <c r="E38" s="2" t="s">
        <v>19</v>
      </c>
      <c r="F38" s="2" t="str">
        <f>"2170672234 "</f>
        <v xml:space="preserve">2170672234 </v>
      </c>
      <c r="G38" s="2" t="str">
        <f t="shared" si="1"/>
        <v>ON1</v>
      </c>
      <c r="H38" s="2" t="s">
        <v>20</v>
      </c>
      <c r="I38" s="2" t="s">
        <v>21</v>
      </c>
      <c r="J38" s="2" t="str">
        <f>""</f>
        <v/>
      </c>
      <c r="K38" s="2" t="str">
        <f>"PFES1162670698_0001"</f>
        <v>PFES1162670698_0001</v>
      </c>
      <c r="L38" s="2">
        <v>1</v>
      </c>
      <c r="M38" s="2">
        <v>1</v>
      </c>
    </row>
    <row r="39" spans="1:13">
      <c r="A39" s="6">
        <v>43497</v>
      </c>
      <c r="B39" s="7">
        <v>0.59097222222222223</v>
      </c>
      <c r="C39" s="2" t="str">
        <f>"FES1162670689"</f>
        <v>FES1162670689</v>
      </c>
      <c r="D39" s="2" t="s">
        <v>18</v>
      </c>
      <c r="E39" s="2" t="s">
        <v>69</v>
      </c>
      <c r="F39" s="2" t="str">
        <f>"2170672224 "</f>
        <v xml:space="preserve">2170672224 </v>
      </c>
      <c r="G39" s="2" t="str">
        <f t="shared" si="1"/>
        <v>ON1</v>
      </c>
      <c r="H39" s="2" t="s">
        <v>20</v>
      </c>
      <c r="I39" s="2" t="s">
        <v>70</v>
      </c>
      <c r="J39" s="2" t="str">
        <f>""</f>
        <v/>
      </c>
      <c r="K39" s="2" t="str">
        <f>"PFES1162670689_0001"</f>
        <v>PFES1162670689_0001</v>
      </c>
      <c r="L39" s="2">
        <v>1</v>
      </c>
      <c r="M39" s="2">
        <v>2</v>
      </c>
    </row>
    <row r="40" spans="1:13">
      <c r="A40" s="6">
        <v>43497</v>
      </c>
      <c r="B40" s="7">
        <v>0.59097222222222223</v>
      </c>
      <c r="C40" s="2" t="str">
        <f>"FES1162670668"</f>
        <v>FES1162670668</v>
      </c>
      <c r="D40" s="2" t="s">
        <v>18</v>
      </c>
      <c r="E40" s="2" t="s">
        <v>71</v>
      </c>
      <c r="F40" s="2" t="str">
        <f>"2170671654 "</f>
        <v xml:space="preserve">2170671654 </v>
      </c>
      <c r="G40" s="2" t="str">
        <f t="shared" si="1"/>
        <v>ON1</v>
      </c>
      <c r="H40" s="2" t="s">
        <v>20</v>
      </c>
      <c r="I40" s="2" t="s">
        <v>72</v>
      </c>
      <c r="J40" s="2" t="str">
        <f>""</f>
        <v/>
      </c>
      <c r="K40" s="2" t="str">
        <f>"PFES1162670668_0001"</f>
        <v>PFES1162670668_0001</v>
      </c>
      <c r="L40" s="2">
        <v>1</v>
      </c>
      <c r="M40" s="2">
        <v>1</v>
      </c>
    </row>
    <row r="41" spans="1:13">
      <c r="A41" s="6">
        <v>43497</v>
      </c>
      <c r="B41" s="7">
        <v>0.59097222222222223</v>
      </c>
      <c r="C41" s="2" t="str">
        <f>"FES1162670707"</f>
        <v>FES1162670707</v>
      </c>
      <c r="D41" s="2" t="s">
        <v>18</v>
      </c>
      <c r="E41" s="2" t="s">
        <v>73</v>
      </c>
      <c r="F41" s="2" t="str">
        <f>"2170672246 "</f>
        <v xml:space="preserve">2170672246 </v>
      </c>
      <c r="G41" s="2" t="str">
        <f t="shared" si="1"/>
        <v>ON1</v>
      </c>
      <c r="H41" s="2" t="s">
        <v>20</v>
      </c>
      <c r="I41" s="2" t="s">
        <v>61</v>
      </c>
      <c r="J41" s="2" t="str">
        <f>""</f>
        <v/>
      </c>
      <c r="K41" s="2" t="str">
        <f>"PFES1162670707_0001"</f>
        <v>PFES1162670707_0001</v>
      </c>
      <c r="L41" s="2">
        <v>1</v>
      </c>
      <c r="M41" s="2">
        <v>1</v>
      </c>
    </row>
    <row r="42" spans="1:13">
      <c r="A42" s="6">
        <v>43497</v>
      </c>
      <c r="B42" s="7">
        <v>0.59097222222222223</v>
      </c>
      <c r="C42" s="2" t="str">
        <f>"FES1162670704"</f>
        <v>FES1162670704</v>
      </c>
      <c r="D42" s="2" t="s">
        <v>18</v>
      </c>
      <c r="E42" s="2" t="s">
        <v>74</v>
      </c>
      <c r="F42" s="2" t="str">
        <f>"21706722403 "</f>
        <v xml:space="preserve">21706722403 </v>
      </c>
      <c r="G42" s="2" t="str">
        <f t="shared" si="1"/>
        <v>ON1</v>
      </c>
      <c r="H42" s="2" t="s">
        <v>20</v>
      </c>
      <c r="I42" s="2" t="s">
        <v>75</v>
      </c>
      <c r="J42" s="2" t="str">
        <f>""</f>
        <v/>
      </c>
      <c r="K42" s="2" t="str">
        <f>"PFES1162670704_0001"</f>
        <v>PFES1162670704_0001</v>
      </c>
      <c r="L42" s="2">
        <v>1</v>
      </c>
      <c r="M42" s="2">
        <v>1</v>
      </c>
    </row>
    <row r="43" spans="1:13">
      <c r="A43" s="6">
        <v>43497</v>
      </c>
      <c r="B43" s="7">
        <v>0.59027777777777779</v>
      </c>
      <c r="C43" s="2" t="str">
        <f>"FES1162670712"</f>
        <v>FES1162670712</v>
      </c>
      <c r="D43" s="2" t="s">
        <v>18</v>
      </c>
      <c r="E43" s="2" t="s">
        <v>76</v>
      </c>
      <c r="F43" s="2" t="str">
        <f>"2170672245 "</f>
        <v xml:space="preserve">2170672245 </v>
      </c>
      <c r="G43" s="2" t="str">
        <f t="shared" si="1"/>
        <v>ON1</v>
      </c>
      <c r="H43" s="2" t="s">
        <v>20</v>
      </c>
      <c r="I43" s="2" t="s">
        <v>77</v>
      </c>
      <c r="J43" s="2" t="str">
        <f>""</f>
        <v/>
      </c>
      <c r="K43" s="2" t="str">
        <f>"PFES1162670712_0001"</f>
        <v>PFES1162670712_0001</v>
      </c>
      <c r="L43" s="2">
        <v>1</v>
      </c>
      <c r="M43" s="2">
        <v>3</v>
      </c>
    </row>
    <row r="44" spans="1:13">
      <c r="A44" s="6">
        <v>43497</v>
      </c>
      <c r="B44" s="7">
        <v>0.58958333333333335</v>
      </c>
      <c r="C44" s="2" t="str">
        <f>"FES1162670583"</f>
        <v>FES1162670583</v>
      </c>
      <c r="D44" s="2" t="s">
        <v>18</v>
      </c>
      <c r="E44" s="2" t="s">
        <v>78</v>
      </c>
      <c r="F44" s="2" t="str">
        <f>"2170670771 "</f>
        <v xml:space="preserve">2170670771 </v>
      </c>
      <c r="G44" s="2" t="str">
        <f t="shared" si="1"/>
        <v>ON1</v>
      </c>
      <c r="H44" s="2" t="s">
        <v>20</v>
      </c>
      <c r="I44" s="2" t="s">
        <v>79</v>
      </c>
      <c r="J44" s="2" t="str">
        <f>""</f>
        <v/>
      </c>
      <c r="K44" s="2" t="str">
        <f>"PFES1162670583_0001"</f>
        <v>PFES1162670583_0001</v>
      </c>
      <c r="L44" s="2">
        <v>1</v>
      </c>
      <c r="M44" s="2">
        <v>3</v>
      </c>
    </row>
    <row r="45" spans="1:13">
      <c r="A45" s="6">
        <v>43497</v>
      </c>
      <c r="B45" s="7">
        <v>0.58819444444444446</v>
      </c>
      <c r="C45" s="2" t="str">
        <f>"FES1162670662"</f>
        <v>FES1162670662</v>
      </c>
      <c r="D45" s="2" t="s">
        <v>18</v>
      </c>
      <c r="E45" s="2" t="s">
        <v>80</v>
      </c>
      <c r="F45" s="2" t="str">
        <f>"2170670581 "</f>
        <v xml:space="preserve">2170670581 </v>
      </c>
      <c r="G45" s="2" t="str">
        <f t="shared" si="1"/>
        <v>ON1</v>
      </c>
      <c r="H45" s="2" t="s">
        <v>20</v>
      </c>
      <c r="I45" s="2" t="s">
        <v>81</v>
      </c>
      <c r="J45" s="2" t="str">
        <f>""</f>
        <v/>
      </c>
      <c r="K45" s="2" t="str">
        <f>"PFES1162670662_0001"</f>
        <v>PFES1162670662_0001</v>
      </c>
      <c r="L45" s="2">
        <v>1</v>
      </c>
      <c r="M45" s="2">
        <v>3</v>
      </c>
    </row>
    <row r="46" spans="1:13">
      <c r="A46" s="6">
        <v>43497</v>
      </c>
      <c r="B46" s="7">
        <v>0.58680555555555558</v>
      </c>
      <c r="C46" s="2" t="str">
        <f>"FES1162670599"</f>
        <v>FES1162670599</v>
      </c>
      <c r="D46" s="2" t="s">
        <v>18</v>
      </c>
      <c r="E46" s="2" t="s">
        <v>82</v>
      </c>
      <c r="F46" s="2" t="str">
        <f>"2170672100 "</f>
        <v xml:space="preserve">2170672100 </v>
      </c>
      <c r="G46" s="2" t="str">
        <f t="shared" si="1"/>
        <v>ON1</v>
      </c>
      <c r="H46" s="2" t="s">
        <v>20</v>
      </c>
      <c r="I46" s="2" t="s">
        <v>83</v>
      </c>
      <c r="J46" s="2" t="str">
        <f>""</f>
        <v/>
      </c>
      <c r="K46" s="2" t="str">
        <f>"PFES1162670599_0001"</f>
        <v>PFES1162670599_0001</v>
      </c>
      <c r="L46" s="2">
        <v>1</v>
      </c>
      <c r="M46" s="2">
        <v>5</v>
      </c>
    </row>
    <row r="47" spans="1:13">
      <c r="A47" s="6">
        <v>43497</v>
      </c>
      <c r="B47" s="7">
        <v>0.58611111111111114</v>
      </c>
      <c r="C47" s="2" t="str">
        <f>"FES1162670708"</f>
        <v>FES1162670708</v>
      </c>
      <c r="D47" s="2" t="s">
        <v>18</v>
      </c>
      <c r="E47" s="2" t="s">
        <v>84</v>
      </c>
      <c r="F47" s="2" t="str">
        <f>"2170672247 "</f>
        <v xml:space="preserve">2170672247 </v>
      </c>
      <c r="G47" s="2" t="str">
        <f t="shared" si="1"/>
        <v>ON1</v>
      </c>
      <c r="H47" s="2" t="s">
        <v>20</v>
      </c>
      <c r="I47" s="2" t="s">
        <v>85</v>
      </c>
      <c r="J47" s="2" t="str">
        <f>""</f>
        <v/>
      </c>
      <c r="K47" s="2" t="str">
        <f>"PFES1162670708_0001"</f>
        <v>PFES1162670708_0001</v>
      </c>
      <c r="L47" s="2">
        <v>1</v>
      </c>
      <c r="M47" s="2">
        <v>1</v>
      </c>
    </row>
    <row r="48" spans="1:13">
      <c r="A48" s="6">
        <v>43497</v>
      </c>
      <c r="B48" s="7">
        <v>0.58611111111111114</v>
      </c>
      <c r="C48" s="2" t="str">
        <f>"FES1162670696"</f>
        <v>FES1162670696</v>
      </c>
      <c r="D48" s="2" t="s">
        <v>18</v>
      </c>
      <c r="E48" s="2" t="s">
        <v>86</v>
      </c>
      <c r="F48" s="2" t="str">
        <f>"2170671704 "</f>
        <v xml:space="preserve">2170671704 </v>
      </c>
      <c r="G48" s="2" t="str">
        <f t="shared" si="1"/>
        <v>ON1</v>
      </c>
      <c r="H48" s="2" t="s">
        <v>20</v>
      </c>
      <c r="I48" s="2" t="s">
        <v>87</v>
      </c>
      <c r="J48" s="2" t="str">
        <f>""</f>
        <v/>
      </c>
      <c r="K48" s="2" t="str">
        <f>"PFES1162670696_0001"</f>
        <v>PFES1162670696_0001</v>
      </c>
      <c r="L48" s="2">
        <v>1</v>
      </c>
      <c r="M48" s="2">
        <v>1</v>
      </c>
    </row>
    <row r="49" spans="1:13">
      <c r="A49" s="6">
        <v>43497</v>
      </c>
      <c r="B49" s="7">
        <v>0.58611111111111114</v>
      </c>
      <c r="C49" s="2" t="str">
        <f>"FES1162670567"</f>
        <v>FES1162670567</v>
      </c>
      <c r="D49" s="2" t="s">
        <v>18</v>
      </c>
      <c r="E49" s="2" t="s">
        <v>88</v>
      </c>
      <c r="F49" s="2" t="str">
        <f>"2170672065 "</f>
        <v xml:space="preserve">2170672065 </v>
      </c>
      <c r="G49" s="2" t="str">
        <f t="shared" si="1"/>
        <v>ON1</v>
      </c>
      <c r="H49" s="2" t="s">
        <v>20</v>
      </c>
      <c r="I49" s="2" t="s">
        <v>89</v>
      </c>
      <c r="J49" s="2" t="str">
        <f>""</f>
        <v/>
      </c>
      <c r="K49" s="2" t="str">
        <f>"PFES1162670567_0001"</f>
        <v>PFES1162670567_0001</v>
      </c>
      <c r="L49" s="2">
        <v>1</v>
      </c>
      <c r="M49" s="2">
        <v>5</v>
      </c>
    </row>
    <row r="50" spans="1:13">
      <c r="A50" s="6">
        <v>43497</v>
      </c>
      <c r="B50" s="7">
        <v>0.58472222222222225</v>
      </c>
      <c r="C50" s="2" t="str">
        <f>"FES1162670665"</f>
        <v>FES1162670665</v>
      </c>
      <c r="D50" s="2" t="s">
        <v>18</v>
      </c>
      <c r="E50" s="2" t="s">
        <v>90</v>
      </c>
      <c r="F50" s="2" t="str">
        <f>"2170672206 "</f>
        <v xml:space="preserve">2170672206 </v>
      </c>
      <c r="G50" s="2" t="str">
        <f t="shared" si="1"/>
        <v>ON1</v>
      </c>
      <c r="H50" s="2" t="s">
        <v>20</v>
      </c>
      <c r="I50" s="2" t="s">
        <v>89</v>
      </c>
      <c r="J50" s="2" t="str">
        <f>""</f>
        <v/>
      </c>
      <c r="K50" s="2" t="str">
        <f>"PFES1162670665_0001"</f>
        <v>PFES1162670665_0001</v>
      </c>
      <c r="L50" s="2">
        <v>1</v>
      </c>
      <c r="M50" s="2">
        <v>4</v>
      </c>
    </row>
    <row r="51" spans="1:13">
      <c r="A51" s="6">
        <v>43497</v>
      </c>
      <c r="B51" s="7">
        <v>0.58333333333333337</v>
      </c>
      <c r="C51" s="2" t="str">
        <f>"FES1162670535"</f>
        <v>FES1162670535</v>
      </c>
      <c r="D51" s="2" t="s">
        <v>18</v>
      </c>
      <c r="E51" s="2" t="s">
        <v>91</v>
      </c>
      <c r="F51" s="2" t="str">
        <f>"2170672018 "</f>
        <v xml:space="preserve">2170672018 </v>
      </c>
      <c r="G51" s="2" t="str">
        <f t="shared" si="1"/>
        <v>ON1</v>
      </c>
      <c r="H51" s="2" t="s">
        <v>20</v>
      </c>
      <c r="I51" s="2" t="s">
        <v>53</v>
      </c>
      <c r="J51" s="2" t="str">
        <f>""</f>
        <v/>
      </c>
      <c r="K51" s="2" t="str">
        <f>"PFES1162670535_0001"</f>
        <v>PFES1162670535_0001</v>
      </c>
      <c r="L51" s="2">
        <v>1</v>
      </c>
      <c r="M51" s="2">
        <v>6</v>
      </c>
    </row>
    <row r="52" spans="1:13">
      <c r="A52" s="6">
        <v>43497</v>
      </c>
      <c r="B52" s="7">
        <v>0.58194444444444449</v>
      </c>
      <c r="C52" s="2" t="str">
        <f>"FES1162670585"</f>
        <v>FES1162670585</v>
      </c>
      <c r="D52" s="2" t="s">
        <v>18</v>
      </c>
      <c r="E52" s="2" t="s">
        <v>92</v>
      </c>
      <c r="F52" s="2" t="str">
        <f>"2170671094 "</f>
        <v xml:space="preserve">2170671094 </v>
      </c>
      <c r="G52" s="2" t="str">
        <f t="shared" si="1"/>
        <v>ON1</v>
      </c>
      <c r="H52" s="2" t="s">
        <v>20</v>
      </c>
      <c r="I52" s="2" t="s">
        <v>93</v>
      </c>
      <c r="J52" s="2" t="str">
        <f>""</f>
        <v/>
      </c>
      <c r="K52" s="2" t="str">
        <f>"PFES1162670585_0001"</f>
        <v>PFES1162670585_0001</v>
      </c>
      <c r="L52" s="2">
        <v>1</v>
      </c>
      <c r="M52" s="2">
        <v>3</v>
      </c>
    </row>
    <row r="53" spans="1:13">
      <c r="A53" s="6">
        <v>43497</v>
      </c>
      <c r="B53" s="7">
        <v>0.5805555555555556</v>
      </c>
      <c r="C53" s="2" t="str">
        <f>"FES1162670663"</f>
        <v>FES1162670663</v>
      </c>
      <c r="D53" s="2" t="s">
        <v>18</v>
      </c>
      <c r="E53" s="2" t="s">
        <v>94</v>
      </c>
      <c r="F53" s="2" t="str">
        <f>"2170671815 "</f>
        <v xml:space="preserve">2170671815 </v>
      </c>
      <c r="G53" s="2" t="str">
        <f>"DBC"</f>
        <v>DBC</v>
      </c>
      <c r="H53" s="2" t="s">
        <v>20</v>
      </c>
      <c r="I53" s="2" t="s">
        <v>29</v>
      </c>
      <c r="J53" s="2" t="str">
        <f>""</f>
        <v/>
      </c>
      <c r="K53" s="2" t="str">
        <f>"PFES1162670663_0001"</f>
        <v>PFES1162670663_0001</v>
      </c>
      <c r="L53" s="2">
        <v>2</v>
      </c>
      <c r="M53" s="2">
        <v>26</v>
      </c>
    </row>
    <row r="54" spans="1:13">
      <c r="A54" s="6">
        <v>43496</v>
      </c>
      <c r="B54" s="7">
        <v>0.62777777777777777</v>
      </c>
      <c r="C54" s="2" t="str">
        <f>"FES1162670663"</f>
        <v>FES1162670663</v>
      </c>
      <c r="D54" s="2" t="s">
        <v>18</v>
      </c>
      <c r="E54" s="2" t="s">
        <v>28</v>
      </c>
      <c r="F54" s="2" t="str">
        <f>"2170671890 "</f>
        <v xml:space="preserve">2170671890 </v>
      </c>
      <c r="G54" s="2" t="str">
        <f t="shared" ref="G54:G117" si="2">"ON1"</f>
        <v>ON1</v>
      </c>
      <c r="H54" s="2" t="s">
        <v>20</v>
      </c>
      <c r="I54" s="2" t="s">
        <v>29</v>
      </c>
      <c r="J54" s="2" t="str">
        <f>""</f>
        <v/>
      </c>
      <c r="K54" s="2" t="str">
        <f>"PFES1162670663_0002"</f>
        <v>PFES1162670663_0002</v>
      </c>
      <c r="L54" s="2">
        <v>1</v>
      </c>
      <c r="M54" s="2">
        <v>5</v>
      </c>
    </row>
    <row r="55" spans="1:13">
      <c r="A55" s="6">
        <v>43497</v>
      </c>
      <c r="B55" s="7">
        <v>0.57916666666666672</v>
      </c>
      <c r="C55" s="2" t="str">
        <f>"FES1162670685"</f>
        <v>FES1162670685</v>
      </c>
      <c r="D55" s="2" t="s">
        <v>18</v>
      </c>
      <c r="E55" s="2" t="s">
        <v>95</v>
      </c>
      <c r="F55" s="2" t="str">
        <f>"2170672086 "</f>
        <v xml:space="preserve">2170672086 </v>
      </c>
      <c r="G55" s="2" t="str">
        <f t="shared" si="2"/>
        <v>ON1</v>
      </c>
      <c r="H55" s="2" t="s">
        <v>20</v>
      </c>
      <c r="I55" s="2" t="s">
        <v>96</v>
      </c>
      <c r="J55" s="2" t="str">
        <f>""</f>
        <v/>
      </c>
      <c r="K55" s="2" t="str">
        <f>"PFES1162670685_0001"</f>
        <v>PFES1162670685_0001</v>
      </c>
      <c r="L55" s="2">
        <v>1</v>
      </c>
      <c r="M55" s="2">
        <v>1</v>
      </c>
    </row>
    <row r="56" spans="1:13">
      <c r="A56" s="6">
        <v>43497</v>
      </c>
      <c r="B56" s="7">
        <v>0.57916666666666672</v>
      </c>
      <c r="C56" s="2" t="str">
        <f>"FES1162670677"</f>
        <v>FES1162670677</v>
      </c>
      <c r="D56" s="2" t="s">
        <v>18</v>
      </c>
      <c r="E56" s="2" t="s">
        <v>97</v>
      </c>
      <c r="F56" s="2" t="str">
        <f>"2170671727 "</f>
        <v xml:space="preserve">2170671727 </v>
      </c>
      <c r="G56" s="2" t="str">
        <f t="shared" si="2"/>
        <v>ON1</v>
      </c>
      <c r="H56" s="2" t="s">
        <v>20</v>
      </c>
      <c r="I56" s="2" t="s">
        <v>70</v>
      </c>
      <c r="J56" s="2" t="str">
        <f>""</f>
        <v/>
      </c>
      <c r="K56" s="2" t="str">
        <f>"PFES1162670677_0001"</f>
        <v>PFES1162670677_0001</v>
      </c>
      <c r="L56" s="2">
        <v>1</v>
      </c>
      <c r="M56" s="2">
        <v>1</v>
      </c>
    </row>
    <row r="57" spans="1:13">
      <c r="A57" s="6">
        <v>43497</v>
      </c>
      <c r="B57" s="7">
        <v>0.57916666666666672</v>
      </c>
      <c r="C57" s="2" t="str">
        <f>"FES1162670690"</f>
        <v>FES1162670690</v>
      </c>
      <c r="D57" s="2" t="s">
        <v>18</v>
      </c>
      <c r="E57" s="2" t="s">
        <v>98</v>
      </c>
      <c r="F57" s="2" t="str">
        <f>"2170672225 "</f>
        <v xml:space="preserve">2170672225 </v>
      </c>
      <c r="G57" s="2" t="str">
        <f t="shared" si="2"/>
        <v>ON1</v>
      </c>
      <c r="H57" s="2" t="s">
        <v>20</v>
      </c>
      <c r="I57" s="2" t="s">
        <v>99</v>
      </c>
      <c r="J57" s="2" t="str">
        <f>""</f>
        <v/>
      </c>
      <c r="K57" s="2" t="str">
        <f>"PFES1162670690_0001"</f>
        <v>PFES1162670690_0001</v>
      </c>
      <c r="L57" s="2">
        <v>1</v>
      </c>
      <c r="M57" s="2">
        <v>7</v>
      </c>
    </row>
    <row r="58" spans="1:13">
      <c r="A58" s="6">
        <v>43497</v>
      </c>
      <c r="B58" s="7">
        <v>0.57847222222222217</v>
      </c>
      <c r="C58" s="2" t="str">
        <f>"FES1162670676"</f>
        <v>FES1162670676</v>
      </c>
      <c r="D58" s="2" t="s">
        <v>18</v>
      </c>
      <c r="E58" s="2" t="s">
        <v>97</v>
      </c>
      <c r="F58" s="2" t="str">
        <f>"2170671448 "</f>
        <v xml:space="preserve">2170671448 </v>
      </c>
      <c r="G58" s="2" t="str">
        <f t="shared" si="2"/>
        <v>ON1</v>
      </c>
      <c r="H58" s="2" t="s">
        <v>20</v>
      </c>
      <c r="I58" s="2" t="s">
        <v>70</v>
      </c>
      <c r="J58" s="2" t="str">
        <f>""</f>
        <v/>
      </c>
      <c r="K58" s="2" t="str">
        <f>"PFES1162670676_0001"</f>
        <v>PFES1162670676_0001</v>
      </c>
      <c r="L58" s="2">
        <v>1</v>
      </c>
      <c r="M58" s="2">
        <v>1</v>
      </c>
    </row>
    <row r="59" spans="1:13">
      <c r="A59" s="6">
        <v>43497</v>
      </c>
      <c r="B59" s="7">
        <v>0.57847222222222217</v>
      </c>
      <c r="C59" s="2" t="str">
        <f>"FES1162670674"</f>
        <v>FES1162670674</v>
      </c>
      <c r="D59" s="2" t="s">
        <v>18</v>
      </c>
      <c r="E59" s="2" t="s">
        <v>97</v>
      </c>
      <c r="F59" s="2" t="str">
        <f>"2170671319 "</f>
        <v xml:space="preserve">2170671319 </v>
      </c>
      <c r="G59" s="2" t="str">
        <f t="shared" si="2"/>
        <v>ON1</v>
      </c>
      <c r="H59" s="2" t="s">
        <v>20</v>
      </c>
      <c r="I59" s="2" t="s">
        <v>70</v>
      </c>
      <c r="J59" s="2" t="str">
        <f>""</f>
        <v/>
      </c>
      <c r="K59" s="2" t="str">
        <f>"PFES1162670674_0001"</f>
        <v>PFES1162670674_0001</v>
      </c>
      <c r="L59" s="2">
        <v>1</v>
      </c>
      <c r="M59" s="2">
        <v>1</v>
      </c>
    </row>
    <row r="60" spans="1:13">
      <c r="A60" s="6">
        <v>43497</v>
      </c>
      <c r="B60" s="7">
        <v>0.57847222222222217</v>
      </c>
      <c r="C60" s="2" t="str">
        <f>"FES1162670683"</f>
        <v>FES1162670683</v>
      </c>
      <c r="D60" s="2" t="s">
        <v>18</v>
      </c>
      <c r="E60" s="2" t="s">
        <v>100</v>
      </c>
      <c r="F60" s="2" t="str">
        <f>"2176722221 "</f>
        <v xml:space="preserve">2176722221 </v>
      </c>
      <c r="G60" s="2" t="str">
        <f t="shared" si="2"/>
        <v>ON1</v>
      </c>
      <c r="H60" s="2" t="s">
        <v>20</v>
      </c>
      <c r="I60" s="2" t="s">
        <v>101</v>
      </c>
      <c r="J60" s="2" t="str">
        <f>""</f>
        <v/>
      </c>
      <c r="K60" s="2" t="str">
        <f>"PFES1162670683_0001"</f>
        <v>PFES1162670683_0001</v>
      </c>
      <c r="L60" s="2">
        <v>1</v>
      </c>
      <c r="M60" s="2">
        <v>1</v>
      </c>
    </row>
    <row r="61" spans="1:13">
      <c r="A61" s="6">
        <v>43497</v>
      </c>
      <c r="B61" s="7">
        <v>0.57777777777777783</v>
      </c>
      <c r="C61" s="2" t="str">
        <f>"FES1162670691"</f>
        <v>FES1162670691</v>
      </c>
      <c r="D61" s="2" t="s">
        <v>18</v>
      </c>
      <c r="E61" s="2" t="s">
        <v>88</v>
      </c>
      <c r="F61" s="2" t="str">
        <f>"2170672228 "</f>
        <v xml:space="preserve">2170672228 </v>
      </c>
      <c r="G61" s="2" t="str">
        <f t="shared" si="2"/>
        <v>ON1</v>
      </c>
      <c r="H61" s="2" t="s">
        <v>20</v>
      </c>
      <c r="I61" s="2" t="s">
        <v>89</v>
      </c>
      <c r="J61" s="2" t="str">
        <f>""</f>
        <v/>
      </c>
      <c r="K61" s="2" t="str">
        <f>"PFES1162670691_0001"</f>
        <v>PFES1162670691_0001</v>
      </c>
      <c r="L61" s="2">
        <v>1</v>
      </c>
      <c r="M61" s="2">
        <v>1</v>
      </c>
    </row>
    <row r="62" spans="1:13">
      <c r="A62" s="6">
        <v>43497</v>
      </c>
      <c r="B62" s="7">
        <v>0.57777777777777783</v>
      </c>
      <c r="C62" s="2" t="str">
        <f>"FES1162670693"</f>
        <v>FES1162670693</v>
      </c>
      <c r="D62" s="2" t="s">
        <v>18</v>
      </c>
      <c r="E62" s="2" t="s">
        <v>47</v>
      </c>
      <c r="F62" s="2" t="str">
        <f>"2170672231 "</f>
        <v xml:space="preserve">2170672231 </v>
      </c>
      <c r="G62" s="2" t="str">
        <f t="shared" si="2"/>
        <v>ON1</v>
      </c>
      <c r="H62" s="2" t="s">
        <v>20</v>
      </c>
      <c r="I62" s="2" t="s">
        <v>48</v>
      </c>
      <c r="J62" s="2" t="str">
        <f>""</f>
        <v/>
      </c>
      <c r="K62" s="2" t="str">
        <f>"PFES1162670693_0001"</f>
        <v>PFES1162670693_0001</v>
      </c>
      <c r="L62" s="2">
        <v>1</v>
      </c>
      <c r="M62" s="2">
        <v>2</v>
      </c>
    </row>
    <row r="63" spans="1:13">
      <c r="A63" s="6">
        <v>43497</v>
      </c>
      <c r="B63" s="7">
        <v>0.57777777777777783</v>
      </c>
      <c r="C63" s="2" t="str">
        <f>"FES1162670706"</f>
        <v>FES1162670706</v>
      </c>
      <c r="D63" s="2" t="s">
        <v>18</v>
      </c>
      <c r="E63" s="2" t="s">
        <v>102</v>
      </c>
      <c r="F63" s="2" t="str">
        <f>"2170672244 "</f>
        <v xml:space="preserve">2170672244 </v>
      </c>
      <c r="G63" s="2" t="str">
        <f t="shared" si="2"/>
        <v>ON1</v>
      </c>
      <c r="H63" s="2" t="s">
        <v>20</v>
      </c>
      <c r="I63" s="2" t="s">
        <v>103</v>
      </c>
      <c r="J63" s="2" t="str">
        <f>""</f>
        <v/>
      </c>
      <c r="K63" s="2" t="str">
        <f>"PFES1162670706_0001"</f>
        <v>PFES1162670706_0001</v>
      </c>
      <c r="L63" s="2">
        <v>1</v>
      </c>
      <c r="M63" s="2">
        <v>1</v>
      </c>
    </row>
    <row r="64" spans="1:13">
      <c r="A64" s="6">
        <v>43497</v>
      </c>
      <c r="B64" s="7">
        <v>0.57708333333333328</v>
      </c>
      <c r="C64" s="2" t="str">
        <f>"FES1162670709"</f>
        <v>FES1162670709</v>
      </c>
      <c r="D64" s="2" t="s">
        <v>18</v>
      </c>
      <c r="E64" s="2" t="s">
        <v>104</v>
      </c>
      <c r="F64" s="2" t="str">
        <f>"2170672248 "</f>
        <v xml:space="preserve">2170672248 </v>
      </c>
      <c r="G64" s="2" t="str">
        <f t="shared" si="2"/>
        <v>ON1</v>
      </c>
      <c r="H64" s="2" t="s">
        <v>20</v>
      </c>
      <c r="I64" s="2" t="s">
        <v>105</v>
      </c>
      <c r="J64" s="2" t="str">
        <f>""</f>
        <v/>
      </c>
      <c r="K64" s="2" t="str">
        <f>"PFES1162670709_0001"</f>
        <v>PFES1162670709_0001</v>
      </c>
      <c r="L64" s="2">
        <v>1</v>
      </c>
      <c r="M64" s="2">
        <v>1</v>
      </c>
    </row>
    <row r="65" spans="1:13">
      <c r="A65" s="6">
        <v>43497</v>
      </c>
      <c r="B65" s="7">
        <v>0.57708333333333328</v>
      </c>
      <c r="C65" s="2" t="str">
        <f>"FES1162670675"</f>
        <v>FES1162670675</v>
      </c>
      <c r="D65" s="2" t="s">
        <v>18</v>
      </c>
      <c r="E65" s="2" t="s">
        <v>97</v>
      </c>
      <c r="F65" s="2" t="str">
        <f>"2170671441 "</f>
        <v xml:space="preserve">2170671441 </v>
      </c>
      <c r="G65" s="2" t="str">
        <f t="shared" si="2"/>
        <v>ON1</v>
      </c>
      <c r="H65" s="2" t="s">
        <v>20</v>
      </c>
      <c r="I65" s="2" t="s">
        <v>70</v>
      </c>
      <c r="J65" s="2" t="str">
        <f>""</f>
        <v/>
      </c>
      <c r="K65" s="2" t="str">
        <f>"PFES1162670675_0001"</f>
        <v>PFES1162670675_0001</v>
      </c>
      <c r="L65" s="2">
        <v>1</v>
      </c>
      <c r="M65" s="2">
        <v>4</v>
      </c>
    </row>
    <row r="66" spans="1:13">
      <c r="A66" s="6">
        <v>43497</v>
      </c>
      <c r="B66" s="7">
        <v>0.5756944444444444</v>
      </c>
      <c r="C66" s="2" t="str">
        <f>"FES1162670673"</f>
        <v>FES1162670673</v>
      </c>
      <c r="D66" s="2" t="s">
        <v>18</v>
      </c>
      <c r="E66" s="2" t="s">
        <v>97</v>
      </c>
      <c r="F66" s="2" t="str">
        <f>"2170670826 "</f>
        <v xml:space="preserve">2170670826 </v>
      </c>
      <c r="G66" s="2" t="str">
        <f t="shared" si="2"/>
        <v>ON1</v>
      </c>
      <c r="H66" s="2" t="s">
        <v>20</v>
      </c>
      <c r="I66" s="2" t="s">
        <v>70</v>
      </c>
      <c r="J66" s="2" t="str">
        <f>""</f>
        <v/>
      </c>
      <c r="K66" s="2" t="str">
        <f>"PFES1162670673_0001"</f>
        <v>PFES1162670673_0001</v>
      </c>
      <c r="L66" s="2">
        <v>1</v>
      </c>
      <c r="M66" s="2">
        <v>2</v>
      </c>
    </row>
    <row r="67" spans="1:13">
      <c r="A67" s="6">
        <v>43497</v>
      </c>
      <c r="B67" s="7">
        <v>0.57500000000000007</v>
      </c>
      <c r="C67" s="2" t="str">
        <f>"009935791975"</f>
        <v>009935791975</v>
      </c>
      <c r="D67" s="2" t="s">
        <v>18</v>
      </c>
      <c r="E67" s="2" t="s">
        <v>106</v>
      </c>
      <c r="F67" s="2" t="str">
        <f>"BAKKER "</f>
        <v xml:space="preserve">BAKKER </v>
      </c>
      <c r="G67" s="2" t="str">
        <f t="shared" si="2"/>
        <v>ON1</v>
      </c>
      <c r="H67" s="2" t="s">
        <v>20</v>
      </c>
      <c r="I67" s="2" t="s">
        <v>107</v>
      </c>
      <c r="J67" s="2" t="str">
        <f>""</f>
        <v/>
      </c>
      <c r="K67" s="2" t="str">
        <f>"P009935791975_0001"</f>
        <v>P009935791975_0001</v>
      </c>
      <c r="L67" s="2">
        <v>1</v>
      </c>
      <c r="M67" s="2">
        <v>1</v>
      </c>
    </row>
    <row r="68" spans="1:13">
      <c r="A68" s="6">
        <v>43497</v>
      </c>
      <c r="B68" s="7">
        <v>0.57430555555555551</v>
      </c>
      <c r="C68" s="2" t="str">
        <f>"FES1162670672"</f>
        <v>FES1162670672</v>
      </c>
      <c r="D68" s="2" t="s">
        <v>18</v>
      </c>
      <c r="E68" s="2" t="s">
        <v>97</v>
      </c>
      <c r="F68" s="2" t="str">
        <f>"2170670782 "</f>
        <v xml:space="preserve">2170670782 </v>
      </c>
      <c r="G68" s="2" t="str">
        <f t="shared" si="2"/>
        <v>ON1</v>
      </c>
      <c r="H68" s="2" t="s">
        <v>20</v>
      </c>
      <c r="I68" s="2" t="s">
        <v>70</v>
      </c>
      <c r="J68" s="2" t="str">
        <f>""</f>
        <v/>
      </c>
      <c r="K68" s="2" t="str">
        <f>"PFES1162670672_0001"</f>
        <v>PFES1162670672_0001</v>
      </c>
      <c r="L68" s="2">
        <v>1</v>
      </c>
      <c r="M68" s="2">
        <v>2</v>
      </c>
    </row>
    <row r="69" spans="1:13">
      <c r="A69" s="6">
        <v>43497</v>
      </c>
      <c r="B69" s="7">
        <v>0.55763888888888891</v>
      </c>
      <c r="C69" s="2" t="str">
        <f>"FES1162670680"</f>
        <v>FES1162670680</v>
      </c>
      <c r="D69" s="2" t="s">
        <v>18</v>
      </c>
      <c r="E69" s="2" t="s">
        <v>92</v>
      </c>
      <c r="F69" s="2" t="str">
        <f>"2170672217 "</f>
        <v xml:space="preserve">2170672217 </v>
      </c>
      <c r="G69" s="2" t="str">
        <f t="shared" si="2"/>
        <v>ON1</v>
      </c>
      <c r="H69" s="2" t="s">
        <v>20</v>
      </c>
      <c r="I69" s="2" t="s">
        <v>93</v>
      </c>
      <c r="J69" s="2" t="str">
        <f>""</f>
        <v/>
      </c>
      <c r="K69" s="2" t="str">
        <f>"PFES1162670680_0001"</f>
        <v>PFES1162670680_0001</v>
      </c>
      <c r="L69" s="2">
        <v>1</v>
      </c>
      <c r="M69" s="2">
        <v>1</v>
      </c>
    </row>
    <row r="70" spans="1:13">
      <c r="A70" s="6">
        <v>43497</v>
      </c>
      <c r="B70" s="7">
        <v>0.55694444444444446</v>
      </c>
      <c r="C70" s="2" t="str">
        <f>"FES1162670648"</f>
        <v>FES1162670648</v>
      </c>
      <c r="D70" s="2" t="s">
        <v>18</v>
      </c>
      <c r="E70" s="2" t="s">
        <v>108</v>
      </c>
      <c r="F70" s="2" t="str">
        <f>"2170672173 "</f>
        <v xml:space="preserve">2170672173 </v>
      </c>
      <c r="G70" s="2" t="str">
        <f t="shared" si="2"/>
        <v>ON1</v>
      </c>
      <c r="H70" s="2" t="s">
        <v>20</v>
      </c>
      <c r="I70" s="2" t="s">
        <v>109</v>
      </c>
      <c r="J70" s="2" t="str">
        <f>""</f>
        <v/>
      </c>
      <c r="K70" s="2" t="str">
        <f>"PFES1162670648_0001"</f>
        <v>PFES1162670648_0001</v>
      </c>
      <c r="L70" s="2">
        <v>1</v>
      </c>
      <c r="M70" s="2">
        <v>1</v>
      </c>
    </row>
    <row r="71" spans="1:13">
      <c r="A71" s="6">
        <v>43497</v>
      </c>
      <c r="B71" s="7">
        <v>0.49236111111111108</v>
      </c>
      <c r="C71" s="2" t="str">
        <f>"FES1162670661"</f>
        <v>FES1162670661</v>
      </c>
      <c r="D71" s="2" t="s">
        <v>18</v>
      </c>
      <c r="E71" s="2" t="s">
        <v>110</v>
      </c>
      <c r="F71" s="2" t="str">
        <f>"217062204 "</f>
        <v xml:space="preserve">217062204 </v>
      </c>
      <c r="G71" s="2" t="str">
        <f t="shared" si="2"/>
        <v>ON1</v>
      </c>
      <c r="H71" s="2" t="s">
        <v>20</v>
      </c>
      <c r="I71" s="2" t="s">
        <v>111</v>
      </c>
      <c r="J71" s="2" t="str">
        <f>""</f>
        <v/>
      </c>
      <c r="K71" s="2" t="str">
        <f>"PFES1162670661_0001"</f>
        <v>PFES1162670661_0001</v>
      </c>
      <c r="L71" s="2">
        <v>1</v>
      </c>
      <c r="M71" s="2">
        <v>1</v>
      </c>
    </row>
    <row r="72" spans="1:13">
      <c r="A72" s="6">
        <v>43497</v>
      </c>
      <c r="B72" s="7">
        <v>0.49236111111111108</v>
      </c>
      <c r="C72" s="2" t="str">
        <f>"FES1162670630"</f>
        <v>FES1162670630</v>
      </c>
      <c r="D72" s="2" t="s">
        <v>18</v>
      </c>
      <c r="E72" s="2" t="s">
        <v>112</v>
      </c>
      <c r="F72" s="2" t="str">
        <f>"2170672139 "</f>
        <v xml:space="preserve">2170672139 </v>
      </c>
      <c r="G72" s="2" t="str">
        <f t="shared" si="2"/>
        <v>ON1</v>
      </c>
      <c r="H72" s="2" t="s">
        <v>20</v>
      </c>
      <c r="I72" s="2" t="s">
        <v>113</v>
      </c>
      <c r="J72" s="2" t="str">
        <f>""</f>
        <v/>
      </c>
      <c r="K72" s="2" t="str">
        <f>"PFES1162670630_0001"</f>
        <v>PFES1162670630_0001</v>
      </c>
      <c r="L72" s="2">
        <v>1</v>
      </c>
      <c r="M72" s="2">
        <v>1</v>
      </c>
    </row>
    <row r="73" spans="1:13">
      <c r="A73" s="6">
        <v>43497</v>
      </c>
      <c r="B73" s="7">
        <v>0.4916666666666667</v>
      </c>
      <c r="C73" s="2" t="str">
        <f>"FES1162670614"</f>
        <v>FES1162670614</v>
      </c>
      <c r="D73" s="2" t="s">
        <v>18</v>
      </c>
      <c r="E73" s="2" t="s">
        <v>114</v>
      </c>
      <c r="F73" s="2" t="str">
        <f>"2170672114 "</f>
        <v xml:space="preserve">2170672114 </v>
      </c>
      <c r="G73" s="2" t="str">
        <f t="shared" si="2"/>
        <v>ON1</v>
      </c>
      <c r="H73" s="2" t="s">
        <v>20</v>
      </c>
      <c r="I73" s="2" t="s">
        <v>111</v>
      </c>
      <c r="J73" s="2" t="str">
        <f>""</f>
        <v/>
      </c>
      <c r="K73" s="2" t="str">
        <f>"PFES1162670614_0001"</f>
        <v>PFES1162670614_0001</v>
      </c>
      <c r="L73" s="2">
        <v>1</v>
      </c>
      <c r="M73" s="2">
        <v>1</v>
      </c>
    </row>
    <row r="74" spans="1:13">
      <c r="A74" s="6">
        <v>43497</v>
      </c>
      <c r="B74" s="7">
        <v>0.4916666666666667</v>
      </c>
      <c r="C74" s="2" t="str">
        <f>"FES1162670624"</f>
        <v>FES1162670624</v>
      </c>
      <c r="D74" s="2" t="s">
        <v>18</v>
      </c>
      <c r="E74" s="2" t="s">
        <v>115</v>
      </c>
      <c r="F74" s="2" t="str">
        <f>"2170672172 "</f>
        <v xml:space="preserve">2170672172 </v>
      </c>
      <c r="G74" s="2" t="str">
        <f t="shared" si="2"/>
        <v>ON1</v>
      </c>
      <c r="H74" s="2" t="s">
        <v>20</v>
      </c>
      <c r="I74" s="2" t="s">
        <v>93</v>
      </c>
      <c r="J74" s="2" t="str">
        <f>""</f>
        <v/>
      </c>
      <c r="K74" s="2" t="str">
        <f>"PFES1162670624_0001"</f>
        <v>PFES1162670624_0001</v>
      </c>
      <c r="L74" s="2">
        <v>1</v>
      </c>
      <c r="M74" s="2">
        <v>1</v>
      </c>
    </row>
    <row r="75" spans="1:13">
      <c r="A75" s="6">
        <v>43497</v>
      </c>
      <c r="B75" s="7">
        <v>0.4909722222222222</v>
      </c>
      <c r="C75" s="2" t="str">
        <f>"FES1162670649"</f>
        <v>FES1162670649</v>
      </c>
      <c r="D75" s="2" t="s">
        <v>18</v>
      </c>
      <c r="E75" s="2" t="s">
        <v>88</v>
      </c>
      <c r="F75" s="2" t="str">
        <f>"2170672176 "</f>
        <v xml:space="preserve">2170672176 </v>
      </c>
      <c r="G75" s="2" t="str">
        <f t="shared" si="2"/>
        <v>ON1</v>
      </c>
      <c r="H75" s="2" t="s">
        <v>20</v>
      </c>
      <c r="I75" s="2" t="s">
        <v>89</v>
      </c>
      <c r="J75" s="2" t="str">
        <f>""</f>
        <v/>
      </c>
      <c r="K75" s="2" t="str">
        <f>"PFES1162670649_0001"</f>
        <v>PFES1162670649_0001</v>
      </c>
      <c r="L75" s="2">
        <v>1</v>
      </c>
      <c r="M75" s="2">
        <v>1</v>
      </c>
    </row>
    <row r="76" spans="1:13">
      <c r="A76" s="6">
        <v>43497</v>
      </c>
      <c r="B76" s="7">
        <v>0.4909722222222222</v>
      </c>
      <c r="C76" s="2" t="str">
        <f>"FES1162670577"</f>
        <v>FES1162670577</v>
      </c>
      <c r="D76" s="2" t="s">
        <v>18</v>
      </c>
      <c r="E76" s="2" t="s">
        <v>116</v>
      </c>
      <c r="F76" s="2" t="str">
        <f>"2170669856 "</f>
        <v xml:space="preserve">2170669856 </v>
      </c>
      <c r="G76" s="2" t="str">
        <f t="shared" si="2"/>
        <v>ON1</v>
      </c>
      <c r="H76" s="2" t="s">
        <v>20</v>
      </c>
      <c r="I76" s="2" t="s">
        <v>117</v>
      </c>
      <c r="J76" s="2" t="str">
        <f>""</f>
        <v/>
      </c>
      <c r="K76" s="2" t="str">
        <f>"PFES1162670577_0001"</f>
        <v>PFES1162670577_0001</v>
      </c>
      <c r="L76" s="2">
        <v>1</v>
      </c>
      <c r="M76" s="2">
        <v>1</v>
      </c>
    </row>
    <row r="77" spans="1:13">
      <c r="A77" s="6">
        <v>43497</v>
      </c>
      <c r="B77" s="7">
        <v>0.49027777777777781</v>
      </c>
      <c r="C77" s="2" t="str">
        <f>"FES1162670631"</f>
        <v>FES1162670631</v>
      </c>
      <c r="D77" s="2" t="s">
        <v>18</v>
      </c>
      <c r="E77" s="2" t="s">
        <v>118</v>
      </c>
      <c r="F77" s="2" t="str">
        <f>"2170672142 "</f>
        <v xml:space="preserve">2170672142 </v>
      </c>
      <c r="G77" s="2" t="str">
        <f t="shared" si="2"/>
        <v>ON1</v>
      </c>
      <c r="H77" s="2" t="s">
        <v>20</v>
      </c>
      <c r="I77" s="2" t="s">
        <v>119</v>
      </c>
      <c r="J77" s="2" t="str">
        <f>""</f>
        <v/>
      </c>
      <c r="K77" s="2" t="str">
        <f>"PFES1162670631_0001"</f>
        <v>PFES1162670631_0001</v>
      </c>
      <c r="L77" s="2">
        <v>1</v>
      </c>
      <c r="M77" s="2">
        <v>1</v>
      </c>
    </row>
    <row r="78" spans="1:13">
      <c r="A78" s="6">
        <v>43497</v>
      </c>
      <c r="B78" s="7">
        <v>0.49027777777777781</v>
      </c>
      <c r="C78" s="2" t="str">
        <f>"FES1162670659"</f>
        <v>FES1162670659</v>
      </c>
      <c r="D78" s="2" t="s">
        <v>18</v>
      </c>
      <c r="E78" s="2" t="s">
        <v>120</v>
      </c>
      <c r="F78" s="2" t="str">
        <f>"2170671279 "</f>
        <v xml:space="preserve">2170671279 </v>
      </c>
      <c r="G78" s="2" t="str">
        <f t="shared" si="2"/>
        <v>ON1</v>
      </c>
      <c r="H78" s="2" t="s">
        <v>20</v>
      </c>
      <c r="I78" s="2" t="s">
        <v>121</v>
      </c>
      <c r="J78" s="2" t="str">
        <f>""</f>
        <v/>
      </c>
      <c r="K78" s="2" t="str">
        <f>"PFES1162670659_0001"</f>
        <v>PFES1162670659_0001</v>
      </c>
      <c r="L78" s="2">
        <v>1</v>
      </c>
      <c r="M78" s="2">
        <v>1</v>
      </c>
    </row>
    <row r="79" spans="1:13">
      <c r="A79" s="6">
        <v>43497</v>
      </c>
      <c r="B79" s="7">
        <v>0.4826388888888889</v>
      </c>
      <c r="C79" s="2" t="str">
        <f>"FES1162670563"</f>
        <v>FES1162670563</v>
      </c>
      <c r="D79" s="2" t="s">
        <v>18</v>
      </c>
      <c r="E79" s="2" t="s">
        <v>122</v>
      </c>
      <c r="F79" s="2" t="str">
        <f>"2170671877 "</f>
        <v xml:space="preserve">2170671877 </v>
      </c>
      <c r="G79" s="2" t="str">
        <f t="shared" si="2"/>
        <v>ON1</v>
      </c>
      <c r="H79" s="2" t="s">
        <v>20</v>
      </c>
      <c r="I79" s="2" t="s">
        <v>41</v>
      </c>
      <c r="J79" s="2" t="str">
        <f>""</f>
        <v/>
      </c>
      <c r="K79" s="2" t="str">
        <f>"PFES1162670563_0001"</f>
        <v>PFES1162670563_0001</v>
      </c>
      <c r="L79" s="2">
        <v>1</v>
      </c>
      <c r="M79" s="2">
        <v>1</v>
      </c>
    </row>
    <row r="80" spans="1:13">
      <c r="A80" s="6">
        <v>43497</v>
      </c>
      <c r="B80" s="7">
        <v>0.4826388888888889</v>
      </c>
      <c r="C80" s="2" t="str">
        <f>"FES1162670566"</f>
        <v>FES1162670566</v>
      </c>
      <c r="D80" s="2" t="s">
        <v>18</v>
      </c>
      <c r="E80" s="2" t="s">
        <v>123</v>
      </c>
      <c r="F80" s="2" t="str">
        <f>"2170672060 "</f>
        <v xml:space="preserve">2170672060 </v>
      </c>
      <c r="G80" s="2" t="str">
        <f t="shared" si="2"/>
        <v>ON1</v>
      </c>
      <c r="H80" s="2" t="s">
        <v>20</v>
      </c>
      <c r="I80" s="2" t="s">
        <v>124</v>
      </c>
      <c r="J80" s="2" t="str">
        <f>""</f>
        <v/>
      </c>
      <c r="K80" s="2" t="str">
        <f>"PFES1162670566_0001"</f>
        <v>PFES1162670566_0001</v>
      </c>
      <c r="L80" s="2">
        <v>1</v>
      </c>
      <c r="M80" s="2">
        <v>1</v>
      </c>
    </row>
    <row r="81" spans="1:13">
      <c r="A81" s="6">
        <v>43497</v>
      </c>
      <c r="B81" s="7">
        <v>0.48194444444444445</v>
      </c>
      <c r="C81" s="2" t="str">
        <f>"FES1162670587"</f>
        <v>FES1162670587</v>
      </c>
      <c r="D81" s="2" t="s">
        <v>18</v>
      </c>
      <c r="E81" s="2" t="s">
        <v>34</v>
      </c>
      <c r="F81" s="2" t="str">
        <f>"2170672037 "</f>
        <v xml:space="preserve">2170672037 </v>
      </c>
      <c r="G81" s="2" t="str">
        <f t="shared" si="2"/>
        <v>ON1</v>
      </c>
      <c r="H81" s="2" t="s">
        <v>20</v>
      </c>
      <c r="I81" s="2" t="s">
        <v>35</v>
      </c>
      <c r="J81" s="2" t="str">
        <f>""</f>
        <v/>
      </c>
      <c r="K81" s="2" t="str">
        <f>"PFES1162670587_0001"</f>
        <v>PFES1162670587_0001</v>
      </c>
      <c r="L81" s="2">
        <v>1</v>
      </c>
      <c r="M81" s="2">
        <v>1</v>
      </c>
    </row>
    <row r="82" spans="1:13">
      <c r="A82" s="6">
        <v>43497</v>
      </c>
      <c r="B82" s="7">
        <v>0.48194444444444445</v>
      </c>
      <c r="C82" s="2" t="str">
        <f>"FES1162670607"</f>
        <v>FES1162670607</v>
      </c>
      <c r="D82" s="2" t="s">
        <v>18</v>
      </c>
      <c r="E82" s="2" t="s">
        <v>125</v>
      </c>
      <c r="F82" s="2" t="str">
        <f>"2170672017 "</f>
        <v xml:space="preserve">2170672017 </v>
      </c>
      <c r="G82" s="2" t="str">
        <f t="shared" si="2"/>
        <v>ON1</v>
      </c>
      <c r="H82" s="2" t="s">
        <v>20</v>
      </c>
      <c r="I82" s="2" t="s">
        <v>126</v>
      </c>
      <c r="J82" s="2" t="str">
        <f>""</f>
        <v/>
      </c>
      <c r="K82" s="2" t="str">
        <f>"PFES1162670607_0001"</f>
        <v>PFES1162670607_0001</v>
      </c>
      <c r="L82" s="2">
        <v>1</v>
      </c>
      <c r="M82" s="2">
        <v>1</v>
      </c>
    </row>
    <row r="83" spans="1:13">
      <c r="A83" s="6">
        <v>43497</v>
      </c>
      <c r="B83" s="7">
        <v>0.48125000000000001</v>
      </c>
      <c r="C83" s="2" t="str">
        <f>"FES1162670576"</f>
        <v>FES1162670576</v>
      </c>
      <c r="D83" s="2" t="s">
        <v>18</v>
      </c>
      <c r="E83" s="2" t="s">
        <v>19</v>
      </c>
      <c r="F83" s="2" t="str">
        <f>"2170669265 "</f>
        <v xml:space="preserve">2170669265 </v>
      </c>
      <c r="G83" s="2" t="str">
        <f t="shared" si="2"/>
        <v>ON1</v>
      </c>
      <c r="H83" s="2" t="s">
        <v>20</v>
      </c>
      <c r="I83" s="2" t="s">
        <v>21</v>
      </c>
      <c r="J83" s="2" t="str">
        <f>""</f>
        <v/>
      </c>
      <c r="K83" s="2" t="str">
        <f>"PFES1162670576_0001"</f>
        <v>PFES1162670576_0001</v>
      </c>
      <c r="L83" s="2">
        <v>1</v>
      </c>
      <c r="M83" s="2">
        <v>1</v>
      </c>
    </row>
    <row r="84" spans="1:13">
      <c r="A84" s="6">
        <v>43497</v>
      </c>
      <c r="B84" s="7">
        <v>0.48125000000000001</v>
      </c>
      <c r="C84" s="2" t="str">
        <f>"FES1162670616"</f>
        <v>FES1162670616</v>
      </c>
      <c r="D84" s="2" t="s">
        <v>18</v>
      </c>
      <c r="E84" s="2" t="s">
        <v>127</v>
      </c>
      <c r="F84" s="2" t="str">
        <f>"2170672119 "</f>
        <v xml:space="preserve">2170672119 </v>
      </c>
      <c r="G84" s="2" t="str">
        <f t="shared" si="2"/>
        <v>ON1</v>
      </c>
      <c r="H84" s="2" t="s">
        <v>20</v>
      </c>
      <c r="I84" s="2" t="s">
        <v>128</v>
      </c>
      <c r="J84" s="2" t="str">
        <f>""</f>
        <v/>
      </c>
      <c r="K84" s="2" t="str">
        <f>"PFES1162670616_0001"</f>
        <v>PFES1162670616_0001</v>
      </c>
      <c r="L84" s="2">
        <v>1</v>
      </c>
      <c r="M84" s="2">
        <v>1</v>
      </c>
    </row>
    <row r="85" spans="1:13">
      <c r="A85" s="6">
        <v>43497</v>
      </c>
      <c r="B85" s="7">
        <v>0.48055555555555557</v>
      </c>
      <c r="C85" s="2" t="str">
        <f>"FES1162670592"</f>
        <v>FES1162670592</v>
      </c>
      <c r="D85" s="2" t="s">
        <v>18</v>
      </c>
      <c r="E85" s="2" t="s">
        <v>129</v>
      </c>
      <c r="F85" s="2" t="str">
        <f>"217067208 "</f>
        <v xml:space="preserve">217067208 </v>
      </c>
      <c r="G85" s="2" t="str">
        <f t="shared" si="2"/>
        <v>ON1</v>
      </c>
      <c r="H85" s="2" t="s">
        <v>20</v>
      </c>
      <c r="I85" s="2" t="s">
        <v>130</v>
      </c>
      <c r="J85" s="2" t="str">
        <f>""</f>
        <v/>
      </c>
      <c r="K85" s="2" t="str">
        <f>"PFES1162670592_0001"</f>
        <v>PFES1162670592_0001</v>
      </c>
      <c r="L85" s="2">
        <v>1</v>
      </c>
      <c r="M85" s="2">
        <v>1</v>
      </c>
    </row>
    <row r="86" spans="1:13">
      <c r="A86" s="6">
        <v>43497</v>
      </c>
      <c r="B86" s="7">
        <v>0.48055555555555557</v>
      </c>
      <c r="C86" s="2" t="str">
        <f>"FES1162670570"</f>
        <v>FES1162670570</v>
      </c>
      <c r="D86" s="2" t="s">
        <v>18</v>
      </c>
      <c r="E86" s="2" t="s">
        <v>131</v>
      </c>
      <c r="F86" s="2" t="str">
        <f>"2170672072 "</f>
        <v xml:space="preserve">2170672072 </v>
      </c>
      <c r="G86" s="2" t="str">
        <f t="shared" si="2"/>
        <v>ON1</v>
      </c>
      <c r="H86" s="2" t="s">
        <v>20</v>
      </c>
      <c r="I86" s="2" t="s">
        <v>121</v>
      </c>
      <c r="J86" s="2" t="str">
        <f>""</f>
        <v/>
      </c>
      <c r="K86" s="2" t="str">
        <f>"PFES1162670570_0001"</f>
        <v>PFES1162670570_0001</v>
      </c>
      <c r="L86" s="2">
        <v>1</v>
      </c>
      <c r="M86" s="2">
        <v>1</v>
      </c>
    </row>
    <row r="87" spans="1:13">
      <c r="A87" s="6">
        <v>43497</v>
      </c>
      <c r="B87" s="7">
        <v>0.47986111111111113</v>
      </c>
      <c r="C87" s="2" t="str">
        <f>"FES1162670581"</f>
        <v>FES1162670581</v>
      </c>
      <c r="D87" s="2" t="s">
        <v>18</v>
      </c>
      <c r="E87" s="2" t="s">
        <v>132</v>
      </c>
      <c r="F87" s="2" t="str">
        <f>"2170670695 "</f>
        <v xml:space="preserve">2170670695 </v>
      </c>
      <c r="G87" s="2" t="str">
        <f t="shared" si="2"/>
        <v>ON1</v>
      </c>
      <c r="H87" s="2" t="s">
        <v>20</v>
      </c>
      <c r="I87" s="2" t="s">
        <v>133</v>
      </c>
      <c r="J87" s="2" t="str">
        <f>""</f>
        <v/>
      </c>
      <c r="K87" s="2" t="str">
        <f>"PFES1162670581_0001"</f>
        <v>PFES1162670581_0001</v>
      </c>
      <c r="L87" s="2">
        <v>1</v>
      </c>
      <c r="M87" s="2">
        <v>1</v>
      </c>
    </row>
    <row r="88" spans="1:13">
      <c r="A88" s="6">
        <v>43497</v>
      </c>
      <c r="B88" s="7">
        <v>0.47986111111111113</v>
      </c>
      <c r="C88" s="2" t="str">
        <f>"FES1162670591"</f>
        <v>FES1162670591</v>
      </c>
      <c r="D88" s="2" t="s">
        <v>18</v>
      </c>
      <c r="E88" s="2" t="s">
        <v>95</v>
      </c>
      <c r="F88" s="2" t="str">
        <f>"2170672086 "</f>
        <v xml:space="preserve">2170672086 </v>
      </c>
      <c r="G88" s="2" t="str">
        <f t="shared" si="2"/>
        <v>ON1</v>
      </c>
      <c r="H88" s="2" t="s">
        <v>20</v>
      </c>
      <c r="I88" s="2" t="s">
        <v>96</v>
      </c>
      <c r="J88" s="2" t="str">
        <f>""</f>
        <v/>
      </c>
      <c r="K88" s="2" t="str">
        <f>"PFES1162670591_0001"</f>
        <v>PFES1162670591_0001</v>
      </c>
      <c r="L88" s="2">
        <v>1</v>
      </c>
      <c r="M88" s="2">
        <v>1</v>
      </c>
    </row>
    <row r="89" spans="1:13">
      <c r="A89" s="6">
        <v>43497</v>
      </c>
      <c r="B89" s="7">
        <v>0.47916666666666669</v>
      </c>
      <c r="C89" s="2" t="str">
        <f>"FES1162670582"</f>
        <v>FES1162670582</v>
      </c>
      <c r="D89" s="2" t="s">
        <v>18</v>
      </c>
      <c r="E89" s="2" t="s">
        <v>134</v>
      </c>
      <c r="F89" s="2" t="str">
        <f>"2170670697 "</f>
        <v xml:space="preserve">2170670697 </v>
      </c>
      <c r="G89" s="2" t="str">
        <f t="shared" si="2"/>
        <v>ON1</v>
      </c>
      <c r="H89" s="2" t="s">
        <v>20</v>
      </c>
      <c r="I89" s="2" t="s">
        <v>135</v>
      </c>
      <c r="J89" s="2" t="str">
        <f>""</f>
        <v/>
      </c>
      <c r="K89" s="2" t="str">
        <f>"PFES1162670582_0001"</f>
        <v>PFES1162670582_0001</v>
      </c>
      <c r="L89" s="2">
        <v>1</v>
      </c>
      <c r="M89" s="2">
        <v>1</v>
      </c>
    </row>
    <row r="90" spans="1:13">
      <c r="A90" s="6">
        <v>43497</v>
      </c>
      <c r="B90" s="7">
        <v>0.47916666666666669</v>
      </c>
      <c r="C90" s="2" t="str">
        <f>"FES1162670586"</f>
        <v>FES1162670586</v>
      </c>
      <c r="D90" s="2" t="s">
        <v>18</v>
      </c>
      <c r="E90" s="2" t="s">
        <v>136</v>
      </c>
      <c r="F90" s="2" t="str">
        <f>"2170671141 "</f>
        <v xml:space="preserve">2170671141 </v>
      </c>
      <c r="G90" s="2" t="str">
        <f t="shared" si="2"/>
        <v>ON1</v>
      </c>
      <c r="H90" s="2" t="s">
        <v>20</v>
      </c>
      <c r="I90" s="2" t="s">
        <v>137</v>
      </c>
      <c r="J90" s="2" t="str">
        <f>""</f>
        <v/>
      </c>
      <c r="K90" s="2" t="str">
        <f>"PFES1162670586_0001"</f>
        <v>PFES1162670586_0001</v>
      </c>
      <c r="L90" s="2">
        <v>1</v>
      </c>
      <c r="M90" s="2">
        <v>1</v>
      </c>
    </row>
    <row r="91" spans="1:13">
      <c r="A91" s="6">
        <v>43497</v>
      </c>
      <c r="B91" s="7">
        <v>0.47847222222222219</v>
      </c>
      <c r="C91" s="2" t="str">
        <f>"FES1162670626"</f>
        <v>FES1162670626</v>
      </c>
      <c r="D91" s="2" t="s">
        <v>18</v>
      </c>
      <c r="E91" s="2" t="s">
        <v>138</v>
      </c>
      <c r="F91" s="2" t="str">
        <f>"2170672130 "</f>
        <v xml:space="preserve">2170672130 </v>
      </c>
      <c r="G91" s="2" t="str">
        <f t="shared" si="2"/>
        <v>ON1</v>
      </c>
      <c r="H91" s="2" t="s">
        <v>20</v>
      </c>
      <c r="I91" s="2" t="s">
        <v>139</v>
      </c>
      <c r="J91" s="2" t="str">
        <f>""</f>
        <v/>
      </c>
      <c r="K91" s="2" t="str">
        <f>"PFES1162670626_0001"</f>
        <v>PFES1162670626_0001</v>
      </c>
      <c r="L91" s="2">
        <v>1</v>
      </c>
      <c r="M91" s="2">
        <v>1</v>
      </c>
    </row>
    <row r="92" spans="1:13">
      <c r="A92" s="6">
        <v>43497</v>
      </c>
      <c r="B92" s="7">
        <v>0.47847222222222219</v>
      </c>
      <c r="C92" s="2" t="str">
        <f>"FES1162670579"</f>
        <v>FES1162670579</v>
      </c>
      <c r="D92" s="2" t="s">
        <v>18</v>
      </c>
      <c r="E92" s="2" t="s">
        <v>140</v>
      </c>
      <c r="F92" s="2" t="str">
        <f>"217067019 "</f>
        <v xml:space="preserve">217067019 </v>
      </c>
      <c r="G92" s="2" t="str">
        <f t="shared" si="2"/>
        <v>ON1</v>
      </c>
      <c r="H92" s="2" t="s">
        <v>20</v>
      </c>
      <c r="I92" s="2" t="s">
        <v>141</v>
      </c>
      <c r="J92" s="2" t="str">
        <f>""</f>
        <v/>
      </c>
      <c r="K92" s="2" t="str">
        <f>"PFES1162670579_0001"</f>
        <v>PFES1162670579_0001</v>
      </c>
      <c r="L92" s="2">
        <v>1</v>
      </c>
      <c r="M92" s="2">
        <v>1</v>
      </c>
    </row>
    <row r="93" spans="1:13">
      <c r="A93" s="6">
        <v>43497</v>
      </c>
      <c r="B93" s="7">
        <v>0.47847222222222219</v>
      </c>
      <c r="C93" s="2" t="str">
        <f>"FES1162670603"</f>
        <v>FES1162670603</v>
      </c>
      <c r="D93" s="2" t="s">
        <v>18</v>
      </c>
      <c r="E93" s="2" t="s">
        <v>142</v>
      </c>
      <c r="F93" s="2" t="str">
        <f>"2170672014 "</f>
        <v xml:space="preserve">2170672014 </v>
      </c>
      <c r="G93" s="2" t="str">
        <f t="shared" si="2"/>
        <v>ON1</v>
      </c>
      <c r="H93" s="2" t="s">
        <v>20</v>
      </c>
      <c r="I93" s="2" t="s">
        <v>143</v>
      </c>
      <c r="J93" s="2" t="str">
        <f>""</f>
        <v/>
      </c>
      <c r="K93" s="2" t="str">
        <f>"PFES1162670603_0001"</f>
        <v>PFES1162670603_0001</v>
      </c>
      <c r="L93" s="2">
        <v>1</v>
      </c>
      <c r="M93" s="2">
        <v>1</v>
      </c>
    </row>
    <row r="94" spans="1:13">
      <c r="A94" s="6">
        <v>43497</v>
      </c>
      <c r="B94" s="7">
        <v>0.4777777777777778</v>
      </c>
      <c r="C94" s="2" t="str">
        <f>"FES1162670575"</f>
        <v>FES1162670575</v>
      </c>
      <c r="D94" s="2" t="s">
        <v>18</v>
      </c>
      <c r="E94" s="2" t="s">
        <v>144</v>
      </c>
      <c r="F94" s="2" t="str">
        <f>"2170669038 "</f>
        <v xml:space="preserve">2170669038 </v>
      </c>
      <c r="G94" s="2" t="str">
        <f t="shared" si="2"/>
        <v>ON1</v>
      </c>
      <c r="H94" s="2" t="s">
        <v>20</v>
      </c>
      <c r="I94" s="2" t="s">
        <v>145</v>
      </c>
      <c r="J94" s="2" t="str">
        <f>""</f>
        <v/>
      </c>
      <c r="K94" s="2" t="str">
        <f>"PFES1162670575_0001"</f>
        <v>PFES1162670575_0001</v>
      </c>
      <c r="L94" s="2">
        <v>1</v>
      </c>
      <c r="M94" s="2">
        <v>1</v>
      </c>
    </row>
    <row r="95" spans="1:13">
      <c r="A95" s="6">
        <v>43497</v>
      </c>
      <c r="B95" s="7">
        <v>0.4777777777777778</v>
      </c>
      <c r="C95" s="2" t="str">
        <f>"FES1162670568"</f>
        <v>FES1162670568</v>
      </c>
      <c r="D95" s="2" t="s">
        <v>18</v>
      </c>
      <c r="E95" s="2" t="s">
        <v>146</v>
      </c>
      <c r="F95" s="2" t="str">
        <f>"2170671331 "</f>
        <v xml:space="preserve">2170671331 </v>
      </c>
      <c r="G95" s="2" t="str">
        <f t="shared" si="2"/>
        <v>ON1</v>
      </c>
      <c r="H95" s="2" t="s">
        <v>20</v>
      </c>
      <c r="I95" s="2" t="s">
        <v>147</v>
      </c>
      <c r="J95" s="2" t="str">
        <f>""</f>
        <v/>
      </c>
      <c r="K95" s="2" t="str">
        <f>"PFES1162670568_0001"</f>
        <v>PFES1162670568_0001</v>
      </c>
      <c r="L95" s="2">
        <v>1</v>
      </c>
      <c r="M95" s="2">
        <v>1</v>
      </c>
    </row>
    <row r="96" spans="1:13">
      <c r="A96" s="6">
        <v>43497</v>
      </c>
      <c r="B96" s="7">
        <v>0.4770833333333333</v>
      </c>
      <c r="C96" s="2" t="str">
        <f>"FES1162670646"</f>
        <v>FES1162670646</v>
      </c>
      <c r="D96" s="2" t="s">
        <v>18</v>
      </c>
      <c r="E96" s="2" t="s">
        <v>129</v>
      </c>
      <c r="F96" s="2" t="str">
        <f>"2170+672166 "</f>
        <v xml:space="preserve">2170+672166 </v>
      </c>
      <c r="G96" s="2" t="str">
        <f t="shared" si="2"/>
        <v>ON1</v>
      </c>
      <c r="H96" s="2" t="s">
        <v>20</v>
      </c>
      <c r="I96" s="2" t="s">
        <v>130</v>
      </c>
      <c r="J96" s="2" t="str">
        <f>""</f>
        <v/>
      </c>
      <c r="K96" s="2" t="str">
        <f>"PFES1162670646_0001"</f>
        <v>PFES1162670646_0001</v>
      </c>
      <c r="L96" s="2">
        <v>1</v>
      </c>
      <c r="M96" s="2">
        <v>1</v>
      </c>
    </row>
    <row r="97" spans="1:13">
      <c r="A97" s="6">
        <v>43497</v>
      </c>
      <c r="B97" s="7">
        <v>0.47638888888888892</v>
      </c>
      <c r="C97" s="2" t="str">
        <f>"FES1162670656"</f>
        <v>FES1162670656</v>
      </c>
      <c r="D97" s="2" t="s">
        <v>18</v>
      </c>
      <c r="E97" s="2" t="s">
        <v>148</v>
      </c>
      <c r="F97" s="2" t="str">
        <f>"2170672192 "</f>
        <v xml:space="preserve">2170672192 </v>
      </c>
      <c r="G97" s="2" t="str">
        <f t="shared" si="2"/>
        <v>ON1</v>
      </c>
      <c r="H97" s="2" t="s">
        <v>20</v>
      </c>
      <c r="I97" s="2" t="s">
        <v>149</v>
      </c>
      <c r="J97" s="2" t="str">
        <f>""</f>
        <v/>
      </c>
      <c r="K97" s="2" t="str">
        <f>"PFES1162670656_0001"</f>
        <v>PFES1162670656_0001</v>
      </c>
      <c r="L97" s="2">
        <v>1</v>
      </c>
      <c r="M97" s="2">
        <v>1</v>
      </c>
    </row>
    <row r="98" spans="1:13">
      <c r="A98" s="6">
        <v>43497</v>
      </c>
      <c r="B98" s="7">
        <v>0.47638888888888892</v>
      </c>
      <c r="C98" s="2" t="str">
        <f>"FES1162670650"</f>
        <v>FES1162670650</v>
      </c>
      <c r="D98" s="2" t="s">
        <v>18</v>
      </c>
      <c r="E98" s="2" t="s">
        <v>150</v>
      </c>
      <c r="F98" s="2" t="str">
        <f>"21706721813 "</f>
        <v xml:space="preserve">21706721813 </v>
      </c>
      <c r="G98" s="2" t="str">
        <f t="shared" si="2"/>
        <v>ON1</v>
      </c>
      <c r="H98" s="2" t="s">
        <v>20</v>
      </c>
      <c r="I98" s="2" t="s">
        <v>137</v>
      </c>
      <c r="J98" s="2" t="str">
        <f>""</f>
        <v/>
      </c>
      <c r="K98" s="2" t="str">
        <f>"PFES1162670650_0001"</f>
        <v>PFES1162670650_0001</v>
      </c>
      <c r="L98" s="2">
        <v>1</v>
      </c>
      <c r="M98" s="2">
        <v>1</v>
      </c>
    </row>
    <row r="99" spans="1:13">
      <c r="A99" s="6">
        <v>43497</v>
      </c>
      <c r="B99" s="7">
        <v>0.47638888888888892</v>
      </c>
      <c r="C99" s="2" t="str">
        <f>"009935723038"</f>
        <v>009935723038</v>
      </c>
      <c r="D99" s="2" t="s">
        <v>18</v>
      </c>
      <c r="E99" s="2" t="s">
        <v>150</v>
      </c>
      <c r="F99" s="2" t="str">
        <f>"1162666873 "</f>
        <v xml:space="preserve">1162666873 </v>
      </c>
      <c r="G99" s="2" t="str">
        <f t="shared" si="2"/>
        <v>ON1</v>
      </c>
      <c r="H99" s="2" t="s">
        <v>20</v>
      </c>
      <c r="I99" s="2" t="s">
        <v>137</v>
      </c>
      <c r="J99" s="2" t="str">
        <f>"RE SEND PARCEL"</f>
        <v>RE SEND PARCEL</v>
      </c>
      <c r="K99" s="2" t="str">
        <f>"P009935723038_0001"</f>
        <v>P009935723038_0001</v>
      </c>
      <c r="L99" s="2">
        <v>1</v>
      </c>
      <c r="M99" s="2">
        <v>2</v>
      </c>
    </row>
    <row r="100" spans="1:13">
      <c r="A100" s="6">
        <v>43497</v>
      </c>
      <c r="B100" s="7">
        <v>0.47430555555555554</v>
      </c>
      <c r="C100" s="2" t="str">
        <f>"FES1162670622"</f>
        <v>FES1162670622</v>
      </c>
      <c r="D100" s="2" t="s">
        <v>18</v>
      </c>
      <c r="E100" s="2" t="s">
        <v>120</v>
      </c>
      <c r="F100" s="2" t="str">
        <f>"2170672122 "</f>
        <v xml:space="preserve">2170672122 </v>
      </c>
      <c r="G100" s="2" t="str">
        <f t="shared" si="2"/>
        <v>ON1</v>
      </c>
      <c r="H100" s="2" t="s">
        <v>20</v>
      </c>
      <c r="I100" s="2" t="s">
        <v>121</v>
      </c>
      <c r="J100" s="2" t="str">
        <f>""</f>
        <v/>
      </c>
      <c r="K100" s="2" t="str">
        <f>"PFES1162670622_0001"</f>
        <v>PFES1162670622_0001</v>
      </c>
      <c r="L100" s="2">
        <v>1</v>
      </c>
      <c r="M100" s="2">
        <v>3</v>
      </c>
    </row>
    <row r="101" spans="1:13">
      <c r="A101" s="6">
        <v>43497</v>
      </c>
      <c r="B101" s="7">
        <v>0.47361111111111115</v>
      </c>
      <c r="C101" s="2" t="str">
        <f>"FES1162670657"</f>
        <v>FES1162670657</v>
      </c>
      <c r="D101" s="2" t="s">
        <v>18</v>
      </c>
      <c r="E101" s="2" t="s">
        <v>151</v>
      </c>
      <c r="F101" s="2" t="str">
        <f>"2170672193 "</f>
        <v xml:space="preserve">2170672193 </v>
      </c>
      <c r="G101" s="2" t="str">
        <f t="shared" si="2"/>
        <v>ON1</v>
      </c>
      <c r="H101" s="2" t="s">
        <v>20</v>
      </c>
      <c r="I101" s="2" t="s">
        <v>63</v>
      </c>
      <c r="J101" s="2" t="str">
        <f>""</f>
        <v/>
      </c>
      <c r="K101" s="2" t="str">
        <f>"PFES1162670657_0001"</f>
        <v>PFES1162670657_0001</v>
      </c>
      <c r="L101" s="2">
        <v>1</v>
      </c>
      <c r="M101" s="2">
        <v>1</v>
      </c>
    </row>
    <row r="102" spans="1:13">
      <c r="A102" s="6">
        <v>43497</v>
      </c>
      <c r="B102" s="7">
        <v>0.47361111111111115</v>
      </c>
      <c r="C102" s="2" t="str">
        <f>"FES1162670632"</f>
        <v>FES1162670632</v>
      </c>
      <c r="D102" s="2" t="s">
        <v>18</v>
      </c>
      <c r="E102" s="2" t="s">
        <v>120</v>
      </c>
      <c r="F102" s="2" t="str">
        <f>"2170672143 "</f>
        <v xml:space="preserve">2170672143 </v>
      </c>
      <c r="G102" s="2" t="str">
        <f t="shared" si="2"/>
        <v>ON1</v>
      </c>
      <c r="H102" s="2" t="s">
        <v>20</v>
      </c>
      <c r="I102" s="2" t="s">
        <v>121</v>
      </c>
      <c r="J102" s="2" t="str">
        <f>""</f>
        <v/>
      </c>
      <c r="K102" s="2" t="str">
        <f>"PFES1162670632_0001"</f>
        <v>PFES1162670632_0001</v>
      </c>
      <c r="L102" s="2">
        <v>1</v>
      </c>
      <c r="M102" s="2">
        <v>1</v>
      </c>
    </row>
    <row r="103" spans="1:13">
      <c r="A103" s="6">
        <v>43497</v>
      </c>
      <c r="B103" s="7">
        <v>0.47222222222222227</v>
      </c>
      <c r="C103" s="2" t="str">
        <f>"FES1162670569"</f>
        <v>FES1162670569</v>
      </c>
      <c r="D103" s="2" t="s">
        <v>18</v>
      </c>
      <c r="E103" s="2" t="s">
        <v>34</v>
      </c>
      <c r="F103" s="2" t="str">
        <f>"2170672069 "</f>
        <v xml:space="preserve">2170672069 </v>
      </c>
      <c r="G103" s="2" t="str">
        <f t="shared" si="2"/>
        <v>ON1</v>
      </c>
      <c r="H103" s="2" t="s">
        <v>20</v>
      </c>
      <c r="I103" s="2" t="s">
        <v>35</v>
      </c>
      <c r="J103" s="2" t="str">
        <f>""</f>
        <v/>
      </c>
      <c r="K103" s="2" t="str">
        <f>"PFES1162670569_0001"</f>
        <v>PFES1162670569_0001</v>
      </c>
      <c r="L103" s="2">
        <v>1</v>
      </c>
      <c r="M103" s="2">
        <v>3</v>
      </c>
    </row>
    <row r="104" spans="1:13">
      <c r="A104" s="6">
        <v>43497</v>
      </c>
      <c r="B104" s="7">
        <v>0.47222222222222227</v>
      </c>
      <c r="C104" s="2" t="str">
        <f>"FES1162670640"</f>
        <v>FES1162670640</v>
      </c>
      <c r="D104" s="2" t="s">
        <v>18</v>
      </c>
      <c r="E104" s="2" t="s">
        <v>19</v>
      </c>
      <c r="F104" s="2" t="str">
        <f>"2170672161 "</f>
        <v xml:space="preserve">2170672161 </v>
      </c>
      <c r="G104" s="2" t="str">
        <f t="shared" si="2"/>
        <v>ON1</v>
      </c>
      <c r="H104" s="2" t="s">
        <v>20</v>
      </c>
      <c r="I104" s="2" t="s">
        <v>21</v>
      </c>
      <c r="J104" s="2" t="str">
        <f>""</f>
        <v/>
      </c>
      <c r="K104" s="2" t="str">
        <f>"PFES1162670640_0001"</f>
        <v>PFES1162670640_0001</v>
      </c>
      <c r="L104" s="2">
        <v>1</v>
      </c>
      <c r="M104" s="2">
        <v>1</v>
      </c>
    </row>
    <row r="105" spans="1:13">
      <c r="A105" s="6">
        <v>43497</v>
      </c>
      <c r="B105" s="7">
        <v>0.47222222222222227</v>
      </c>
      <c r="C105" s="2" t="str">
        <f>"FES1162670643"</f>
        <v>FES1162670643</v>
      </c>
      <c r="D105" s="2" t="s">
        <v>18</v>
      </c>
      <c r="E105" s="2" t="s">
        <v>152</v>
      </c>
      <c r="F105" s="2" t="str">
        <f>"2170672159 "</f>
        <v xml:space="preserve">2170672159 </v>
      </c>
      <c r="G105" s="2" t="str">
        <f t="shared" si="2"/>
        <v>ON1</v>
      </c>
      <c r="H105" s="2" t="s">
        <v>20</v>
      </c>
      <c r="I105" s="2" t="s">
        <v>153</v>
      </c>
      <c r="J105" s="2" t="str">
        <f>""</f>
        <v/>
      </c>
      <c r="K105" s="2" t="str">
        <f>"PFES1162670643_0001"</f>
        <v>PFES1162670643_0001</v>
      </c>
      <c r="L105" s="2">
        <v>1</v>
      </c>
      <c r="M105" s="2">
        <v>1</v>
      </c>
    </row>
    <row r="106" spans="1:13">
      <c r="A106" s="6">
        <v>43497</v>
      </c>
      <c r="B106" s="7">
        <v>0.47152777777777777</v>
      </c>
      <c r="C106" s="2" t="str">
        <f>"FES1162670651"</f>
        <v>FES1162670651</v>
      </c>
      <c r="D106" s="2" t="s">
        <v>18</v>
      </c>
      <c r="E106" s="2" t="s">
        <v>154</v>
      </c>
      <c r="F106" s="2" t="str">
        <f>"2170672791 "</f>
        <v xml:space="preserve">2170672791 </v>
      </c>
      <c r="G106" s="2" t="str">
        <f t="shared" si="2"/>
        <v>ON1</v>
      </c>
      <c r="H106" s="2" t="s">
        <v>20</v>
      </c>
      <c r="I106" s="2" t="s">
        <v>67</v>
      </c>
      <c r="J106" s="2" t="str">
        <f>""</f>
        <v/>
      </c>
      <c r="K106" s="2" t="str">
        <f>"PFES1162670651_0001"</f>
        <v>PFES1162670651_0001</v>
      </c>
      <c r="L106" s="2">
        <v>1</v>
      </c>
      <c r="M106" s="2">
        <v>1</v>
      </c>
    </row>
    <row r="107" spans="1:13">
      <c r="A107" s="6">
        <v>43497</v>
      </c>
      <c r="B107" s="7">
        <v>0.47152777777777777</v>
      </c>
      <c r="C107" s="2" t="str">
        <f>"FES1162670612"</f>
        <v>FES1162670612</v>
      </c>
      <c r="D107" s="2" t="s">
        <v>18</v>
      </c>
      <c r="E107" s="2" t="s">
        <v>66</v>
      </c>
      <c r="F107" s="2" t="str">
        <f>"2170672112 "</f>
        <v xml:space="preserve">2170672112 </v>
      </c>
      <c r="G107" s="2" t="str">
        <f t="shared" si="2"/>
        <v>ON1</v>
      </c>
      <c r="H107" s="2" t="s">
        <v>20</v>
      </c>
      <c r="I107" s="2" t="s">
        <v>67</v>
      </c>
      <c r="J107" s="2" t="str">
        <f>""</f>
        <v/>
      </c>
      <c r="K107" s="2" t="str">
        <f>"PFES1162670612_0001"</f>
        <v>PFES1162670612_0001</v>
      </c>
      <c r="L107" s="2">
        <v>1</v>
      </c>
      <c r="M107" s="2">
        <v>1</v>
      </c>
    </row>
    <row r="108" spans="1:13">
      <c r="A108" s="6">
        <v>43497</v>
      </c>
      <c r="B108" s="7">
        <v>0.47083333333333338</v>
      </c>
      <c r="C108" s="2" t="str">
        <f>"FES1162670639"</f>
        <v>FES1162670639</v>
      </c>
      <c r="D108" s="2" t="s">
        <v>18</v>
      </c>
      <c r="E108" s="2" t="s">
        <v>155</v>
      </c>
      <c r="F108" s="2" t="str">
        <f>"2170671258 "</f>
        <v xml:space="preserve">2170671258 </v>
      </c>
      <c r="G108" s="2" t="str">
        <f t="shared" si="2"/>
        <v>ON1</v>
      </c>
      <c r="H108" s="2" t="s">
        <v>20</v>
      </c>
      <c r="I108" s="2" t="s">
        <v>156</v>
      </c>
      <c r="J108" s="2" t="str">
        <f>""</f>
        <v/>
      </c>
      <c r="K108" s="2" t="str">
        <f>"PFES1162670639_0001"</f>
        <v>PFES1162670639_0001</v>
      </c>
      <c r="L108" s="2">
        <v>1</v>
      </c>
      <c r="M108" s="2">
        <v>1</v>
      </c>
    </row>
    <row r="109" spans="1:13">
      <c r="A109" s="6">
        <v>43497</v>
      </c>
      <c r="B109" s="7">
        <v>0.47083333333333338</v>
      </c>
      <c r="C109" s="2" t="str">
        <f>"FES1162670610"</f>
        <v>FES1162670610</v>
      </c>
      <c r="D109" s="2" t="s">
        <v>18</v>
      </c>
      <c r="E109" s="2" t="s">
        <v>157</v>
      </c>
      <c r="F109" s="2" t="str">
        <f>"2170672110 "</f>
        <v xml:space="preserve">2170672110 </v>
      </c>
      <c r="G109" s="2" t="str">
        <f t="shared" si="2"/>
        <v>ON1</v>
      </c>
      <c r="H109" s="2" t="s">
        <v>20</v>
      </c>
      <c r="I109" s="2" t="s">
        <v>158</v>
      </c>
      <c r="J109" s="2" t="str">
        <f>""</f>
        <v/>
      </c>
      <c r="K109" s="2" t="str">
        <f>"PFES1162670610_0001"</f>
        <v>PFES1162670610_0001</v>
      </c>
      <c r="L109" s="2">
        <v>1</v>
      </c>
      <c r="M109" s="2">
        <v>1</v>
      </c>
    </row>
    <row r="110" spans="1:13">
      <c r="A110" s="6">
        <v>43497</v>
      </c>
      <c r="B110" s="7">
        <v>0.47083333333333338</v>
      </c>
      <c r="C110" s="2" t="str">
        <f>"FES1162670621"</f>
        <v>FES1162670621</v>
      </c>
      <c r="D110" s="2" t="s">
        <v>18</v>
      </c>
      <c r="E110" s="2" t="s">
        <v>71</v>
      </c>
      <c r="F110" s="2" t="str">
        <f>"2170671998 "</f>
        <v xml:space="preserve">2170671998 </v>
      </c>
      <c r="G110" s="2" t="str">
        <f t="shared" si="2"/>
        <v>ON1</v>
      </c>
      <c r="H110" s="2" t="s">
        <v>20</v>
      </c>
      <c r="I110" s="2" t="s">
        <v>72</v>
      </c>
      <c r="J110" s="2" t="str">
        <f>""</f>
        <v/>
      </c>
      <c r="K110" s="2" t="str">
        <f>"PFES1162670621_0001"</f>
        <v>PFES1162670621_0001</v>
      </c>
      <c r="L110" s="2">
        <v>1</v>
      </c>
      <c r="M110" s="2">
        <v>1</v>
      </c>
    </row>
    <row r="111" spans="1:13">
      <c r="A111" s="6">
        <v>43497</v>
      </c>
      <c r="B111" s="7">
        <v>0.47013888888888888</v>
      </c>
      <c r="C111" s="2" t="str">
        <f>"FES1162670635"</f>
        <v>FES1162670635</v>
      </c>
      <c r="D111" s="2" t="s">
        <v>18</v>
      </c>
      <c r="E111" s="2" t="s">
        <v>159</v>
      </c>
      <c r="F111" s="2" t="str">
        <f>"2170671068 "</f>
        <v xml:space="preserve">2170671068 </v>
      </c>
      <c r="G111" s="2" t="str">
        <f t="shared" si="2"/>
        <v>ON1</v>
      </c>
      <c r="H111" s="2" t="s">
        <v>20</v>
      </c>
      <c r="I111" s="2" t="s">
        <v>137</v>
      </c>
      <c r="J111" s="2" t="str">
        <f>""</f>
        <v/>
      </c>
      <c r="K111" s="2" t="str">
        <f>"PFES1162670635_0001"</f>
        <v>PFES1162670635_0001</v>
      </c>
      <c r="L111" s="2">
        <v>1</v>
      </c>
      <c r="M111" s="2">
        <v>1</v>
      </c>
    </row>
    <row r="112" spans="1:13">
      <c r="A112" s="6">
        <v>43497</v>
      </c>
      <c r="B112" s="7">
        <v>0.47013888888888888</v>
      </c>
      <c r="C112" s="2" t="str">
        <f>"FES1162670644"</f>
        <v>FES1162670644</v>
      </c>
      <c r="D112" s="2" t="s">
        <v>18</v>
      </c>
      <c r="E112" s="2" t="s">
        <v>160</v>
      </c>
      <c r="F112" s="2" t="str">
        <f>"2170672163 "</f>
        <v xml:space="preserve">2170672163 </v>
      </c>
      <c r="G112" s="2" t="str">
        <f t="shared" si="2"/>
        <v>ON1</v>
      </c>
      <c r="H112" s="2" t="s">
        <v>20</v>
      </c>
      <c r="I112" s="2" t="s">
        <v>161</v>
      </c>
      <c r="J112" s="2" t="str">
        <f>""</f>
        <v/>
      </c>
      <c r="K112" s="2" t="str">
        <f>"PFES1162670644_0001"</f>
        <v>PFES1162670644_0001</v>
      </c>
      <c r="L112" s="2">
        <v>1</v>
      </c>
      <c r="M112" s="2">
        <v>1</v>
      </c>
    </row>
    <row r="113" spans="1:13">
      <c r="A113" s="6">
        <v>43497</v>
      </c>
      <c r="B113" s="7">
        <v>0.46875</v>
      </c>
      <c r="C113" s="2" t="str">
        <f>"FES1162670654"</f>
        <v>FES1162670654</v>
      </c>
      <c r="D113" s="2" t="s">
        <v>18</v>
      </c>
      <c r="E113" s="2" t="s">
        <v>162</v>
      </c>
      <c r="F113" s="2" t="str">
        <f>"2170672188 "</f>
        <v xml:space="preserve">2170672188 </v>
      </c>
      <c r="G113" s="2" t="str">
        <f t="shared" si="2"/>
        <v>ON1</v>
      </c>
      <c r="H113" s="2" t="s">
        <v>20</v>
      </c>
      <c r="I113" s="2" t="s">
        <v>163</v>
      </c>
      <c r="J113" s="2" t="str">
        <f>""</f>
        <v/>
      </c>
      <c r="K113" s="2" t="str">
        <f>"PFES1162670654_0001"</f>
        <v>PFES1162670654_0001</v>
      </c>
      <c r="L113" s="2">
        <v>1</v>
      </c>
      <c r="M113" s="2">
        <v>1</v>
      </c>
    </row>
    <row r="114" spans="1:13">
      <c r="A114" s="6">
        <v>43497</v>
      </c>
      <c r="B114" s="7">
        <v>0.45624999999999999</v>
      </c>
      <c r="C114" s="2" t="str">
        <f>"FES1162670596"</f>
        <v>FES1162670596</v>
      </c>
      <c r="D114" s="2" t="s">
        <v>18</v>
      </c>
      <c r="E114" s="2" t="s">
        <v>150</v>
      </c>
      <c r="F114" s="2" t="str">
        <f>"2170672096 "</f>
        <v xml:space="preserve">2170672096 </v>
      </c>
      <c r="G114" s="2" t="str">
        <f t="shared" si="2"/>
        <v>ON1</v>
      </c>
      <c r="H114" s="2" t="s">
        <v>20</v>
      </c>
      <c r="I114" s="2" t="s">
        <v>137</v>
      </c>
      <c r="J114" s="2" t="str">
        <f>""</f>
        <v/>
      </c>
      <c r="K114" s="2" t="str">
        <f>"PFES1162670596_0001"</f>
        <v>PFES1162670596_0001</v>
      </c>
      <c r="L114" s="2">
        <v>1</v>
      </c>
      <c r="M114" s="2">
        <v>5</v>
      </c>
    </row>
    <row r="115" spans="1:13">
      <c r="A115" s="6">
        <v>43497</v>
      </c>
      <c r="B115" s="7">
        <v>0.45208333333333334</v>
      </c>
      <c r="C115" s="2" t="str">
        <f>"FES1162670589"</f>
        <v>FES1162670589</v>
      </c>
      <c r="D115" s="2" t="s">
        <v>18</v>
      </c>
      <c r="E115" s="2" t="s">
        <v>129</v>
      </c>
      <c r="F115" s="2" t="str">
        <f>"2170672083 "</f>
        <v xml:space="preserve">2170672083 </v>
      </c>
      <c r="G115" s="2" t="str">
        <f t="shared" si="2"/>
        <v>ON1</v>
      </c>
      <c r="H115" s="2" t="s">
        <v>20</v>
      </c>
      <c r="I115" s="2" t="s">
        <v>130</v>
      </c>
      <c r="J115" s="2" t="str">
        <f>""</f>
        <v/>
      </c>
      <c r="K115" s="2" t="str">
        <f>"PFES1162670589_0001"</f>
        <v>PFES1162670589_0001</v>
      </c>
      <c r="L115" s="2">
        <v>1</v>
      </c>
      <c r="M115" s="2">
        <v>4</v>
      </c>
    </row>
    <row r="116" spans="1:13">
      <c r="A116" s="6">
        <v>43497</v>
      </c>
      <c r="B116" s="7">
        <v>0.45069444444444445</v>
      </c>
      <c r="C116" s="2" t="str">
        <f>"FES1162669338"</f>
        <v>FES1162669338</v>
      </c>
      <c r="D116" s="2" t="s">
        <v>18</v>
      </c>
      <c r="E116" s="2" t="s">
        <v>164</v>
      </c>
      <c r="F116" s="2" t="str">
        <f>"2170669456 "</f>
        <v xml:space="preserve">2170669456 </v>
      </c>
      <c r="G116" s="2" t="str">
        <f t="shared" si="2"/>
        <v>ON1</v>
      </c>
      <c r="H116" s="2" t="s">
        <v>20</v>
      </c>
      <c r="I116" s="2" t="s">
        <v>165</v>
      </c>
      <c r="J116" s="2" t="str">
        <f>""</f>
        <v/>
      </c>
      <c r="K116" s="2" t="str">
        <f>"PFES1162669338_0001"</f>
        <v>PFES1162669338_0001</v>
      </c>
      <c r="L116" s="2">
        <v>1</v>
      </c>
      <c r="M116" s="2">
        <v>4</v>
      </c>
    </row>
    <row r="117" spans="1:13">
      <c r="A117" s="6">
        <v>43497</v>
      </c>
      <c r="B117" s="7">
        <v>0.45</v>
      </c>
      <c r="C117" s="2" t="str">
        <f>"FES1162670594"</f>
        <v>FES1162670594</v>
      </c>
      <c r="D117" s="2" t="s">
        <v>18</v>
      </c>
      <c r="E117" s="2" t="s">
        <v>166</v>
      </c>
      <c r="F117" s="2" t="str">
        <f>"2170672089 "</f>
        <v xml:space="preserve">2170672089 </v>
      </c>
      <c r="G117" s="2" t="str">
        <f t="shared" si="2"/>
        <v>ON1</v>
      </c>
      <c r="H117" s="2" t="s">
        <v>20</v>
      </c>
      <c r="I117" s="2" t="s">
        <v>167</v>
      </c>
      <c r="J117" s="2" t="str">
        <f>""</f>
        <v/>
      </c>
      <c r="K117" s="2" t="str">
        <f>"PFES1162670594_0001"</f>
        <v>PFES1162670594_0001</v>
      </c>
      <c r="L117" s="2">
        <v>1</v>
      </c>
      <c r="M117" s="2">
        <v>4</v>
      </c>
    </row>
    <row r="118" spans="1:13">
      <c r="A118" s="6">
        <v>43497</v>
      </c>
      <c r="B118" s="7">
        <v>0.44861111111111113</v>
      </c>
      <c r="C118" s="2" t="str">
        <f>"FES1162670584"</f>
        <v>FES1162670584</v>
      </c>
      <c r="D118" s="2" t="s">
        <v>18</v>
      </c>
      <c r="E118" s="2" t="s">
        <v>168</v>
      </c>
      <c r="F118" s="2" t="str">
        <f>"2170671063 "</f>
        <v xml:space="preserve">2170671063 </v>
      </c>
      <c r="G118" s="2" t="str">
        <f t="shared" ref="G118:G121" si="3">"ON1"</f>
        <v>ON1</v>
      </c>
      <c r="H118" s="2" t="s">
        <v>20</v>
      </c>
      <c r="I118" s="2" t="s">
        <v>63</v>
      </c>
      <c r="J118" s="2" t="str">
        <f>""</f>
        <v/>
      </c>
      <c r="K118" s="2" t="str">
        <f>"PFES1162670584_0001"</f>
        <v>PFES1162670584_0001</v>
      </c>
      <c r="L118" s="2">
        <v>1</v>
      </c>
      <c r="M118" s="2">
        <v>4</v>
      </c>
    </row>
    <row r="119" spans="1:13">
      <c r="A119" s="6">
        <v>43497</v>
      </c>
      <c r="B119" s="7">
        <v>0.44791666666666669</v>
      </c>
      <c r="C119" s="2" t="str">
        <f>"FES1162670562"</f>
        <v>FES1162670562</v>
      </c>
      <c r="D119" s="2" t="s">
        <v>18</v>
      </c>
      <c r="E119" s="2" t="s">
        <v>169</v>
      </c>
      <c r="F119" s="2" t="str">
        <f>"2170671633 "</f>
        <v xml:space="preserve">2170671633 </v>
      </c>
      <c r="G119" s="2" t="str">
        <f t="shared" si="3"/>
        <v>ON1</v>
      </c>
      <c r="H119" s="2" t="s">
        <v>20</v>
      </c>
      <c r="I119" s="2" t="s">
        <v>87</v>
      </c>
      <c r="J119" s="2" t="str">
        <f>""</f>
        <v/>
      </c>
      <c r="K119" s="2" t="str">
        <f>"PFES1162670562_0001"</f>
        <v>PFES1162670562_0001</v>
      </c>
      <c r="L119" s="2">
        <v>1</v>
      </c>
      <c r="M119" s="2">
        <v>2</v>
      </c>
    </row>
    <row r="120" spans="1:13">
      <c r="A120" s="6">
        <v>43497</v>
      </c>
      <c r="B120" s="7">
        <v>0.4465277777777778</v>
      </c>
      <c r="C120" s="2" t="str">
        <f>"FES1162670520"</f>
        <v>FES1162670520</v>
      </c>
      <c r="D120" s="2" t="s">
        <v>18</v>
      </c>
      <c r="E120" s="2" t="s">
        <v>170</v>
      </c>
      <c r="F120" s="2" t="str">
        <f>"2170672003 "</f>
        <v xml:space="preserve">2170672003 </v>
      </c>
      <c r="G120" s="2" t="str">
        <f t="shared" si="3"/>
        <v>ON1</v>
      </c>
      <c r="H120" s="2" t="s">
        <v>20</v>
      </c>
      <c r="I120" s="2" t="s">
        <v>171</v>
      </c>
      <c r="J120" s="2" t="str">
        <f>""</f>
        <v/>
      </c>
      <c r="K120" s="2" t="str">
        <f>"PFES1162670520_0001"</f>
        <v>PFES1162670520_0001</v>
      </c>
      <c r="L120" s="2">
        <v>1</v>
      </c>
      <c r="M120" s="2">
        <v>6</v>
      </c>
    </row>
    <row r="121" spans="1:13">
      <c r="A121" s="6">
        <v>43497</v>
      </c>
      <c r="B121" s="7">
        <v>0.44513888888888892</v>
      </c>
      <c r="C121" s="2" t="str">
        <f>"FES1162670633"</f>
        <v>FES1162670633</v>
      </c>
      <c r="D121" s="2" t="s">
        <v>18</v>
      </c>
      <c r="E121" s="2" t="s">
        <v>172</v>
      </c>
      <c r="F121" s="2" t="str">
        <f>"2170672146 "</f>
        <v xml:space="preserve">2170672146 </v>
      </c>
      <c r="G121" s="2" t="str">
        <f t="shared" si="3"/>
        <v>ON1</v>
      </c>
      <c r="H121" s="2" t="s">
        <v>20</v>
      </c>
      <c r="I121" s="2" t="s">
        <v>173</v>
      </c>
      <c r="J121" s="2" t="str">
        <f>""</f>
        <v/>
      </c>
      <c r="K121" s="2" t="str">
        <f>"PFES1162670633_0001"</f>
        <v>PFES1162670633_0001</v>
      </c>
      <c r="L121" s="2">
        <v>1</v>
      </c>
      <c r="M121" s="2">
        <v>2</v>
      </c>
    </row>
    <row r="122" spans="1:13">
      <c r="A122" s="6">
        <v>43497</v>
      </c>
      <c r="B122" s="7">
        <v>0.43055555555555558</v>
      </c>
      <c r="C122" s="2" t="str">
        <f>"FES1162670593"</f>
        <v>FES1162670593</v>
      </c>
      <c r="D122" s="2" t="s">
        <v>18</v>
      </c>
      <c r="E122" s="2" t="s">
        <v>174</v>
      </c>
      <c r="F122" s="2" t="str">
        <f>"2170672090 "</f>
        <v xml:space="preserve">2170672090 </v>
      </c>
      <c r="G122" s="2" t="str">
        <f>"SDX"</f>
        <v>SDX</v>
      </c>
      <c r="H122" s="2" t="s">
        <v>20</v>
      </c>
      <c r="I122" s="2" t="s">
        <v>175</v>
      </c>
      <c r="J122" s="2" t="str">
        <f>""</f>
        <v/>
      </c>
      <c r="K122" s="2" t="str">
        <f>"PFES1162670593_0001"</f>
        <v>PFES1162670593_0001</v>
      </c>
      <c r="L122" s="2">
        <v>1</v>
      </c>
      <c r="M122" s="2">
        <v>1</v>
      </c>
    </row>
    <row r="123" spans="1:13">
      <c r="A123" s="6">
        <v>43500</v>
      </c>
      <c r="B123" s="7">
        <v>0.68958333333333333</v>
      </c>
      <c r="C123" s="2" t="str">
        <f>"FES1162670838"</f>
        <v>FES1162670838</v>
      </c>
      <c r="D123" s="2" t="s">
        <v>18</v>
      </c>
      <c r="E123" s="2" t="s">
        <v>176</v>
      </c>
      <c r="F123" s="2" t="str">
        <f>"2170672149 "</f>
        <v xml:space="preserve">2170672149 </v>
      </c>
      <c r="G123" s="2" t="str">
        <f t="shared" ref="G123:G133" si="4">"ON1"</f>
        <v>ON1</v>
      </c>
      <c r="H123" s="2" t="s">
        <v>20</v>
      </c>
      <c r="I123" s="2" t="s">
        <v>177</v>
      </c>
      <c r="J123" s="2" t="str">
        <f>""</f>
        <v/>
      </c>
      <c r="K123" s="2" t="str">
        <f>"PFES1162670838_0001"</f>
        <v>PFES1162670838_0001</v>
      </c>
      <c r="L123" s="2">
        <v>1</v>
      </c>
      <c r="M123" s="2">
        <v>2</v>
      </c>
    </row>
    <row r="124" spans="1:13">
      <c r="A124" s="6">
        <v>43500</v>
      </c>
      <c r="B124" s="7">
        <v>0.68888888888888899</v>
      </c>
      <c r="C124" s="2" t="str">
        <f>"FES1162671028"</f>
        <v>FES1162671028</v>
      </c>
      <c r="D124" s="2" t="s">
        <v>18</v>
      </c>
      <c r="E124" s="2" t="s">
        <v>178</v>
      </c>
      <c r="F124" s="2" t="str">
        <f>"2170672376 "</f>
        <v xml:space="preserve">2170672376 </v>
      </c>
      <c r="G124" s="2" t="str">
        <f t="shared" si="4"/>
        <v>ON1</v>
      </c>
      <c r="H124" s="2" t="s">
        <v>20</v>
      </c>
      <c r="I124" s="2" t="s">
        <v>29</v>
      </c>
      <c r="J124" s="2" t="str">
        <f>""</f>
        <v/>
      </c>
      <c r="K124" s="2" t="str">
        <f>"PFES1162671028_0001"</f>
        <v>PFES1162671028_0001</v>
      </c>
      <c r="L124" s="2">
        <v>1</v>
      </c>
      <c r="M124" s="2">
        <v>5</v>
      </c>
    </row>
    <row r="125" spans="1:13">
      <c r="A125" s="6">
        <v>43500</v>
      </c>
      <c r="B125" s="7">
        <v>0.68611111111111101</v>
      </c>
      <c r="C125" s="2" t="str">
        <f>"FES1162671027"</f>
        <v>FES1162671027</v>
      </c>
      <c r="D125" s="2" t="s">
        <v>18</v>
      </c>
      <c r="E125" s="2" t="s">
        <v>178</v>
      </c>
      <c r="F125" s="2" t="str">
        <f>"2170672257 "</f>
        <v xml:space="preserve">2170672257 </v>
      </c>
      <c r="G125" s="2" t="str">
        <f t="shared" si="4"/>
        <v>ON1</v>
      </c>
      <c r="H125" s="2" t="s">
        <v>20</v>
      </c>
      <c r="I125" s="2" t="s">
        <v>29</v>
      </c>
      <c r="J125" s="2" t="str">
        <f>""</f>
        <v/>
      </c>
      <c r="K125" s="2" t="str">
        <f>"PFES1162671027_0001"</f>
        <v>PFES1162671027_0001</v>
      </c>
      <c r="L125" s="2">
        <v>1</v>
      </c>
      <c r="M125" s="2">
        <v>1</v>
      </c>
    </row>
    <row r="126" spans="1:13">
      <c r="A126" s="6">
        <v>43500</v>
      </c>
      <c r="B126" s="7">
        <v>0.68611111111111101</v>
      </c>
      <c r="C126" s="2" t="str">
        <f>"FES1162671036"</f>
        <v>FES1162671036</v>
      </c>
      <c r="D126" s="2" t="s">
        <v>18</v>
      </c>
      <c r="E126" s="2" t="s">
        <v>179</v>
      </c>
      <c r="F126" s="2" t="str">
        <f>"2170672529 "</f>
        <v xml:space="preserve">2170672529 </v>
      </c>
      <c r="G126" s="2" t="str">
        <f t="shared" si="4"/>
        <v>ON1</v>
      </c>
      <c r="H126" s="2" t="s">
        <v>20</v>
      </c>
      <c r="I126" s="2" t="s">
        <v>59</v>
      </c>
      <c r="J126" s="2" t="str">
        <f>""</f>
        <v/>
      </c>
      <c r="K126" s="2" t="str">
        <f>"PFES1162671036_0001"</f>
        <v>PFES1162671036_0001</v>
      </c>
      <c r="L126" s="2">
        <v>1</v>
      </c>
      <c r="M126" s="2">
        <v>3</v>
      </c>
    </row>
    <row r="127" spans="1:13">
      <c r="A127" s="6">
        <v>43500</v>
      </c>
      <c r="B127" s="7">
        <v>0.68541666666666667</v>
      </c>
      <c r="C127" s="2" t="str">
        <f>"FES1162671000"</f>
        <v>FES1162671000</v>
      </c>
      <c r="D127" s="2" t="s">
        <v>18</v>
      </c>
      <c r="E127" s="2" t="s">
        <v>180</v>
      </c>
      <c r="F127" s="2" t="str">
        <f>"2170672479 "</f>
        <v xml:space="preserve">2170672479 </v>
      </c>
      <c r="G127" s="2" t="str">
        <f t="shared" si="4"/>
        <v>ON1</v>
      </c>
      <c r="H127" s="2" t="s">
        <v>20</v>
      </c>
      <c r="I127" s="2" t="s">
        <v>93</v>
      </c>
      <c r="J127" s="2" t="str">
        <f>""</f>
        <v/>
      </c>
      <c r="K127" s="2" t="str">
        <f>"PFES1162671000_0001"</f>
        <v>PFES1162671000_0001</v>
      </c>
      <c r="L127" s="2">
        <v>1</v>
      </c>
      <c r="M127" s="2">
        <v>4</v>
      </c>
    </row>
    <row r="128" spans="1:13">
      <c r="A128" s="6">
        <v>43500</v>
      </c>
      <c r="B128" s="7">
        <v>0.68472222222222223</v>
      </c>
      <c r="C128" s="2" t="str">
        <f>"FES1162671037"</f>
        <v>FES1162671037</v>
      </c>
      <c r="D128" s="2" t="s">
        <v>18</v>
      </c>
      <c r="E128" s="2" t="s">
        <v>181</v>
      </c>
      <c r="F128" s="2" t="str">
        <f>"2170672530 "</f>
        <v xml:space="preserve">2170672530 </v>
      </c>
      <c r="G128" s="2" t="str">
        <f t="shared" si="4"/>
        <v>ON1</v>
      </c>
      <c r="H128" s="2" t="s">
        <v>20</v>
      </c>
      <c r="I128" s="2" t="s">
        <v>182</v>
      </c>
      <c r="J128" s="2" t="str">
        <f>""</f>
        <v/>
      </c>
      <c r="K128" s="2" t="str">
        <f>"PFES1162671037_0001"</f>
        <v>PFES1162671037_0001</v>
      </c>
      <c r="L128" s="2">
        <v>1</v>
      </c>
      <c r="M128" s="2">
        <v>1</v>
      </c>
    </row>
    <row r="129" spans="1:13">
      <c r="A129" s="6">
        <v>43500</v>
      </c>
      <c r="B129" s="7">
        <v>0.68402777777777779</v>
      </c>
      <c r="C129" s="2" t="str">
        <f>"FES1162671031"</f>
        <v>FES1162671031</v>
      </c>
      <c r="D129" s="2" t="s">
        <v>18</v>
      </c>
      <c r="E129" s="2" t="s">
        <v>183</v>
      </c>
      <c r="F129" s="2" t="str">
        <f>"2170672522 "</f>
        <v xml:space="preserve">2170672522 </v>
      </c>
      <c r="G129" s="2" t="str">
        <f t="shared" si="4"/>
        <v>ON1</v>
      </c>
      <c r="H129" s="2" t="s">
        <v>20</v>
      </c>
      <c r="I129" s="2" t="s">
        <v>184</v>
      </c>
      <c r="J129" s="2" t="str">
        <f>""</f>
        <v/>
      </c>
      <c r="K129" s="2" t="str">
        <f>"PFES1162671031_0001"</f>
        <v>PFES1162671031_0001</v>
      </c>
      <c r="L129" s="2">
        <v>1</v>
      </c>
      <c r="M129" s="2">
        <v>1</v>
      </c>
    </row>
    <row r="130" spans="1:13">
      <c r="A130" s="6">
        <v>43500</v>
      </c>
      <c r="B130" s="7">
        <v>0.68402777777777779</v>
      </c>
      <c r="C130" s="2" t="str">
        <f>"FES1162671011"</f>
        <v>FES1162671011</v>
      </c>
      <c r="D130" s="2" t="s">
        <v>18</v>
      </c>
      <c r="E130" s="2" t="s">
        <v>185</v>
      </c>
      <c r="F130" s="2" t="str">
        <f>"2170672490 "</f>
        <v xml:space="preserve">2170672490 </v>
      </c>
      <c r="G130" s="2" t="str">
        <f t="shared" si="4"/>
        <v>ON1</v>
      </c>
      <c r="H130" s="2" t="s">
        <v>20</v>
      </c>
      <c r="I130" s="2" t="s">
        <v>93</v>
      </c>
      <c r="J130" s="2" t="str">
        <f>""</f>
        <v/>
      </c>
      <c r="K130" s="2" t="str">
        <f>"PFES1162671011_0001"</f>
        <v>PFES1162671011_0001</v>
      </c>
      <c r="L130" s="2">
        <v>1</v>
      </c>
      <c r="M130" s="2">
        <v>3</v>
      </c>
    </row>
    <row r="131" spans="1:13">
      <c r="A131" s="6">
        <v>43500</v>
      </c>
      <c r="B131" s="7">
        <v>0.68333333333333324</v>
      </c>
      <c r="C131" s="2" t="str">
        <f>"FES1162670997"</f>
        <v>FES1162670997</v>
      </c>
      <c r="D131" s="2" t="s">
        <v>18</v>
      </c>
      <c r="E131" s="2" t="s">
        <v>88</v>
      </c>
      <c r="F131" s="2" t="str">
        <f>"2170672475 "</f>
        <v xml:space="preserve">2170672475 </v>
      </c>
      <c r="G131" s="2" t="str">
        <f t="shared" si="4"/>
        <v>ON1</v>
      </c>
      <c r="H131" s="2" t="s">
        <v>20</v>
      </c>
      <c r="I131" s="2" t="s">
        <v>89</v>
      </c>
      <c r="J131" s="2" t="str">
        <f>""</f>
        <v/>
      </c>
      <c r="K131" s="2" t="str">
        <f>"PFES1162670997_0001"</f>
        <v>PFES1162670997_0001</v>
      </c>
      <c r="L131" s="2">
        <v>1</v>
      </c>
      <c r="M131" s="2">
        <v>8</v>
      </c>
    </row>
    <row r="132" spans="1:13">
      <c r="A132" s="6">
        <v>43500</v>
      </c>
      <c r="B132" s="7">
        <v>0.68263888888888891</v>
      </c>
      <c r="C132" s="2" t="str">
        <f>"FES1162671035"</f>
        <v>FES1162671035</v>
      </c>
      <c r="D132" s="2" t="s">
        <v>18</v>
      </c>
      <c r="E132" s="2" t="s">
        <v>186</v>
      </c>
      <c r="F132" s="2" t="str">
        <f>"2170672528 "</f>
        <v xml:space="preserve">2170672528 </v>
      </c>
      <c r="G132" s="2" t="str">
        <f t="shared" si="4"/>
        <v>ON1</v>
      </c>
      <c r="H132" s="2" t="s">
        <v>20</v>
      </c>
      <c r="I132" s="2" t="s">
        <v>48</v>
      </c>
      <c r="J132" s="2" t="str">
        <f>""</f>
        <v/>
      </c>
      <c r="K132" s="2" t="str">
        <f>"PFES1162671035_0001"</f>
        <v>PFES1162671035_0001</v>
      </c>
      <c r="L132" s="2">
        <v>1</v>
      </c>
      <c r="M132" s="2">
        <v>4</v>
      </c>
    </row>
    <row r="133" spans="1:13">
      <c r="A133" s="6">
        <v>43500</v>
      </c>
      <c r="B133" s="7">
        <v>0.68194444444444446</v>
      </c>
      <c r="C133" s="2" t="str">
        <f>"FES1162670885"</f>
        <v>FES1162670885</v>
      </c>
      <c r="D133" s="2" t="s">
        <v>18</v>
      </c>
      <c r="E133" s="2" t="s">
        <v>45</v>
      </c>
      <c r="F133" s="2" t="str">
        <f>"2170672098 "</f>
        <v xml:space="preserve">2170672098 </v>
      </c>
      <c r="G133" s="2" t="str">
        <f t="shared" si="4"/>
        <v>ON1</v>
      </c>
      <c r="H133" s="2" t="s">
        <v>20</v>
      </c>
      <c r="I133" s="2" t="s">
        <v>46</v>
      </c>
      <c r="J133" s="2" t="str">
        <f>""</f>
        <v/>
      </c>
      <c r="K133" s="2" t="str">
        <f>"PFES1162670885_0001"</f>
        <v>PFES1162670885_0001</v>
      </c>
      <c r="L133" s="2">
        <v>1</v>
      </c>
      <c r="M133" s="2">
        <v>10</v>
      </c>
    </row>
    <row r="134" spans="1:13">
      <c r="A134" s="6">
        <v>43500</v>
      </c>
      <c r="B134" s="7">
        <v>0.67152777777777783</v>
      </c>
      <c r="C134" s="2" t="str">
        <f>"FES1162670887"</f>
        <v>FES1162670887</v>
      </c>
      <c r="D134" s="2" t="s">
        <v>18</v>
      </c>
      <c r="E134" s="2" t="s">
        <v>187</v>
      </c>
      <c r="F134" s="2" t="str">
        <f>"2170672147 "</f>
        <v xml:space="preserve">2170672147 </v>
      </c>
      <c r="G134" s="2" t="str">
        <f>"DBC"</f>
        <v>DBC</v>
      </c>
      <c r="H134" s="2" t="s">
        <v>20</v>
      </c>
      <c r="I134" s="2" t="s">
        <v>188</v>
      </c>
      <c r="J134" s="2" t="str">
        <f>"FRAGILE OIL"</f>
        <v>FRAGILE OIL</v>
      </c>
      <c r="K134" s="2" t="str">
        <f>"PFES1162670887_0001"</f>
        <v>PFES1162670887_0001</v>
      </c>
      <c r="L134" s="2">
        <v>1</v>
      </c>
      <c r="M134" s="2">
        <v>20</v>
      </c>
    </row>
    <row r="135" spans="1:13">
      <c r="A135" s="6">
        <v>43500</v>
      </c>
      <c r="B135" s="7">
        <v>0.67152777777777783</v>
      </c>
      <c r="C135" s="2" t="str">
        <f>"FES1162671013"</f>
        <v>FES1162671013</v>
      </c>
      <c r="D135" s="2" t="s">
        <v>18</v>
      </c>
      <c r="E135" s="2" t="s">
        <v>189</v>
      </c>
      <c r="F135" s="2" t="str">
        <f>"2170672494 "</f>
        <v xml:space="preserve">2170672494 </v>
      </c>
      <c r="G135" s="2" t="str">
        <f>"ON1"</f>
        <v>ON1</v>
      </c>
      <c r="H135" s="2" t="s">
        <v>20</v>
      </c>
      <c r="I135" s="2" t="s">
        <v>93</v>
      </c>
      <c r="J135" s="2" t="str">
        <f>""</f>
        <v/>
      </c>
      <c r="K135" s="2" t="str">
        <f>"PFES1162671013_0001"</f>
        <v>PFES1162671013_0001</v>
      </c>
      <c r="L135" s="2">
        <v>1</v>
      </c>
      <c r="M135" s="2">
        <v>1</v>
      </c>
    </row>
    <row r="136" spans="1:13">
      <c r="A136" s="6">
        <v>43500</v>
      </c>
      <c r="B136" s="7">
        <v>0.67083333333333339</v>
      </c>
      <c r="C136" s="2" t="str">
        <f>"FES1162671012"</f>
        <v>FES1162671012</v>
      </c>
      <c r="D136" s="2" t="s">
        <v>18</v>
      </c>
      <c r="E136" s="2" t="s">
        <v>190</v>
      </c>
      <c r="F136" s="2" t="str">
        <f>"2170672492 "</f>
        <v xml:space="preserve">2170672492 </v>
      </c>
      <c r="G136" s="2" t="str">
        <f>"ON1"</f>
        <v>ON1</v>
      </c>
      <c r="H136" s="2" t="s">
        <v>20</v>
      </c>
      <c r="I136" s="2" t="s">
        <v>111</v>
      </c>
      <c r="J136" s="2" t="str">
        <f>""</f>
        <v/>
      </c>
      <c r="K136" s="2" t="str">
        <f>"PFES1162671012_0001"</f>
        <v>PFES1162671012_0001</v>
      </c>
      <c r="L136" s="2">
        <v>1</v>
      </c>
      <c r="M136" s="2">
        <v>1</v>
      </c>
    </row>
    <row r="137" spans="1:13">
      <c r="A137" s="6">
        <v>43500</v>
      </c>
      <c r="B137" s="7">
        <v>0.67083333333333339</v>
      </c>
      <c r="C137" s="2" t="str">
        <f>"FES1162670992"</f>
        <v>FES1162670992</v>
      </c>
      <c r="D137" s="2" t="s">
        <v>18</v>
      </c>
      <c r="E137" s="2" t="s">
        <v>191</v>
      </c>
      <c r="F137" s="2" t="str">
        <f>"2170675624 "</f>
        <v xml:space="preserve">2170675624 </v>
      </c>
      <c r="G137" s="2" t="str">
        <f>"ON1"</f>
        <v>ON1</v>
      </c>
      <c r="H137" s="2" t="s">
        <v>20</v>
      </c>
      <c r="I137" s="2" t="s">
        <v>192</v>
      </c>
      <c r="J137" s="2" t="str">
        <f>""</f>
        <v/>
      </c>
      <c r="K137" s="2" t="str">
        <f>"PFES1162670992_0001"</f>
        <v>PFES1162670992_0001</v>
      </c>
      <c r="L137" s="2">
        <v>1</v>
      </c>
      <c r="M137" s="2">
        <v>1</v>
      </c>
    </row>
    <row r="138" spans="1:13">
      <c r="A138" s="6">
        <v>43500</v>
      </c>
      <c r="B138" s="7">
        <v>0.67083333333333339</v>
      </c>
      <c r="C138" s="2" t="str">
        <f>"FES1162671023"</f>
        <v>FES1162671023</v>
      </c>
      <c r="D138" s="2" t="s">
        <v>18</v>
      </c>
      <c r="E138" s="2" t="s">
        <v>193</v>
      </c>
      <c r="F138" s="2" t="str">
        <f>"2170675211 "</f>
        <v xml:space="preserve">2170675211 </v>
      </c>
      <c r="G138" s="2" t="str">
        <f>"ON1"</f>
        <v>ON1</v>
      </c>
      <c r="H138" s="2" t="s">
        <v>20</v>
      </c>
      <c r="I138" s="2" t="s">
        <v>111</v>
      </c>
      <c r="J138" s="2" t="str">
        <f>""</f>
        <v/>
      </c>
      <c r="K138" s="2" t="str">
        <f>"PFES1162671023_0001"</f>
        <v>PFES1162671023_0001</v>
      </c>
      <c r="L138" s="2">
        <v>1</v>
      </c>
      <c r="M138" s="2">
        <v>1</v>
      </c>
    </row>
    <row r="139" spans="1:13">
      <c r="A139" s="6">
        <v>43500</v>
      </c>
      <c r="B139" s="7">
        <v>0.67013888888888884</v>
      </c>
      <c r="C139" s="2" t="str">
        <f>"FES1162671026"</f>
        <v>FES1162671026</v>
      </c>
      <c r="D139" s="2" t="s">
        <v>18</v>
      </c>
      <c r="E139" s="2" t="s">
        <v>194</v>
      </c>
      <c r="F139" s="2" t="str">
        <f>"2170672517 "</f>
        <v xml:space="preserve">2170672517 </v>
      </c>
      <c r="G139" s="2" t="str">
        <f>"DBC"</f>
        <v>DBC</v>
      </c>
      <c r="H139" s="2" t="s">
        <v>20</v>
      </c>
      <c r="I139" s="2" t="s">
        <v>48</v>
      </c>
      <c r="J139" s="2" t="str">
        <f>"FRAGILE OIL"</f>
        <v>FRAGILE OIL</v>
      </c>
      <c r="K139" s="2" t="str">
        <f>"PFES1162671026_0001"</f>
        <v>PFES1162671026_0001</v>
      </c>
      <c r="L139" s="2">
        <v>1</v>
      </c>
      <c r="M139" s="2">
        <v>1</v>
      </c>
    </row>
    <row r="140" spans="1:13">
      <c r="A140" s="6">
        <v>43500</v>
      </c>
      <c r="B140" s="7">
        <v>0.67013888888888884</v>
      </c>
      <c r="C140" s="2" t="str">
        <f>"FES1162671039"</f>
        <v>FES1162671039</v>
      </c>
      <c r="D140" s="2" t="s">
        <v>18</v>
      </c>
      <c r="E140" s="2" t="s">
        <v>195</v>
      </c>
      <c r="F140" s="2" t="str">
        <f>"2170672532 "</f>
        <v xml:space="preserve">2170672532 </v>
      </c>
      <c r="G140" s="2" t="str">
        <f>"ON1"</f>
        <v>ON1</v>
      </c>
      <c r="H140" s="2" t="s">
        <v>20</v>
      </c>
      <c r="I140" s="2" t="s">
        <v>96</v>
      </c>
      <c r="J140" s="2" t="str">
        <f>""</f>
        <v/>
      </c>
      <c r="K140" s="2" t="str">
        <f>"PFES1162671039_0001"</f>
        <v>PFES1162671039_0001</v>
      </c>
      <c r="L140" s="2">
        <v>1</v>
      </c>
      <c r="M140" s="2">
        <v>1</v>
      </c>
    </row>
    <row r="141" spans="1:13">
      <c r="A141" s="6">
        <v>43500</v>
      </c>
      <c r="B141" s="7">
        <v>0.67013888888888884</v>
      </c>
      <c r="C141" s="2" t="str">
        <f>"FES1162671038"</f>
        <v>FES1162671038</v>
      </c>
      <c r="D141" s="2" t="s">
        <v>18</v>
      </c>
      <c r="E141" s="2" t="s">
        <v>140</v>
      </c>
      <c r="F141" s="2" t="str">
        <f>"217062531 "</f>
        <v xml:space="preserve">217062531 </v>
      </c>
      <c r="G141" s="2" t="str">
        <f>"ON1"</f>
        <v>ON1</v>
      </c>
      <c r="H141" s="2" t="s">
        <v>20</v>
      </c>
      <c r="I141" s="2" t="s">
        <v>141</v>
      </c>
      <c r="J141" s="2" t="str">
        <f>""</f>
        <v/>
      </c>
      <c r="K141" s="2" t="str">
        <f>"PFES1162671038_0001"</f>
        <v>PFES1162671038_0001</v>
      </c>
      <c r="L141" s="2">
        <v>1</v>
      </c>
      <c r="M141" s="2">
        <v>1</v>
      </c>
    </row>
    <row r="142" spans="1:13">
      <c r="A142" s="6">
        <v>43500</v>
      </c>
      <c r="B142" s="7">
        <v>0.66875000000000007</v>
      </c>
      <c r="C142" s="2" t="str">
        <f>"FES1162670884"</f>
        <v>FES1162670884</v>
      </c>
      <c r="D142" s="2" t="s">
        <v>18</v>
      </c>
      <c r="E142" s="2" t="s">
        <v>196</v>
      </c>
      <c r="F142" s="2" t="str">
        <f>"2170671885 "</f>
        <v xml:space="preserve">2170671885 </v>
      </c>
      <c r="G142" s="2" t="str">
        <f>"ON2"</f>
        <v>ON2</v>
      </c>
      <c r="H142" s="2" t="s">
        <v>20</v>
      </c>
      <c r="I142" s="2" t="s">
        <v>197</v>
      </c>
      <c r="J142" s="2" t="str">
        <f>"FRAGILE OIL"</f>
        <v>FRAGILE OIL</v>
      </c>
      <c r="K142" s="2" t="str">
        <f>"PFES1162670884_0001"</f>
        <v>PFES1162670884_0001</v>
      </c>
      <c r="L142" s="2">
        <v>1</v>
      </c>
      <c r="M142" s="2">
        <v>1</v>
      </c>
    </row>
    <row r="143" spans="1:13">
      <c r="A143" s="6">
        <v>43500</v>
      </c>
      <c r="B143" s="7">
        <v>0.66805555555555562</v>
      </c>
      <c r="C143" s="2" t="str">
        <f>"FES1162671016"</f>
        <v>FES1162671016</v>
      </c>
      <c r="D143" s="2" t="s">
        <v>18</v>
      </c>
      <c r="E143" s="2" t="s">
        <v>198</v>
      </c>
      <c r="F143" s="2" t="str">
        <f>"2170672497 "</f>
        <v xml:space="preserve">2170672497 </v>
      </c>
      <c r="G143" s="2" t="str">
        <f t="shared" ref="G143:G161" si="5">"ON1"</f>
        <v>ON1</v>
      </c>
      <c r="H143" s="2" t="s">
        <v>20</v>
      </c>
      <c r="I143" s="2" t="s">
        <v>199</v>
      </c>
      <c r="J143" s="2" t="str">
        <f>""</f>
        <v/>
      </c>
      <c r="K143" s="2" t="str">
        <f>"PFES1162671016_0001"</f>
        <v>PFES1162671016_0001</v>
      </c>
      <c r="L143" s="2">
        <v>1</v>
      </c>
      <c r="M143" s="2">
        <v>1</v>
      </c>
    </row>
    <row r="144" spans="1:13">
      <c r="A144" s="6">
        <v>43500</v>
      </c>
      <c r="B144" s="7">
        <v>0.66736111111111107</v>
      </c>
      <c r="C144" s="2" t="str">
        <f>"FES1162671032"</f>
        <v>FES1162671032</v>
      </c>
      <c r="D144" s="2" t="s">
        <v>18</v>
      </c>
      <c r="E144" s="2" t="s">
        <v>66</v>
      </c>
      <c r="F144" s="2" t="str">
        <f>"2170672523 "</f>
        <v xml:space="preserve">2170672523 </v>
      </c>
      <c r="G144" s="2" t="str">
        <f t="shared" si="5"/>
        <v>ON1</v>
      </c>
      <c r="H144" s="2" t="s">
        <v>20</v>
      </c>
      <c r="I144" s="2" t="s">
        <v>67</v>
      </c>
      <c r="J144" s="2" t="str">
        <f>""</f>
        <v/>
      </c>
      <c r="K144" s="2" t="str">
        <f>"PFES1162671032_0001"</f>
        <v>PFES1162671032_0001</v>
      </c>
      <c r="L144" s="2">
        <v>1</v>
      </c>
      <c r="M144" s="2">
        <v>1</v>
      </c>
    </row>
    <row r="145" spans="1:13">
      <c r="A145" s="6">
        <v>43500</v>
      </c>
      <c r="B145" s="7">
        <v>0.66597222222222219</v>
      </c>
      <c r="C145" s="2" t="str">
        <f>"FES1162670935"</f>
        <v>FES1162670935</v>
      </c>
      <c r="D145" s="2" t="s">
        <v>18</v>
      </c>
      <c r="E145" s="2" t="s">
        <v>47</v>
      </c>
      <c r="F145" s="2" t="str">
        <f>"2170667067 "</f>
        <v xml:space="preserve">2170667067 </v>
      </c>
      <c r="G145" s="2" t="str">
        <f t="shared" si="5"/>
        <v>ON1</v>
      </c>
      <c r="H145" s="2" t="s">
        <v>20</v>
      </c>
      <c r="I145" s="2" t="s">
        <v>48</v>
      </c>
      <c r="J145" s="2" t="str">
        <f>""</f>
        <v/>
      </c>
      <c r="K145" s="2" t="str">
        <f>"PFES1162670935_0001"</f>
        <v>PFES1162670935_0001</v>
      </c>
      <c r="L145" s="2">
        <v>2</v>
      </c>
      <c r="M145" s="2">
        <v>5</v>
      </c>
    </row>
    <row r="146" spans="1:13">
      <c r="A146" s="6">
        <v>43496</v>
      </c>
      <c r="B146" s="7">
        <v>0.66805555555555562</v>
      </c>
      <c r="C146" s="2" t="str">
        <f>"FES1162670935"</f>
        <v>FES1162670935</v>
      </c>
      <c r="D146" s="2" t="s">
        <v>18</v>
      </c>
      <c r="E146" s="2" t="s">
        <v>200</v>
      </c>
      <c r="F146" s="2" t="str">
        <f>"2170671875 "</f>
        <v xml:space="preserve">2170671875 </v>
      </c>
      <c r="G146" s="2" t="str">
        <f t="shared" si="5"/>
        <v>ON1</v>
      </c>
      <c r="H146" s="2" t="s">
        <v>20</v>
      </c>
      <c r="I146" s="2" t="s">
        <v>201</v>
      </c>
      <c r="J146" s="2" t="str">
        <f>""</f>
        <v/>
      </c>
      <c r="K146" s="2" t="str">
        <f>"PFES1162670935_0002"</f>
        <v>PFES1162670935_0002</v>
      </c>
      <c r="L146" s="2">
        <v>1</v>
      </c>
      <c r="M146" s="2">
        <v>6</v>
      </c>
    </row>
    <row r="147" spans="1:13">
      <c r="A147" s="6">
        <v>43500</v>
      </c>
      <c r="B147" s="7">
        <v>0.66527777777777775</v>
      </c>
      <c r="C147" s="2" t="str">
        <f>"FES1162671021"</f>
        <v>FES1162671021</v>
      </c>
      <c r="D147" s="2" t="s">
        <v>18</v>
      </c>
      <c r="E147" s="2" t="s">
        <v>198</v>
      </c>
      <c r="F147" s="2" t="str">
        <f>"2170672508 "</f>
        <v xml:space="preserve">2170672508 </v>
      </c>
      <c r="G147" s="2" t="str">
        <f t="shared" si="5"/>
        <v>ON1</v>
      </c>
      <c r="H147" s="2" t="s">
        <v>20</v>
      </c>
      <c r="I147" s="2" t="s">
        <v>199</v>
      </c>
      <c r="J147" s="2" t="str">
        <f>""</f>
        <v/>
      </c>
      <c r="K147" s="2" t="str">
        <f>"PFES1162671021_0001"</f>
        <v>PFES1162671021_0001</v>
      </c>
      <c r="L147" s="2">
        <v>1</v>
      </c>
      <c r="M147" s="2">
        <v>1</v>
      </c>
    </row>
    <row r="148" spans="1:13">
      <c r="A148" s="6">
        <v>43500</v>
      </c>
      <c r="B148" s="7">
        <v>0.6645833333333333</v>
      </c>
      <c r="C148" s="2" t="str">
        <f>"FES1162671022"</f>
        <v>FES1162671022</v>
      </c>
      <c r="D148" s="2" t="s">
        <v>18</v>
      </c>
      <c r="E148" s="2" t="s">
        <v>202</v>
      </c>
      <c r="F148" s="2" t="str">
        <f>"217062516 "</f>
        <v xml:space="preserve">217062516 </v>
      </c>
      <c r="G148" s="2" t="str">
        <f t="shared" si="5"/>
        <v>ON1</v>
      </c>
      <c r="H148" s="2" t="s">
        <v>20</v>
      </c>
      <c r="I148" s="2" t="s">
        <v>143</v>
      </c>
      <c r="J148" s="2" t="str">
        <f>""</f>
        <v/>
      </c>
      <c r="K148" s="2" t="str">
        <f>"PFES1162671022_0001"</f>
        <v>PFES1162671022_0001</v>
      </c>
      <c r="L148" s="2">
        <v>1</v>
      </c>
      <c r="M148" s="2">
        <v>1</v>
      </c>
    </row>
    <row r="149" spans="1:13">
      <c r="A149" s="6">
        <v>43500</v>
      </c>
      <c r="B149" s="7">
        <v>0.66388888888888886</v>
      </c>
      <c r="C149" s="2" t="str">
        <f>"FES1162671033"</f>
        <v>FES1162671033</v>
      </c>
      <c r="D149" s="2" t="s">
        <v>18</v>
      </c>
      <c r="E149" s="2" t="s">
        <v>66</v>
      </c>
      <c r="F149" s="2" t="str">
        <f>"2170672524 "</f>
        <v xml:space="preserve">2170672524 </v>
      </c>
      <c r="G149" s="2" t="str">
        <f t="shared" si="5"/>
        <v>ON1</v>
      </c>
      <c r="H149" s="2" t="s">
        <v>20</v>
      </c>
      <c r="I149" s="2" t="s">
        <v>67</v>
      </c>
      <c r="J149" s="2" t="str">
        <f>""</f>
        <v/>
      </c>
      <c r="K149" s="2" t="str">
        <f>"PFES1162671033_0001"</f>
        <v>PFES1162671033_0001</v>
      </c>
      <c r="L149" s="2">
        <v>1</v>
      </c>
      <c r="M149" s="2">
        <v>1</v>
      </c>
    </row>
    <row r="150" spans="1:13">
      <c r="A150" s="6">
        <v>43500</v>
      </c>
      <c r="B150" s="7">
        <v>0.66388888888888886</v>
      </c>
      <c r="C150" s="2" t="str">
        <f>"FES1162671018"</f>
        <v>FES1162671018</v>
      </c>
      <c r="D150" s="2" t="s">
        <v>18</v>
      </c>
      <c r="E150" s="2" t="s">
        <v>203</v>
      </c>
      <c r="F150" s="2" t="str">
        <f>"217067502 "</f>
        <v xml:space="preserve">217067502 </v>
      </c>
      <c r="G150" s="2" t="str">
        <f t="shared" si="5"/>
        <v>ON1</v>
      </c>
      <c r="H150" s="2" t="s">
        <v>20</v>
      </c>
      <c r="I150" s="2" t="s">
        <v>204</v>
      </c>
      <c r="J150" s="2" t="str">
        <f>""</f>
        <v/>
      </c>
      <c r="K150" s="2" t="str">
        <f>"PFES1162671018_0001"</f>
        <v>PFES1162671018_0001</v>
      </c>
      <c r="L150" s="2">
        <v>1</v>
      </c>
      <c r="M150" s="2">
        <v>1</v>
      </c>
    </row>
    <row r="151" spans="1:13">
      <c r="A151" s="6">
        <v>43500</v>
      </c>
      <c r="B151" s="7">
        <v>0.66041666666666665</v>
      </c>
      <c r="C151" s="2" t="str">
        <f>"FES1162671015"</f>
        <v>FES1162671015</v>
      </c>
      <c r="D151" s="2" t="s">
        <v>18</v>
      </c>
      <c r="E151" s="2" t="s">
        <v>205</v>
      </c>
      <c r="F151" s="2" t="str">
        <f>"2170672496 "</f>
        <v xml:space="preserve">2170672496 </v>
      </c>
      <c r="G151" s="2" t="str">
        <f t="shared" si="5"/>
        <v>ON1</v>
      </c>
      <c r="H151" s="2" t="s">
        <v>20</v>
      </c>
      <c r="I151" s="2" t="s">
        <v>149</v>
      </c>
      <c r="J151" s="2" t="str">
        <f>""</f>
        <v/>
      </c>
      <c r="K151" s="2" t="str">
        <f>"PFES1162671015_0001"</f>
        <v>PFES1162671015_0001</v>
      </c>
      <c r="L151" s="2">
        <v>1</v>
      </c>
      <c r="M151" s="2">
        <v>1</v>
      </c>
    </row>
    <row r="152" spans="1:13">
      <c r="A152" s="6">
        <v>43500</v>
      </c>
      <c r="B152" s="7">
        <v>0.65972222222222221</v>
      </c>
      <c r="C152" s="2" t="str">
        <f>"FES1162671024"</f>
        <v>FES1162671024</v>
      </c>
      <c r="D152" s="2" t="s">
        <v>18</v>
      </c>
      <c r="E152" s="2" t="s">
        <v>198</v>
      </c>
      <c r="F152" s="2" t="str">
        <f>"21706572512 "</f>
        <v xml:space="preserve">21706572512 </v>
      </c>
      <c r="G152" s="2" t="str">
        <f t="shared" si="5"/>
        <v>ON1</v>
      </c>
      <c r="H152" s="2" t="s">
        <v>20</v>
      </c>
      <c r="I152" s="2" t="s">
        <v>199</v>
      </c>
      <c r="J152" s="2" t="str">
        <f>""</f>
        <v/>
      </c>
      <c r="K152" s="2" t="str">
        <f>"PFES1162671024_0001"</f>
        <v>PFES1162671024_0001</v>
      </c>
      <c r="L152" s="2">
        <v>1</v>
      </c>
      <c r="M152" s="2">
        <v>1</v>
      </c>
    </row>
    <row r="153" spans="1:13">
      <c r="A153" s="6">
        <v>43500</v>
      </c>
      <c r="B153" s="7">
        <v>0.65694444444444444</v>
      </c>
      <c r="C153" s="2" t="str">
        <f>"FES1162671025"</f>
        <v>FES1162671025</v>
      </c>
      <c r="D153" s="2" t="s">
        <v>18</v>
      </c>
      <c r="E153" s="2" t="s">
        <v>138</v>
      </c>
      <c r="F153" s="2" t="str">
        <f>"2170672154 "</f>
        <v xml:space="preserve">2170672154 </v>
      </c>
      <c r="G153" s="2" t="str">
        <f t="shared" si="5"/>
        <v>ON1</v>
      </c>
      <c r="H153" s="2" t="s">
        <v>20</v>
      </c>
      <c r="I153" s="2" t="s">
        <v>139</v>
      </c>
      <c r="J153" s="2" t="str">
        <f>""</f>
        <v/>
      </c>
      <c r="K153" s="2" t="str">
        <f>"PFES1162671025_0001"</f>
        <v>PFES1162671025_0001</v>
      </c>
      <c r="L153" s="2">
        <v>1</v>
      </c>
      <c r="M153" s="2">
        <v>1</v>
      </c>
    </row>
    <row r="154" spans="1:13">
      <c r="A154" s="6">
        <v>43500</v>
      </c>
      <c r="B154" s="7">
        <v>0.65694444444444444</v>
      </c>
      <c r="C154" s="2" t="str">
        <f>"FES1162671008"</f>
        <v>FES1162671008</v>
      </c>
      <c r="D154" s="2" t="s">
        <v>18</v>
      </c>
      <c r="E154" s="2" t="s">
        <v>206</v>
      </c>
      <c r="F154" s="2" t="str">
        <f>"2170672493 "</f>
        <v xml:space="preserve">2170672493 </v>
      </c>
      <c r="G154" s="2" t="str">
        <f t="shared" si="5"/>
        <v>ON1</v>
      </c>
      <c r="H154" s="2" t="s">
        <v>20</v>
      </c>
      <c r="I154" s="2" t="s">
        <v>130</v>
      </c>
      <c r="J154" s="2" t="str">
        <f>""</f>
        <v/>
      </c>
      <c r="K154" s="2" t="str">
        <f>"PFES1162671008_0001"</f>
        <v>PFES1162671008_0001</v>
      </c>
      <c r="L154" s="2">
        <v>1</v>
      </c>
      <c r="M154" s="2">
        <v>1</v>
      </c>
    </row>
    <row r="155" spans="1:13">
      <c r="A155" s="6">
        <v>43500</v>
      </c>
      <c r="B155" s="7">
        <v>0.64444444444444449</v>
      </c>
      <c r="C155" s="2" t="str">
        <f>"FES1162670990"</f>
        <v>FES1162670990</v>
      </c>
      <c r="D155" s="2" t="s">
        <v>18</v>
      </c>
      <c r="E155" s="2" t="s">
        <v>207</v>
      </c>
      <c r="F155" s="2" t="str">
        <f>"2170672459 "</f>
        <v xml:space="preserve">2170672459 </v>
      </c>
      <c r="G155" s="2" t="str">
        <f t="shared" si="5"/>
        <v>ON1</v>
      </c>
      <c r="H155" s="2" t="s">
        <v>20</v>
      </c>
      <c r="I155" s="2" t="s">
        <v>208</v>
      </c>
      <c r="J155" s="2" t="str">
        <f>""</f>
        <v/>
      </c>
      <c r="K155" s="2" t="str">
        <f>"PFES1162670990_0001"</f>
        <v>PFES1162670990_0001</v>
      </c>
      <c r="L155" s="2">
        <v>1</v>
      </c>
      <c r="M155" s="2">
        <v>6</v>
      </c>
    </row>
    <row r="156" spans="1:13">
      <c r="A156" s="6">
        <v>43500</v>
      </c>
      <c r="B156" s="7">
        <v>0.64097222222222217</v>
      </c>
      <c r="C156" s="2" t="str">
        <f>"FES1162670981"</f>
        <v>FES1162670981</v>
      </c>
      <c r="D156" s="2" t="s">
        <v>18</v>
      </c>
      <c r="E156" s="2" t="s">
        <v>73</v>
      </c>
      <c r="F156" s="2" t="str">
        <f>"2170672444 "</f>
        <v xml:space="preserve">2170672444 </v>
      </c>
      <c r="G156" s="2" t="str">
        <f t="shared" si="5"/>
        <v>ON1</v>
      </c>
      <c r="H156" s="2" t="s">
        <v>20</v>
      </c>
      <c r="I156" s="2" t="s">
        <v>61</v>
      </c>
      <c r="J156" s="2" t="str">
        <f>""</f>
        <v/>
      </c>
      <c r="K156" s="2" t="str">
        <f>"PFES1162670981_0001"</f>
        <v>PFES1162670981_0001</v>
      </c>
      <c r="L156" s="2">
        <v>1</v>
      </c>
      <c r="M156" s="2">
        <v>2</v>
      </c>
    </row>
    <row r="157" spans="1:13">
      <c r="A157" s="6">
        <v>43500</v>
      </c>
      <c r="B157" s="7">
        <v>0.63958333333333328</v>
      </c>
      <c r="C157" s="2" t="str">
        <f>"FES1162670746"</f>
        <v>FES1162670746</v>
      </c>
      <c r="D157" s="2" t="s">
        <v>18</v>
      </c>
      <c r="E157" s="2" t="s">
        <v>47</v>
      </c>
      <c r="F157" s="2" t="str">
        <f>"2170667612 "</f>
        <v xml:space="preserve">2170667612 </v>
      </c>
      <c r="G157" s="2" t="str">
        <f t="shared" si="5"/>
        <v>ON1</v>
      </c>
      <c r="H157" s="2" t="s">
        <v>20</v>
      </c>
      <c r="I157" s="2" t="s">
        <v>48</v>
      </c>
      <c r="J157" s="2" t="str">
        <f>""</f>
        <v/>
      </c>
      <c r="K157" s="2" t="str">
        <f>"PFES1162670746_0001"</f>
        <v>PFES1162670746_0001</v>
      </c>
      <c r="L157" s="2">
        <v>1</v>
      </c>
      <c r="M157" s="2">
        <v>5</v>
      </c>
    </row>
    <row r="158" spans="1:13">
      <c r="A158" s="6">
        <v>43500</v>
      </c>
      <c r="B158" s="7">
        <v>0.63888888888888895</v>
      </c>
      <c r="C158" s="2" t="str">
        <f>"FES1162670965"</f>
        <v>FES1162670965</v>
      </c>
      <c r="D158" s="2" t="s">
        <v>18</v>
      </c>
      <c r="E158" s="2" t="s">
        <v>209</v>
      </c>
      <c r="F158" s="2" t="str">
        <f>"2170672410 "</f>
        <v xml:space="preserve">2170672410 </v>
      </c>
      <c r="G158" s="2" t="str">
        <f t="shared" si="5"/>
        <v>ON1</v>
      </c>
      <c r="H158" s="2" t="s">
        <v>20</v>
      </c>
      <c r="I158" s="2" t="s">
        <v>210</v>
      </c>
      <c r="J158" s="2" t="str">
        <f>""</f>
        <v/>
      </c>
      <c r="K158" s="2" t="str">
        <f>"PFES1162670965_0001"</f>
        <v>PFES1162670965_0001</v>
      </c>
      <c r="L158" s="2">
        <v>1</v>
      </c>
      <c r="M158" s="2">
        <v>6</v>
      </c>
    </row>
    <row r="159" spans="1:13">
      <c r="A159" s="6">
        <v>43500</v>
      </c>
      <c r="B159" s="7">
        <v>0.63680555555555551</v>
      </c>
      <c r="C159" s="2" t="str">
        <f>"FES1162670985"</f>
        <v>FES1162670985</v>
      </c>
      <c r="D159" s="2" t="s">
        <v>18</v>
      </c>
      <c r="E159" s="2" t="s">
        <v>211</v>
      </c>
      <c r="F159" s="2" t="str">
        <f>"2170672453 "</f>
        <v xml:space="preserve">2170672453 </v>
      </c>
      <c r="G159" s="2" t="str">
        <f t="shared" si="5"/>
        <v>ON1</v>
      </c>
      <c r="H159" s="2" t="s">
        <v>20</v>
      </c>
      <c r="I159" s="2" t="s">
        <v>53</v>
      </c>
      <c r="J159" s="2" t="str">
        <f>""</f>
        <v/>
      </c>
      <c r="K159" s="2" t="str">
        <f>"PFES1162670985_0001"</f>
        <v>PFES1162670985_0001</v>
      </c>
      <c r="L159" s="2">
        <v>1</v>
      </c>
      <c r="M159" s="2">
        <v>1</v>
      </c>
    </row>
    <row r="160" spans="1:13">
      <c r="A160" s="6">
        <v>43500</v>
      </c>
      <c r="B160" s="7">
        <v>0.63402777777777775</v>
      </c>
      <c r="C160" s="2" t="str">
        <f>"FES1162670977"</f>
        <v>FES1162670977</v>
      </c>
      <c r="D160" s="2" t="s">
        <v>18</v>
      </c>
      <c r="E160" s="2" t="s">
        <v>178</v>
      </c>
      <c r="F160" s="2" t="str">
        <f>"2170672312 "</f>
        <v xml:space="preserve">2170672312 </v>
      </c>
      <c r="G160" s="2" t="str">
        <f t="shared" si="5"/>
        <v>ON1</v>
      </c>
      <c r="H160" s="2" t="s">
        <v>20</v>
      </c>
      <c r="I160" s="2" t="s">
        <v>103</v>
      </c>
      <c r="J160" s="2" t="str">
        <f>""</f>
        <v/>
      </c>
      <c r="K160" s="2" t="str">
        <f>"PFES1162670977_0001"</f>
        <v>PFES1162670977_0001</v>
      </c>
      <c r="L160" s="2">
        <v>1</v>
      </c>
      <c r="M160" s="2">
        <v>2</v>
      </c>
    </row>
    <row r="161" spans="1:13">
      <c r="A161" s="6">
        <v>43500</v>
      </c>
      <c r="B161" s="7">
        <v>0.6333333333333333</v>
      </c>
      <c r="C161" s="2" t="str">
        <f>"FES1162670747"</f>
        <v>FES1162670747</v>
      </c>
      <c r="D161" s="2" t="s">
        <v>18</v>
      </c>
      <c r="E161" s="2" t="s">
        <v>47</v>
      </c>
      <c r="F161" s="2" t="str">
        <f>"2170667715 "</f>
        <v xml:space="preserve">2170667715 </v>
      </c>
      <c r="G161" s="2" t="str">
        <f t="shared" si="5"/>
        <v>ON1</v>
      </c>
      <c r="H161" s="2" t="s">
        <v>20</v>
      </c>
      <c r="I161" s="2" t="s">
        <v>48</v>
      </c>
      <c r="J161" s="2" t="str">
        <f>""</f>
        <v/>
      </c>
      <c r="K161" s="2" t="str">
        <f>"PFES1162670747_0001"</f>
        <v>PFES1162670747_0001</v>
      </c>
      <c r="L161" s="2">
        <v>1</v>
      </c>
      <c r="M161" s="2">
        <v>4</v>
      </c>
    </row>
    <row r="162" spans="1:13">
      <c r="A162" s="6">
        <v>43500</v>
      </c>
      <c r="B162" s="7">
        <v>0.63263888888888886</v>
      </c>
      <c r="C162" s="2" t="str">
        <f>"FES1162670740"</f>
        <v>FES1162670740</v>
      </c>
      <c r="D162" s="2" t="s">
        <v>18</v>
      </c>
      <c r="E162" s="2" t="s">
        <v>47</v>
      </c>
      <c r="F162" s="2" t="str">
        <f>"2170664923 "</f>
        <v xml:space="preserve">2170664923 </v>
      </c>
      <c r="G162" s="2" t="str">
        <f>"DBC"</f>
        <v>DBC</v>
      </c>
      <c r="H162" s="2" t="s">
        <v>20</v>
      </c>
      <c r="I162" s="2" t="s">
        <v>48</v>
      </c>
      <c r="J162" s="2" t="str">
        <f>""</f>
        <v/>
      </c>
      <c r="K162" s="2" t="str">
        <f>"PFES1162670740_0001"</f>
        <v>PFES1162670740_0001</v>
      </c>
      <c r="L162" s="2">
        <v>1</v>
      </c>
      <c r="M162" s="2">
        <v>24</v>
      </c>
    </row>
    <row r="163" spans="1:13">
      <c r="A163" s="6">
        <v>43500</v>
      </c>
      <c r="B163" s="7">
        <v>0.62708333333333333</v>
      </c>
      <c r="C163" s="2" t="str">
        <f>"FES1162670882"</f>
        <v>FES1162670882</v>
      </c>
      <c r="D163" s="2" t="s">
        <v>18</v>
      </c>
      <c r="E163" s="2" t="s">
        <v>212</v>
      </c>
      <c r="F163" s="2" t="str">
        <f>"2170671200 "</f>
        <v xml:space="preserve">2170671200 </v>
      </c>
      <c r="G163" s="2" t="str">
        <f>"DBC"</f>
        <v>DBC</v>
      </c>
      <c r="H163" s="2" t="s">
        <v>20</v>
      </c>
      <c r="I163" s="2" t="s">
        <v>213</v>
      </c>
      <c r="J163" s="2" t="str">
        <f>"FRAGILE OIL"</f>
        <v>FRAGILE OIL</v>
      </c>
      <c r="K163" s="2" t="str">
        <f>"PFES1162670882_0001"</f>
        <v>PFES1162670882_0001</v>
      </c>
      <c r="L163" s="2">
        <v>2</v>
      </c>
      <c r="M163" s="2">
        <v>6</v>
      </c>
    </row>
    <row r="164" spans="1:13">
      <c r="A164" s="6">
        <v>43496</v>
      </c>
      <c r="B164" s="7">
        <v>0.63541666666666663</v>
      </c>
      <c r="C164" s="2" t="str">
        <f>"FES1162670882"</f>
        <v>FES1162670882</v>
      </c>
      <c r="D164" s="2" t="s">
        <v>18</v>
      </c>
      <c r="E164" s="2" t="s">
        <v>214</v>
      </c>
      <c r="F164" s="2" t="str">
        <f>"2170670523 "</f>
        <v xml:space="preserve">2170670523 </v>
      </c>
      <c r="G164" s="2" t="str">
        <f t="shared" ref="G164:G227" si="6">"ON1"</f>
        <v>ON1</v>
      </c>
      <c r="H164" s="2" t="s">
        <v>20</v>
      </c>
      <c r="I164" s="2" t="s">
        <v>215</v>
      </c>
      <c r="J164" s="2" t="str">
        <f>""</f>
        <v/>
      </c>
      <c r="K164" s="2" t="str">
        <f>"PFES1162670882_0002"</f>
        <v>PFES1162670882_0002</v>
      </c>
      <c r="L164" s="2">
        <v>1</v>
      </c>
      <c r="M164" s="2">
        <v>4</v>
      </c>
    </row>
    <row r="165" spans="1:13">
      <c r="A165" s="6">
        <v>43500</v>
      </c>
      <c r="B165" s="7">
        <v>0.62569444444444444</v>
      </c>
      <c r="C165" s="2" t="str">
        <f>"FES1162670956"</f>
        <v>FES1162670956</v>
      </c>
      <c r="D165" s="2" t="s">
        <v>18</v>
      </c>
      <c r="E165" s="2" t="s">
        <v>47</v>
      </c>
      <c r="F165" s="2" t="str">
        <f>"21706782 "</f>
        <v xml:space="preserve">21706782 </v>
      </c>
      <c r="G165" s="2" t="str">
        <f t="shared" si="6"/>
        <v>ON1</v>
      </c>
      <c r="H165" s="2" t="s">
        <v>20</v>
      </c>
      <c r="I165" s="2" t="s">
        <v>48</v>
      </c>
      <c r="J165" s="2" t="str">
        <f>""</f>
        <v/>
      </c>
      <c r="K165" s="2" t="str">
        <f>"PFES1162670956_0001"</f>
        <v>PFES1162670956_0001</v>
      </c>
      <c r="L165" s="2">
        <v>1</v>
      </c>
      <c r="M165" s="2">
        <v>1</v>
      </c>
    </row>
    <row r="166" spans="1:13">
      <c r="A166" s="6">
        <v>43500</v>
      </c>
      <c r="B166" s="7">
        <v>0.62569444444444444</v>
      </c>
      <c r="C166" s="2" t="str">
        <f>"FES1162670902"</f>
        <v>FES1162670902</v>
      </c>
      <c r="D166" s="2" t="s">
        <v>18</v>
      </c>
      <c r="E166" s="2" t="s">
        <v>216</v>
      </c>
      <c r="F166" s="2" t="str">
        <f>"2170672359 "</f>
        <v xml:space="preserve">2170672359 </v>
      </c>
      <c r="G166" s="2" t="str">
        <f t="shared" si="6"/>
        <v>ON1</v>
      </c>
      <c r="H166" s="2" t="s">
        <v>20</v>
      </c>
      <c r="I166" s="2" t="s">
        <v>217</v>
      </c>
      <c r="J166" s="2" t="str">
        <f>""</f>
        <v/>
      </c>
      <c r="K166" s="2" t="str">
        <f>"PFES1162670902_0001"</f>
        <v>PFES1162670902_0001</v>
      </c>
      <c r="L166" s="2">
        <v>1</v>
      </c>
      <c r="M166" s="2">
        <v>1</v>
      </c>
    </row>
    <row r="167" spans="1:13">
      <c r="A167" s="6">
        <v>43500</v>
      </c>
      <c r="B167" s="7">
        <v>0.625</v>
      </c>
      <c r="C167" s="2" t="str">
        <f>"FES1162670978"</f>
        <v>FES1162670978</v>
      </c>
      <c r="D167" s="2" t="s">
        <v>18</v>
      </c>
      <c r="E167" s="2" t="s">
        <v>178</v>
      </c>
      <c r="F167" s="2" t="str">
        <f>"2170672328 "</f>
        <v xml:space="preserve">2170672328 </v>
      </c>
      <c r="G167" s="2" t="str">
        <f t="shared" si="6"/>
        <v>ON1</v>
      </c>
      <c r="H167" s="2" t="s">
        <v>20</v>
      </c>
      <c r="I167" s="2" t="s">
        <v>31</v>
      </c>
      <c r="J167" s="2" t="str">
        <f>""</f>
        <v/>
      </c>
      <c r="K167" s="2" t="str">
        <f>"PFES1162670978_0001"</f>
        <v>PFES1162670978_0001</v>
      </c>
      <c r="L167" s="2">
        <v>1</v>
      </c>
      <c r="M167" s="2">
        <v>1</v>
      </c>
    </row>
    <row r="168" spans="1:13">
      <c r="A168" s="6">
        <v>43500</v>
      </c>
      <c r="B168" s="7">
        <v>0.625</v>
      </c>
      <c r="C168" s="2" t="str">
        <f>"FES1162671007"</f>
        <v>FES1162671007</v>
      </c>
      <c r="D168" s="2" t="s">
        <v>18</v>
      </c>
      <c r="E168" s="2" t="s">
        <v>218</v>
      </c>
      <c r="F168" s="2" t="str">
        <f>"21706708013 "</f>
        <v xml:space="preserve">21706708013 </v>
      </c>
      <c r="G168" s="2" t="str">
        <f t="shared" si="6"/>
        <v>ON1</v>
      </c>
      <c r="H168" s="2" t="s">
        <v>20</v>
      </c>
      <c r="I168" s="2" t="s">
        <v>219</v>
      </c>
      <c r="J168" s="2" t="str">
        <f>""</f>
        <v/>
      </c>
      <c r="K168" s="2" t="str">
        <f>"PFES1162671007_0001"</f>
        <v>PFES1162671007_0001</v>
      </c>
      <c r="L168" s="2">
        <v>1</v>
      </c>
      <c r="M168" s="2">
        <v>1</v>
      </c>
    </row>
    <row r="169" spans="1:13">
      <c r="A169" s="6">
        <v>43500</v>
      </c>
      <c r="B169" s="7">
        <v>0.62152777777777779</v>
      </c>
      <c r="C169" s="2" t="str">
        <f>"FES1162670934"</f>
        <v>FES1162670934</v>
      </c>
      <c r="D169" s="2" t="s">
        <v>18</v>
      </c>
      <c r="E169" s="2" t="s">
        <v>178</v>
      </c>
      <c r="F169" s="2" t="str">
        <f>"2170671814 "</f>
        <v xml:space="preserve">2170671814 </v>
      </c>
      <c r="G169" s="2" t="str">
        <f t="shared" si="6"/>
        <v>ON1</v>
      </c>
      <c r="H169" s="2" t="s">
        <v>20</v>
      </c>
      <c r="I169" s="2" t="s">
        <v>31</v>
      </c>
      <c r="J169" s="2" t="str">
        <f>""</f>
        <v/>
      </c>
      <c r="K169" s="2" t="str">
        <f>"PFES1162670934_0001"</f>
        <v>PFES1162670934_0001</v>
      </c>
      <c r="L169" s="2">
        <v>1</v>
      </c>
      <c r="M169" s="2">
        <v>1</v>
      </c>
    </row>
    <row r="170" spans="1:13">
      <c r="A170" s="6">
        <v>43500</v>
      </c>
      <c r="B170" s="7">
        <v>0.62152777777777779</v>
      </c>
      <c r="C170" s="2" t="str">
        <f>"FES1162670966"</f>
        <v>FES1162670966</v>
      </c>
      <c r="D170" s="2" t="s">
        <v>18</v>
      </c>
      <c r="E170" s="2" t="s">
        <v>220</v>
      </c>
      <c r="F170" s="2" t="str">
        <f>"2170672424 "</f>
        <v xml:space="preserve">2170672424 </v>
      </c>
      <c r="G170" s="2" t="str">
        <f t="shared" si="6"/>
        <v>ON1</v>
      </c>
      <c r="H170" s="2" t="s">
        <v>20</v>
      </c>
      <c r="I170" s="2" t="s">
        <v>221</v>
      </c>
      <c r="J170" s="2" t="str">
        <f>""</f>
        <v/>
      </c>
      <c r="K170" s="2" t="str">
        <f>"PFES1162670966_0001"</f>
        <v>PFES1162670966_0001</v>
      </c>
      <c r="L170" s="2">
        <v>1</v>
      </c>
      <c r="M170" s="2">
        <v>1</v>
      </c>
    </row>
    <row r="171" spans="1:13">
      <c r="A171" s="6">
        <v>43500</v>
      </c>
      <c r="B171" s="7">
        <v>0.62152777777777779</v>
      </c>
      <c r="C171" s="2" t="str">
        <f>"FES1162670960"</f>
        <v>FES1162670960</v>
      </c>
      <c r="D171" s="2" t="s">
        <v>18</v>
      </c>
      <c r="E171" s="2" t="s">
        <v>222</v>
      </c>
      <c r="F171" s="2" t="str">
        <f>"2170672419 "</f>
        <v xml:space="preserve">2170672419 </v>
      </c>
      <c r="G171" s="2" t="str">
        <f t="shared" si="6"/>
        <v>ON1</v>
      </c>
      <c r="H171" s="2" t="s">
        <v>20</v>
      </c>
      <c r="I171" s="2" t="s">
        <v>182</v>
      </c>
      <c r="J171" s="2" t="str">
        <f>""</f>
        <v/>
      </c>
      <c r="K171" s="2" t="str">
        <f>"PFES1162670960_0001"</f>
        <v>PFES1162670960_0001</v>
      </c>
      <c r="L171" s="2">
        <v>1</v>
      </c>
      <c r="M171" s="2">
        <v>1</v>
      </c>
    </row>
    <row r="172" spans="1:13">
      <c r="A172" s="6">
        <v>43500</v>
      </c>
      <c r="B172" s="7">
        <v>0.62083333333333335</v>
      </c>
      <c r="C172" s="2" t="str">
        <f>"FES1162670993"</f>
        <v>FES1162670993</v>
      </c>
      <c r="D172" s="2" t="s">
        <v>18</v>
      </c>
      <c r="E172" s="2" t="s">
        <v>138</v>
      </c>
      <c r="F172" s="2" t="str">
        <f>"2170672463 "</f>
        <v xml:space="preserve">2170672463 </v>
      </c>
      <c r="G172" s="2" t="str">
        <f t="shared" si="6"/>
        <v>ON1</v>
      </c>
      <c r="H172" s="2" t="s">
        <v>20</v>
      </c>
      <c r="I172" s="2" t="s">
        <v>139</v>
      </c>
      <c r="J172" s="2" t="str">
        <f>""</f>
        <v/>
      </c>
      <c r="K172" s="2" t="str">
        <f>"PFES1162670993_0001"</f>
        <v>PFES1162670993_0001</v>
      </c>
      <c r="L172" s="2">
        <v>1</v>
      </c>
      <c r="M172" s="2">
        <v>1</v>
      </c>
    </row>
    <row r="173" spans="1:13">
      <c r="A173" s="6">
        <v>43500</v>
      </c>
      <c r="B173" s="7">
        <v>0.62083333333333335</v>
      </c>
      <c r="C173" s="2" t="str">
        <f>"FES1162670984"</f>
        <v>FES1162670984</v>
      </c>
      <c r="D173" s="2" t="s">
        <v>18</v>
      </c>
      <c r="E173" s="2" t="s">
        <v>223</v>
      </c>
      <c r="F173" s="2" t="str">
        <f>"2170672451 "</f>
        <v xml:space="preserve">2170672451 </v>
      </c>
      <c r="G173" s="2" t="str">
        <f t="shared" si="6"/>
        <v>ON1</v>
      </c>
      <c r="H173" s="2" t="s">
        <v>20</v>
      </c>
      <c r="I173" s="2" t="s">
        <v>224</v>
      </c>
      <c r="J173" s="2" t="str">
        <f>""</f>
        <v/>
      </c>
      <c r="K173" s="2" t="str">
        <f>"PFES1162670984_0001"</f>
        <v>PFES1162670984_0001</v>
      </c>
      <c r="L173" s="2">
        <v>1</v>
      </c>
      <c r="M173" s="2">
        <v>1</v>
      </c>
    </row>
    <row r="174" spans="1:13">
      <c r="A174" s="6">
        <v>43500</v>
      </c>
      <c r="B174" s="7">
        <v>0.62083333333333335</v>
      </c>
      <c r="C174" s="2" t="str">
        <f>"FES1162671001"</f>
        <v>FES1162671001</v>
      </c>
      <c r="D174" s="2" t="s">
        <v>18</v>
      </c>
      <c r="E174" s="2" t="s">
        <v>225</v>
      </c>
      <c r="F174" s="2" t="str">
        <f>"2170672480 "</f>
        <v xml:space="preserve">2170672480 </v>
      </c>
      <c r="G174" s="2" t="str">
        <f t="shared" si="6"/>
        <v>ON1</v>
      </c>
      <c r="H174" s="2" t="s">
        <v>20</v>
      </c>
      <c r="I174" s="2" t="s">
        <v>226</v>
      </c>
      <c r="J174" s="2" t="str">
        <f>""</f>
        <v/>
      </c>
      <c r="K174" s="2" t="str">
        <f>"PFES1162671001_0001"</f>
        <v>PFES1162671001_0001</v>
      </c>
      <c r="L174" s="2">
        <v>1</v>
      </c>
      <c r="M174" s="2">
        <v>1</v>
      </c>
    </row>
    <row r="175" spans="1:13">
      <c r="A175" s="6">
        <v>43500</v>
      </c>
      <c r="B175" s="7">
        <v>0.62013888888888891</v>
      </c>
      <c r="C175" s="2" t="str">
        <f>"FES1162671006"</f>
        <v>FES1162671006</v>
      </c>
      <c r="D175" s="2" t="s">
        <v>18</v>
      </c>
      <c r="E175" s="2" t="s">
        <v>225</v>
      </c>
      <c r="F175" s="2" t="str">
        <f>"2170672489 "</f>
        <v xml:space="preserve">2170672489 </v>
      </c>
      <c r="G175" s="2" t="str">
        <f t="shared" si="6"/>
        <v>ON1</v>
      </c>
      <c r="H175" s="2" t="s">
        <v>20</v>
      </c>
      <c r="I175" s="2" t="s">
        <v>226</v>
      </c>
      <c r="J175" s="2" t="str">
        <f>""</f>
        <v/>
      </c>
      <c r="K175" s="2" t="str">
        <f>"PFES1162671006_0001"</f>
        <v>PFES1162671006_0001</v>
      </c>
      <c r="L175" s="2">
        <v>1</v>
      </c>
      <c r="M175" s="2">
        <v>1</v>
      </c>
    </row>
    <row r="176" spans="1:13">
      <c r="A176" s="6">
        <v>43500</v>
      </c>
      <c r="B176" s="7">
        <v>0.62013888888888891</v>
      </c>
      <c r="C176" s="2" t="str">
        <f>"FES1162670983"</f>
        <v>FES1162670983</v>
      </c>
      <c r="D176" s="2" t="s">
        <v>18</v>
      </c>
      <c r="E176" s="2" t="s">
        <v>138</v>
      </c>
      <c r="F176" s="2" t="str">
        <f>"2170672449 "</f>
        <v xml:space="preserve">2170672449 </v>
      </c>
      <c r="G176" s="2" t="str">
        <f t="shared" si="6"/>
        <v>ON1</v>
      </c>
      <c r="H176" s="2" t="s">
        <v>20</v>
      </c>
      <c r="I176" s="2" t="s">
        <v>139</v>
      </c>
      <c r="J176" s="2" t="str">
        <f>""</f>
        <v/>
      </c>
      <c r="K176" s="2" t="str">
        <f>"PFES1162670983_0001"</f>
        <v>PFES1162670983_0001</v>
      </c>
      <c r="L176" s="2">
        <v>1</v>
      </c>
      <c r="M176" s="2">
        <v>1</v>
      </c>
    </row>
    <row r="177" spans="1:13">
      <c r="A177" s="6">
        <v>43500</v>
      </c>
      <c r="B177" s="7">
        <v>0.62013888888888891</v>
      </c>
      <c r="C177" s="2" t="str">
        <f>"FES1162670964"</f>
        <v>FES1162670964</v>
      </c>
      <c r="D177" s="2" t="s">
        <v>18</v>
      </c>
      <c r="E177" s="2" t="s">
        <v>227</v>
      </c>
      <c r="F177" s="2" t="str">
        <f>"2170672423 "</f>
        <v xml:space="preserve">2170672423 </v>
      </c>
      <c r="G177" s="2" t="str">
        <f t="shared" si="6"/>
        <v>ON1</v>
      </c>
      <c r="H177" s="2" t="s">
        <v>20</v>
      </c>
      <c r="I177" s="2" t="s">
        <v>228</v>
      </c>
      <c r="J177" s="2" t="str">
        <f>""</f>
        <v/>
      </c>
      <c r="K177" s="2" t="str">
        <f>"PFES1162670964_0001"</f>
        <v>PFES1162670964_0001</v>
      </c>
      <c r="L177" s="2">
        <v>1</v>
      </c>
      <c r="M177" s="2">
        <v>1</v>
      </c>
    </row>
    <row r="178" spans="1:13">
      <c r="A178" s="6">
        <v>43500</v>
      </c>
      <c r="B178" s="7">
        <v>0.61944444444444446</v>
      </c>
      <c r="C178" s="2" t="str">
        <f>"FES1162670999"</f>
        <v>FES1162670999</v>
      </c>
      <c r="D178" s="2" t="s">
        <v>18</v>
      </c>
      <c r="E178" s="2" t="s">
        <v>225</v>
      </c>
      <c r="F178" s="2" t="str">
        <f>"2170672478 "</f>
        <v xml:space="preserve">2170672478 </v>
      </c>
      <c r="G178" s="2" t="str">
        <f t="shared" si="6"/>
        <v>ON1</v>
      </c>
      <c r="H178" s="2" t="s">
        <v>20</v>
      </c>
      <c r="I178" s="2" t="s">
        <v>226</v>
      </c>
      <c r="J178" s="2" t="str">
        <f>""</f>
        <v/>
      </c>
      <c r="K178" s="2" t="str">
        <f>"PFES1162670999_0001"</f>
        <v>PFES1162670999_0001</v>
      </c>
      <c r="L178" s="2">
        <v>1</v>
      </c>
      <c r="M178" s="2">
        <v>1</v>
      </c>
    </row>
    <row r="179" spans="1:13">
      <c r="A179" s="6">
        <v>43500</v>
      </c>
      <c r="B179" s="7">
        <v>0.61875000000000002</v>
      </c>
      <c r="C179" s="2" t="str">
        <f>"FES1162670942"</f>
        <v>FES1162670942</v>
      </c>
      <c r="D179" s="2" t="s">
        <v>18</v>
      </c>
      <c r="E179" s="2" t="s">
        <v>229</v>
      </c>
      <c r="F179" s="2" t="str">
        <f>"2170672399 "</f>
        <v xml:space="preserve">2170672399 </v>
      </c>
      <c r="G179" s="2" t="str">
        <f t="shared" si="6"/>
        <v>ON1</v>
      </c>
      <c r="H179" s="2" t="s">
        <v>20</v>
      </c>
      <c r="I179" s="2" t="s">
        <v>111</v>
      </c>
      <c r="J179" s="2" t="str">
        <f>""</f>
        <v/>
      </c>
      <c r="K179" s="2" t="str">
        <f>"PFES1162670942_0001"</f>
        <v>PFES1162670942_0001</v>
      </c>
      <c r="L179" s="2">
        <v>2</v>
      </c>
      <c r="M179" s="2">
        <v>9</v>
      </c>
    </row>
    <row r="180" spans="1:13">
      <c r="A180" s="6">
        <v>43496</v>
      </c>
      <c r="B180" s="7">
        <v>0.62569444444444444</v>
      </c>
      <c r="C180" s="2" t="str">
        <f>"FES1162670942"</f>
        <v>FES1162670942</v>
      </c>
      <c r="D180" s="2" t="s">
        <v>18</v>
      </c>
      <c r="E180" s="2" t="s">
        <v>19</v>
      </c>
      <c r="F180" s="2" t="str">
        <f>"2170669819 "</f>
        <v xml:space="preserve">2170669819 </v>
      </c>
      <c r="G180" s="2" t="str">
        <f t="shared" si="6"/>
        <v>ON1</v>
      </c>
      <c r="H180" s="2" t="s">
        <v>20</v>
      </c>
      <c r="I180" s="2" t="s">
        <v>21</v>
      </c>
      <c r="J180" s="2" t="str">
        <f>""</f>
        <v/>
      </c>
      <c r="K180" s="2" t="str">
        <f>"PFES1162670942_0002"</f>
        <v>PFES1162670942_0002</v>
      </c>
      <c r="L180" s="2">
        <v>1</v>
      </c>
      <c r="M180" s="2">
        <v>1</v>
      </c>
    </row>
    <row r="181" spans="1:13">
      <c r="A181" s="6">
        <v>43500</v>
      </c>
      <c r="B181" s="7">
        <v>0.61805555555555558</v>
      </c>
      <c r="C181" s="2" t="str">
        <f>"FES1162671010"</f>
        <v>FES1162671010</v>
      </c>
      <c r="D181" s="2" t="s">
        <v>18</v>
      </c>
      <c r="E181" s="2" t="s">
        <v>230</v>
      </c>
      <c r="F181" s="2" t="str">
        <f>"2170672167 "</f>
        <v xml:space="preserve">2170672167 </v>
      </c>
      <c r="G181" s="2" t="str">
        <f t="shared" si="6"/>
        <v>ON1</v>
      </c>
      <c r="H181" s="2" t="s">
        <v>20</v>
      </c>
      <c r="I181" s="2" t="s">
        <v>231</v>
      </c>
      <c r="J181" s="2" t="str">
        <f>""</f>
        <v/>
      </c>
      <c r="K181" s="2" t="str">
        <f>"PFES1162671010_0001"</f>
        <v>PFES1162671010_0001</v>
      </c>
      <c r="L181" s="2">
        <v>1</v>
      </c>
      <c r="M181" s="2">
        <v>1</v>
      </c>
    </row>
    <row r="182" spans="1:13">
      <c r="A182" s="6">
        <v>43500</v>
      </c>
      <c r="B182" s="7">
        <v>0.61736111111111114</v>
      </c>
      <c r="C182" s="2" t="str">
        <f>"FES1162670967"</f>
        <v>FES1162670967</v>
      </c>
      <c r="D182" s="2" t="s">
        <v>18</v>
      </c>
      <c r="E182" s="2" t="s">
        <v>232</v>
      </c>
      <c r="F182" s="2" t="str">
        <f>"2170672425 "</f>
        <v xml:space="preserve">2170672425 </v>
      </c>
      <c r="G182" s="2" t="str">
        <f t="shared" si="6"/>
        <v>ON1</v>
      </c>
      <c r="H182" s="2" t="s">
        <v>20</v>
      </c>
      <c r="I182" s="2" t="s">
        <v>233</v>
      </c>
      <c r="J182" s="2" t="str">
        <f>""</f>
        <v/>
      </c>
      <c r="K182" s="2" t="str">
        <f>"PFES1162670967_0001"</f>
        <v>PFES1162670967_0001</v>
      </c>
      <c r="L182" s="2">
        <v>1</v>
      </c>
      <c r="M182" s="2">
        <v>8</v>
      </c>
    </row>
    <row r="183" spans="1:13">
      <c r="A183" s="6">
        <v>43500</v>
      </c>
      <c r="B183" s="7">
        <v>0.61597222222222225</v>
      </c>
      <c r="C183" s="2" t="str">
        <f>"FES1162670989"</f>
        <v>FES1162670989</v>
      </c>
      <c r="D183" s="2" t="s">
        <v>18</v>
      </c>
      <c r="E183" s="2" t="s">
        <v>234</v>
      </c>
      <c r="F183" s="2" t="str">
        <f>"2170672368 "</f>
        <v xml:space="preserve">2170672368 </v>
      </c>
      <c r="G183" s="2" t="str">
        <f t="shared" si="6"/>
        <v>ON1</v>
      </c>
      <c r="H183" s="2" t="s">
        <v>20</v>
      </c>
      <c r="I183" s="2" t="s">
        <v>233</v>
      </c>
      <c r="J183" s="2" t="str">
        <f>""</f>
        <v/>
      </c>
      <c r="K183" s="2" t="str">
        <f>"PFES1162670989_0001"</f>
        <v>PFES1162670989_0001</v>
      </c>
      <c r="L183" s="2">
        <v>1</v>
      </c>
      <c r="M183" s="2">
        <v>2</v>
      </c>
    </row>
    <row r="184" spans="1:13">
      <c r="A184" s="6">
        <v>43500</v>
      </c>
      <c r="B184" s="7">
        <v>0.61458333333333337</v>
      </c>
      <c r="C184" s="2" t="str">
        <f>"FES1162670743"</f>
        <v>FES1162670743</v>
      </c>
      <c r="D184" s="2" t="s">
        <v>18</v>
      </c>
      <c r="E184" s="2" t="s">
        <v>47</v>
      </c>
      <c r="F184" s="2" t="str">
        <f>"2170666229 "</f>
        <v xml:space="preserve">2170666229 </v>
      </c>
      <c r="G184" s="2" t="str">
        <f t="shared" si="6"/>
        <v>ON1</v>
      </c>
      <c r="H184" s="2" t="s">
        <v>20</v>
      </c>
      <c r="I184" s="2" t="s">
        <v>48</v>
      </c>
      <c r="J184" s="2" t="str">
        <f>""</f>
        <v/>
      </c>
      <c r="K184" s="2" t="str">
        <f>"PFES1162670743_0001"</f>
        <v>PFES1162670743_0001</v>
      </c>
      <c r="L184" s="2">
        <v>1</v>
      </c>
      <c r="M184" s="2">
        <v>2</v>
      </c>
    </row>
    <row r="185" spans="1:13">
      <c r="A185" s="6">
        <v>43500</v>
      </c>
      <c r="B185" s="7">
        <v>0.61388888888888882</v>
      </c>
      <c r="C185" s="2" t="str">
        <f>"FES1162670870"</f>
        <v>FES1162670870</v>
      </c>
      <c r="D185" s="2" t="s">
        <v>18</v>
      </c>
      <c r="E185" s="2" t="s">
        <v>129</v>
      </c>
      <c r="F185" s="2" t="str">
        <f>"2170672324 "</f>
        <v xml:space="preserve">2170672324 </v>
      </c>
      <c r="G185" s="2" t="str">
        <f t="shared" si="6"/>
        <v>ON1</v>
      </c>
      <c r="H185" s="2" t="s">
        <v>20</v>
      </c>
      <c r="I185" s="2" t="s">
        <v>130</v>
      </c>
      <c r="J185" s="2" t="str">
        <f>""</f>
        <v/>
      </c>
      <c r="K185" s="2" t="str">
        <f>"PFES1162670870_0001"</f>
        <v>PFES1162670870_0001</v>
      </c>
      <c r="L185" s="2">
        <v>1</v>
      </c>
      <c r="M185" s="2">
        <v>2</v>
      </c>
    </row>
    <row r="186" spans="1:13">
      <c r="A186" s="6">
        <v>43500</v>
      </c>
      <c r="B186" s="7">
        <v>0.61249999999999993</v>
      </c>
      <c r="C186" s="2" t="str">
        <f>"FES1162670988"</f>
        <v>FES1162670988</v>
      </c>
      <c r="D186" s="2" t="s">
        <v>18</v>
      </c>
      <c r="E186" s="2" t="s">
        <v>235</v>
      </c>
      <c r="F186" s="2" t="str">
        <f>"2170672457 "</f>
        <v xml:space="preserve">2170672457 </v>
      </c>
      <c r="G186" s="2" t="str">
        <f t="shared" si="6"/>
        <v>ON1</v>
      </c>
      <c r="H186" s="2" t="s">
        <v>20</v>
      </c>
      <c r="I186" s="2" t="s">
        <v>143</v>
      </c>
      <c r="J186" s="2" t="str">
        <f>""</f>
        <v/>
      </c>
      <c r="K186" s="2" t="str">
        <f>"PFES1162670988_0001"</f>
        <v>PFES1162670988_0001</v>
      </c>
      <c r="L186" s="2">
        <v>1</v>
      </c>
      <c r="M186" s="2">
        <v>1</v>
      </c>
    </row>
    <row r="187" spans="1:13">
      <c r="A187" s="6">
        <v>43500</v>
      </c>
      <c r="B187" s="7">
        <v>0.61249999999999993</v>
      </c>
      <c r="C187" s="2" t="str">
        <f>"FES1162670958"</f>
        <v>FES1162670958</v>
      </c>
      <c r="D187" s="2" t="s">
        <v>18</v>
      </c>
      <c r="E187" s="2" t="s">
        <v>47</v>
      </c>
      <c r="F187" s="2" t="str">
        <f>"2170672118 "</f>
        <v xml:space="preserve">2170672118 </v>
      </c>
      <c r="G187" s="2" t="str">
        <f t="shared" si="6"/>
        <v>ON1</v>
      </c>
      <c r="H187" s="2" t="s">
        <v>20</v>
      </c>
      <c r="I187" s="2" t="s">
        <v>48</v>
      </c>
      <c r="J187" s="2" t="str">
        <f>""</f>
        <v/>
      </c>
      <c r="K187" s="2" t="str">
        <f>"PFES1162670958_0001"</f>
        <v>PFES1162670958_0001</v>
      </c>
      <c r="L187" s="2">
        <v>1</v>
      </c>
      <c r="M187" s="2">
        <v>3</v>
      </c>
    </row>
    <row r="188" spans="1:13">
      <c r="A188" s="6">
        <v>43500</v>
      </c>
      <c r="B188" s="7">
        <v>0.61249999999999993</v>
      </c>
      <c r="C188" s="2" t="str">
        <f>"FES1162670971"</f>
        <v>FES1162670971</v>
      </c>
      <c r="D188" s="2" t="s">
        <v>18</v>
      </c>
      <c r="E188" s="2" t="s">
        <v>24</v>
      </c>
      <c r="F188" s="2" t="str">
        <f>"2170672431 "</f>
        <v xml:space="preserve">2170672431 </v>
      </c>
      <c r="G188" s="2" t="str">
        <f t="shared" si="6"/>
        <v>ON1</v>
      </c>
      <c r="H188" s="2" t="s">
        <v>20</v>
      </c>
      <c r="I188" s="2" t="s">
        <v>25</v>
      </c>
      <c r="J188" s="2" t="str">
        <f>""</f>
        <v/>
      </c>
      <c r="K188" s="2" t="str">
        <f>"PFES1162670971_0001"</f>
        <v>PFES1162670971_0001</v>
      </c>
      <c r="L188" s="2">
        <v>1</v>
      </c>
      <c r="M188" s="2">
        <v>1</v>
      </c>
    </row>
    <row r="189" spans="1:13">
      <c r="A189" s="6">
        <v>43500</v>
      </c>
      <c r="B189" s="7">
        <v>0.61249999999999993</v>
      </c>
      <c r="C189" s="2" t="str">
        <f>"FES1162671004"</f>
        <v>FES1162671004</v>
      </c>
      <c r="D189" s="2" t="s">
        <v>18</v>
      </c>
      <c r="E189" s="2" t="s">
        <v>162</v>
      </c>
      <c r="F189" s="2" t="str">
        <f>"2170672486 "</f>
        <v xml:space="preserve">2170672486 </v>
      </c>
      <c r="G189" s="2" t="str">
        <f t="shared" si="6"/>
        <v>ON1</v>
      </c>
      <c r="H189" s="2" t="s">
        <v>20</v>
      </c>
      <c r="I189" s="2" t="s">
        <v>163</v>
      </c>
      <c r="J189" s="2" t="str">
        <f>""</f>
        <v/>
      </c>
      <c r="K189" s="2" t="str">
        <f>"PFES1162671004_0001"</f>
        <v>PFES1162671004_0001</v>
      </c>
      <c r="L189" s="2">
        <v>1</v>
      </c>
      <c r="M189" s="2">
        <v>1</v>
      </c>
    </row>
    <row r="190" spans="1:13">
      <c r="A190" s="6">
        <v>43500</v>
      </c>
      <c r="B190" s="7">
        <v>0.6118055555555556</v>
      </c>
      <c r="C190" s="2" t="str">
        <f>"FES1162670961"</f>
        <v>FES1162670961</v>
      </c>
      <c r="D190" s="2" t="s">
        <v>18</v>
      </c>
      <c r="E190" s="2" t="s">
        <v>236</v>
      </c>
      <c r="F190" s="2" t="str">
        <f>"2170672420 "</f>
        <v xml:space="preserve">2170672420 </v>
      </c>
      <c r="G190" s="2" t="str">
        <f t="shared" si="6"/>
        <v>ON1</v>
      </c>
      <c r="H190" s="2" t="s">
        <v>20</v>
      </c>
      <c r="I190" s="2" t="s">
        <v>237</v>
      </c>
      <c r="J190" s="2" t="str">
        <f>""</f>
        <v/>
      </c>
      <c r="K190" s="2" t="str">
        <f>"PFES1162670961_0001"</f>
        <v>PFES1162670961_0001</v>
      </c>
      <c r="L190" s="2">
        <v>1</v>
      </c>
      <c r="M190" s="2">
        <v>1</v>
      </c>
    </row>
    <row r="191" spans="1:13">
      <c r="A191" s="6">
        <v>43500</v>
      </c>
      <c r="B191" s="7">
        <v>0.6118055555555556</v>
      </c>
      <c r="C191" s="2" t="str">
        <f>"FES1162670945"</f>
        <v>FES1162670945</v>
      </c>
      <c r="D191" s="2" t="s">
        <v>18</v>
      </c>
      <c r="E191" s="2" t="s">
        <v>98</v>
      </c>
      <c r="F191" s="2" t="str">
        <f>"2170672225 "</f>
        <v xml:space="preserve">2170672225 </v>
      </c>
      <c r="G191" s="2" t="str">
        <f t="shared" si="6"/>
        <v>ON1</v>
      </c>
      <c r="H191" s="2" t="s">
        <v>20</v>
      </c>
      <c r="I191" s="2" t="s">
        <v>99</v>
      </c>
      <c r="J191" s="2" t="str">
        <f>""</f>
        <v/>
      </c>
      <c r="K191" s="2" t="str">
        <f>"PFES1162670945_0001"</f>
        <v>PFES1162670945_0001</v>
      </c>
      <c r="L191" s="2">
        <v>1</v>
      </c>
      <c r="M191" s="2">
        <v>4</v>
      </c>
    </row>
    <row r="192" spans="1:13">
      <c r="A192" s="6">
        <v>43500</v>
      </c>
      <c r="B192" s="7">
        <v>0.6118055555555556</v>
      </c>
      <c r="C192" s="2" t="str">
        <f>"FES1162670980"</f>
        <v>FES1162670980</v>
      </c>
      <c r="D192" s="2" t="s">
        <v>18</v>
      </c>
      <c r="E192" s="2" t="s">
        <v>238</v>
      </c>
      <c r="F192" s="2" t="str">
        <f>"2170672442 "</f>
        <v xml:space="preserve">2170672442 </v>
      </c>
      <c r="G192" s="2" t="str">
        <f t="shared" si="6"/>
        <v>ON1</v>
      </c>
      <c r="H192" s="2" t="s">
        <v>20</v>
      </c>
      <c r="I192" s="2" t="s">
        <v>239</v>
      </c>
      <c r="J192" s="2" t="str">
        <f>""</f>
        <v/>
      </c>
      <c r="K192" s="2" t="str">
        <f>"PFES1162670980_0001"</f>
        <v>PFES1162670980_0001</v>
      </c>
      <c r="L192" s="2">
        <v>1</v>
      </c>
      <c r="M192" s="2">
        <v>1</v>
      </c>
    </row>
    <row r="193" spans="1:13">
      <c r="A193" s="6">
        <v>43500</v>
      </c>
      <c r="B193" s="7">
        <v>0.6118055555555556</v>
      </c>
      <c r="C193" s="2" t="str">
        <f>"FES1162671005"</f>
        <v>FES1162671005</v>
      </c>
      <c r="D193" s="2" t="s">
        <v>18</v>
      </c>
      <c r="E193" s="2" t="s">
        <v>162</v>
      </c>
      <c r="F193" s="2" t="str">
        <f>"2170672487 "</f>
        <v xml:space="preserve">2170672487 </v>
      </c>
      <c r="G193" s="2" t="str">
        <f t="shared" si="6"/>
        <v>ON1</v>
      </c>
      <c r="H193" s="2" t="s">
        <v>20</v>
      </c>
      <c r="I193" s="2" t="s">
        <v>163</v>
      </c>
      <c r="J193" s="2" t="str">
        <f>""</f>
        <v/>
      </c>
      <c r="K193" s="2" t="str">
        <f>"PFES1162671005_0001"</f>
        <v>PFES1162671005_0001</v>
      </c>
      <c r="L193" s="2">
        <v>1</v>
      </c>
      <c r="M193" s="2">
        <v>1</v>
      </c>
    </row>
    <row r="194" spans="1:13">
      <c r="A194" s="6">
        <v>43500</v>
      </c>
      <c r="B194" s="7">
        <v>0.61111111111111105</v>
      </c>
      <c r="C194" s="2" t="str">
        <f>"FES1162670948"</f>
        <v>FES1162670948</v>
      </c>
      <c r="D194" s="2" t="s">
        <v>18</v>
      </c>
      <c r="E194" s="2" t="s">
        <v>240</v>
      </c>
      <c r="F194" s="2" t="str">
        <f>"2170666222 "</f>
        <v xml:space="preserve">2170666222 </v>
      </c>
      <c r="G194" s="2" t="str">
        <f t="shared" si="6"/>
        <v>ON1</v>
      </c>
      <c r="H194" s="2" t="s">
        <v>20</v>
      </c>
      <c r="I194" s="2" t="s">
        <v>161</v>
      </c>
      <c r="J194" s="2" t="str">
        <f>""</f>
        <v/>
      </c>
      <c r="K194" s="2" t="str">
        <f>"PFES1162670948_0001"</f>
        <v>PFES1162670948_0001</v>
      </c>
      <c r="L194" s="2">
        <v>1</v>
      </c>
      <c r="M194" s="2">
        <v>3</v>
      </c>
    </row>
    <row r="195" spans="1:13">
      <c r="A195" s="6">
        <v>43500</v>
      </c>
      <c r="B195" s="7">
        <v>0.60972222222222217</v>
      </c>
      <c r="C195" s="2" t="str">
        <f>"FES1162670962"</f>
        <v>FES1162670962</v>
      </c>
      <c r="D195" s="2" t="s">
        <v>18</v>
      </c>
      <c r="E195" s="2" t="s">
        <v>180</v>
      </c>
      <c r="F195" s="2" t="str">
        <f>"2170672421 "</f>
        <v xml:space="preserve">2170672421 </v>
      </c>
      <c r="G195" s="2" t="str">
        <f t="shared" si="6"/>
        <v>ON1</v>
      </c>
      <c r="H195" s="2" t="s">
        <v>20</v>
      </c>
      <c r="I195" s="2" t="s">
        <v>93</v>
      </c>
      <c r="J195" s="2" t="str">
        <f>""</f>
        <v/>
      </c>
      <c r="K195" s="2" t="str">
        <f>"PFES1162670962_0001"</f>
        <v>PFES1162670962_0001</v>
      </c>
      <c r="L195" s="2">
        <v>1</v>
      </c>
      <c r="M195" s="2">
        <v>1</v>
      </c>
    </row>
    <row r="196" spans="1:13">
      <c r="A196" s="6">
        <v>43500</v>
      </c>
      <c r="B196" s="7">
        <v>0.60972222222222217</v>
      </c>
      <c r="C196" s="2" t="str">
        <f>"FES1162670744"</f>
        <v>FES1162670744</v>
      </c>
      <c r="D196" s="2" t="s">
        <v>18</v>
      </c>
      <c r="E196" s="2" t="s">
        <v>47</v>
      </c>
      <c r="F196" s="2" t="str">
        <f>"2170666661 "</f>
        <v xml:space="preserve">2170666661 </v>
      </c>
      <c r="G196" s="2" t="str">
        <f t="shared" si="6"/>
        <v>ON1</v>
      </c>
      <c r="H196" s="2" t="s">
        <v>20</v>
      </c>
      <c r="I196" s="2" t="s">
        <v>48</v>
      </c>
      <c r="J196" s="2" t="str">
        <f>""</f>
        <v/>
      </c>
      <c r="K196" s="2" t="str">
        <f>"PFES1162670744_0001"</f>
        <v>PFES1162670744_0001</v>
      </c>
      <c r="L196" s="2">
        <v>2</v>
      </c>
      <c r="M196" s="2">
        <v>4</v>
      </c>
    </row>
    <row r="197" spans="1:13">
      <c r="A197" s="6">
        <v>43500</v>
      </c>
      <c r="B197" s="7">
        <v>0.60972222222222217</v>
      </c>
      <c r="C197" s="2" t="str">
        <f>"FES1162670744"</f>
        <v>FES1162670744</v>
      </c>
      <c r="D197" s="2" t="s">
        <v>18</v>
      </c>
      <c r="E197" s="2" t="s">
        <v>47</v>
      </c>
      <c r="F197" s="2" t="str">
        <f>"2170666661 "</f>
        <v xml:space="preserve">2170666661 </v>
      </c>
      <c r="G197" s="2" t="str">
        <f t="shared" si="6"/>
        <v>ON1</v>
      </c>
      <c r="H197" s="2" t="s">
        <v>20</v>
      </c>
      <c r="I197" s="2" t="s">
        <v>48</v>
      </c>
      <c r="J197" s="2"/>
      <c r="K197" s="2" t="str">
        <f>"PFES1162670744_0002"</f>
        <v>PFES1162670744_0002</v>
      </c>
      <c r="L197" s="2">
        <v>2</v>
      </c>
      <c r="M197" s="2">
        <v>4</v>
      </c>
    </row>
    <row r="198" spans="1:13">
      <c r="A198" s="6">
        <v>43500</v>
      </c>
      <c r="B198" s="7">
        <v>0.60972222222222217</v>
      </c>
      <c r="C198" s="2" t="str">
        <f>"FES1162670918"</f>
        <v>FES1162670918</v>
      </c>
      <c r="D198" s="2" t="s">
        <v>18</v>
      </c>
      <c r="E198" s="2" t="s">
        <v>88</v>
      </c>
      <c r="F198" s="2" t="str">
        <f>"2170672734 "</f>
        <v xml:space="preserve">2170672734 </v>
      </c>
      <c r="G198" s="2" t="str">
        <f t="shared" si="6"/>
        <v>ON1</v>
      </c>
      <c r="H198" s="2" t="s">
        <v>20</v>
      </c>
      <c r="I198" s="2" t="s">
        <v>89</v>
      </c>
      <c r="J198" s="2" t="str">
        <f>""</f>
        <v/>
      </c>
      <c r="K198" s="2" t="str">
        <f>"PFES1162670918_0001"</f>
        <v>PFES1162670918_0001</v>
      </c>
      <c r="L198" s="2">
        <v>1</v>
      </c>
      <c r="M198" s="2">
        <v>1</v>
      </c>
    </row>
    <row r="199" spans="1:13">
      <c r="A199" s="6">
        <v>43500</v>
      </c>
      <c r="B199" s="7">
        <v>0.60902777777777783</v>
      </c>
      <c r="C199" s="2" t="str">
        <f>"FES1162670940"</f>
        <v>FES1162670940</v>
      </c>
      <c r="D199" s="2" t="s">
        <v>18</v>
      </c>
      <c r="E199" s="2" t="s">
        <v>92</v>
      </c>
      <c r="F199" s="2" t="str">
        <f>"2170672397 "</f>
        <v xml:space="preserve">2170672397 </v>
      </c>
      <c r="G199" s="2" t="str">
        <f t="shared" si="6"/>
        <v>ON1</v>
      </c>
      <c r="H199" s="2" t="s">
        <v>20</v>
      </c>
      <c r="I199" s="2" t="s">
        <v>93</v>
      </c>
      <c r="J199" s="2" t="str">
        <f>""</f>
        <v/>
      </c>
      <c r="K199" s="2" t="str">
        <f>"PFES1162670940_0001"</f>
        <v>PFES1162670940_0001</v>
      </c>
      <c r="L199" s="2">
        <v>1</v>
      </c>
      <c r="M199" s="2">
        <v>1</v>
      </c>
    </row>
    <row r="200" spans="1:13">
      <c r="A200" s="6">
        <v>43500</v>
      </c>
      <c r="B200" s="7">
        <v>0.60902777777777783</v>
      </c>
      <c r="C200" s="2" t="str">
        <f>"FES1162670925"</f>
        <v>FES1162670925</v>
      </c>
      <c r="D200" s="2" t="s">
        <v>18</v>
      </c>
      <c r="E200" s="2" t="s">
        <v>241</v>
      </c>
      <c r="F200" s="2" t="str">
        <f>"2170672383 "</f>
        <v xml:space="preserve">2170672383 </v>
      </c>
      <c r="G200" s="2" t="str">
        <f t="shared" si="6"/>
        <v>ON1</v>
      </c>
      <c r="H200" s="2" t="s">
        <v>20</v>
      </c>
      <c r="I200" s="2" t="s">
        <v>242</v>
      </c>
      <c r="J200" s="2" t="str">
        <f>""</f>
        <v/>
      </c>
      <c r="K200" s="2" t="str">
        <f>"PFES1162670925_0001"</f>
        <v>PFES1162670925_0001</v>
      </c>
      <c r="L200" s="2">
        <v>1</v>
      </c>
      <c r="M200" s="2">
        <v>1</v>
      </c>
    </row>
    <row r="201" spans="1:13">
      <c r="A201" s="6">
        <v>43500</v>
      </c>
      <c r="B201" s="7">
        <v>0.60902777777777783</v>
      </c>
      <c r="C201" s="2" t="str">
        <f>"FES1162670922"</f>
        <v>FES1162670922</v>
      </c>
      <c r="D201" s="2" t="s">
        <v>18</v>
      </c>
      <c r="E201" s="2" t="s">
        <v>243</v>
      </c>
      <c r="F201" s="2" t="str">
        <f>"2170672319 "</f>
        <v xml:space="preserve">2170672319 </v>
      </c>
      <c r="G201" s="2" t="str">
        <f t="shared" si="6"/>
        <v>ON1</v>
      </c>
      <c r="H201" s="2" t="s">
        <v>20</v>
      </c>
      <c r="I201" s="2" t="s">
        <v>244</v>
      </c>
      <c r="J201" s="2" t="str">
        <f>""</f>
        <v/>
      </c>
      <c r="K201" s="2" t="str">
        <f>"PFES1162670922_0001"</f>
        <v>PFES1162670922_0001</v>
      </c>
      <c r="L201" s="2">
        <v>1</v>
      </c>
      <c r="M201" s="2">
        <v>1</v>
      </c>
    </row>
    <row r="202" spans="1:13">
      <c r="A202" s="6">
        <v>43500</v>
      </c>
      <c r="B202" s="7">
        <v>0.60833333333333328</v>
      </c>
      <c r="C202" s="2" t="str">
        <f>"FES1162670968"</f>
        <v>FES1162670968</v>
      </c>
      <c r="D202" s="2" t="s">
        <v>18</v>
      </c>
      <c r="E202" s="2" t="s">
        <v>245</v>
      </c>
      <c r="F202" s="2" t="str">
        <f>"2170672426 "</f>
        <v xml:space="preserve">2170672426 </v>
      </c>
      <c r="G202" s="2" t="str">
        <f t="shared" si="6"/>
        <v>ON1</v>
      </c>
      <c r="H202" s="2" t="s">
        <v>20</v>
      </c>
      <c r="I202" s="2" t="s">
        <v>89</v>
      </c>
      <c r="J202" s="2" t="str">
        <f>""</f>
        <v/>
      </c>
      <c r="K202" s="2" t="str">
        <f>"PFES1162670968_0001"</f>
        <v>PFES1162670968_0001</v>
      </c>
      <c r="L202" s="2">
        <v>1</v>
      </c>
      <c r="M202" s="2">
        <v>1</v>
      </c>
    </row>
    <row r="203" spans="1:13">
      <c r="A203" s="6">
        <v>43500</v>
      </c>
      <c r="B203" s="7">
        <v>0.60833333333333328</v>
      </c>
      <c r="C203" s="2" t="str">
        <f>"FES1162670741"</f>
        <v>FES1162670741</v>
      </c>
      <c r="D203" s="2" t="s">
        <v>18</v>
      </c>
      <c r="E203" s="2" t="s">
        <v>47</v>
      </c>
      <c r="F203" s="2" t="str">
        <f>"2170665273 "</f>
        <v xml:space="preserve">2170665273 </v>
      </c>
      <c r="G203" s="2" t="str">
        <f t="shared" si="6"/>
        <v>ON1</v>
      </c>
      <c r="H203" s="2" t="s">
        <v>20</v>
      </c>
      <c r="I203" s="2" t="s">
        <v>48</v>
      </c>
      <c r="J203" s="2" t="str">
        <f>""</f>
        <v/>
      </c>
      <c r="K203" s="2" t="str">
        <f>"PFES1162670741_0001"</f>
        <v>PFES1162670741_0001</v>
      </c>
      <c r="L203" s="2">
        <v>2</v>
      </c>
      <c r="M203" s="2">
        <v>10</v>
      </c>
    </row>
    <row r="204" spans="1:13">
      <c r="A204" s="6">
        <v>43500</v>
      </c>
      <c r="B204" s="7">
        <v>0.60833333333333328</v>
      </c>
      <c r="C204" s="2" t="str">
        <f>"FES1162670741"</f>
        <v>FES1162670741</v>
      </c>
      <c r="D204" s="2" t="s">
        <v>18</v>
      </c>
      <c r="E204" s="2" t="s">
        <v>47</v>
      </c>
      <c r="F204" s="2" t="str">
        <f>"2170665273 "</f>
        <v xml:space="preserve">2170665273 </v>
      </c>
      <c r="G204" s="2" t="str">
        <f t="shared" si="6"/>
        <v>ON1</v>
      </c>
      <c r="H204" s="2" t="s">
        <v>20</v>
      </c>
      <c r="I204" s="2" t="s">
        <v>48</v>
      </c>
      <c r="J204" s="2"/>
      <c r="K204" s="2" t="str">
        <f>"PFES1162670741_0002"</f>
        <v>PFES1162670741_0002</v>
      </c>
      <c r="L204" s="2">
        <v>2</v>
      </c>
      <c r="M204" s="2">
        <v>10</v>
      </c>
    </row>
    <row r="205" spans="1:13">
      <c r="A205" s="6">
        <v>43500</v>
      </c>
      <c r="B205" s="7">
        <v>0.60833333333333328</v>
      </c>
      <c r="C205" s="2" t="str">
        <f>"FES1162670927"</f>
        <v>FES1162670927</v>
      </c>
      <c r="D205" s="2" t="s">
        <v>18</v>
      </c>
      <c r="E205" s="2" t="s">
        <v>246</v>
      </c>
      <c r="F205" s="2" t="str">
        <f>"2170672386 "</f>
        <v xml:space="preserve">2170672386 </v>
      </c>
      <c r="G205" s="2" t="str">
        <f t="shared" si="6"/>
        <v>ON1</v>
      </c>
      <c r="H205" s="2" t="s">
        <v>20</v>
      </c>
      <c r="I205" s="2" t="s">
        <v>53</v>
      </c>
      <c r="J205" s="2" t="str">
        <f>""</f>
        <v/>
      </c>
      <c r="K205" s="2" t="str">
        <f>"PFES1162670927_0001"</f>
        <v>PFES1162670927_0001</v>
      </c>
      <c r="L205" s="2">
        <v>1</v>
      </c>
      <c r="M205" s="2">
        <v>1</v>
      </c>
    </row>
    <row r="206" spans="1:13">
      <c r="A206" s="6">
        <v>43500</v>
      </c>
      <c r="B206" s="7">
        <v>0.60833333333333328</v>
      </c>
      <c r="C206" s="2" t="str">
        <f>"FES1162670929"</f>
        <v>FES1162670929</v>
      </c>
      <c r="D206" s="2" t="s">
        <v>18</v>
      </c>
      <c r="E206" s="2" t="s">
        <v>92</v>
      </c>
      <c r="F206" s="2" t="str">
        <f>"2170672387 "</f>
        <v xml:space="preserve">2170672387 </v>
      </c>
      <c r="G206" s="2" t="str">
        <f t="shared" si="6"/>
        <v>ON1</v>
      </c>
      <c r="H206" s="2" t="s">
        <v>20</v>
      </c>
      <c r="I206" s="2" t="s">
        <v>93</v>
      </c>
      <c r="J206" s="2" t="str">
        <f>""</f>
        <v/>
      </c>
      <c r="K206" s="2" t="str">
        <f>"PFES1162670929_0001"</f>
        <v>PFES1162670929_0001</v>
      </c>
      <c r="L206" s="2">
        <v>1</v>
      </c>
      <c r="M206" s="2">
        <v>1</v>
      </c>
    </row>
    <row r="207" spans="1:13">
      <c r="A207" s="6">
        <v>43500</v>
      </c>
      <c r="B207" s="7">
        <v>0.60555555555555551</v>
      </c>
      <c r="C207" s="2" t="str">
        <f>"FES1162670930"</f>
        <v>FES1162670930</v>
      </c>
      <c r="D207" s="2" t="s">
        <v>18</v>
      </c>
      <c r="E207" s="2" t="s">
        <v>247</v>
      </c>
      <c r="F207" s="2" t="str">
        <f>"2170672388 "</f>
        <v xml:space="preserve">2170672388 </v>
      </c>
      <c r="G207" s="2" t="str">
        <f t="shared" si="6"/>
        <v>ON1</v>
      </c>
      <c r="H207" s="2" t="s">
        <v>20</v>
      </c>
      <c r="I207" s="2" t="s">
        <v>119</v>
      </c>
      <c r="J207" s="2" t="str">
        <f>""</f>
        <v/>
      </c>
      <c r="K207" s="2" t="str">
        <f>"PFES1162670930_0001"</f>
        <v>PFES1162670930_0001</v>
      </c>
      <c r="L207" s="2">
        <v>1</v>
      </c>
      <c r="M207" s="2">
        <v>4</v>
      </c>
    </row>
    <row r="208" spans="1:13">
      <c r="A208" s="6">
        <v>43500</v>
      </c>
      <c r="B208" s="7">
        <v>0.60555555555555551</v>
      </c>
      <c r="C208" s="2" t="str">
        <f>"FES1162670765"</f>
        <v>FES1162670765</v>
      </c>
      <c r="D208" s="2" t="s">
        <v>18</v>
      </c>
      <c r="E208" s="2" t="s">
        <v>47</v>
      </c>
      <c r="F208" s="2" t="str">
        <f>"2170669543 "</f>
        <v xml:space="preserve">2170669543 </v>
      </c>
      <c r="G208" s="2" t="str">
        <f t="shared" si="6"/>
        <v>ON1</v>
      </c>
      <c r="H208" s="2" t="s">
        <v>20</v>
      </c>
      <c r="I208" s="2" t="s">
        <v>48</v>
      </c>
      <c r="J208" s="2" t="str">
        <f>""</f>
        <v/>
      </c>
      <c r="K208" s="2" t="str">
        <f>"PFES1162670765_0001"</f>
        <v>PFES1162670765_0001</v>
      </c>
      <c r="L208" s="2">
        <v>1</v>
      </c>
      <c r="M208" s="2">
        <v>1</v>
      </c>
    </row>
    <row r="209" spans="1:13">
      <c r="A209" s="6">
        <v>43500</v>
      </c>
      <c r="B209" s="7">
        <v>0.60555555555555551</v>
      </c>
      <c r="C209" s="2" t="str">
        <f>"FES1162670996"</f>
        <v>FES1162670996</v>
      </c>
      <c r="D209" s="2" t="s">
        <v>18</v>
      </c>
      <c r="E209" s="2" t="s">
        <v>183</v>
      </c>
      <c r="F209" s="2" t="str">
        <f>"2170672471 "</f>
        <v xml:space="preserve">2170672471 </v>
      </c>
      <c r="G209" s="2" t="str">
        <f t="shared" si="6"/>
        <v>ON1</v>
      </c>
      <c r="H209" s="2" t="s">
        <v>20</v>
      </c>
      <c r="I209" s="2" t="s">
        <v>184</v>
      </c>
      <c r="J209" s="2" t="str">
        <f>""</f>
        <v/>
      </c>
      <c r="K209" s="2" t="str">
        <f>"PFES1162670996_0001"</f>
        <v>PFES1162670996_0001</v>
      </c>
      <c r="L209" s="2">
        <v>1</v>
      </c>
      <c r="M209" s="2">
        <v>1</v>
      </c>
    </row>
    <row r="210" spans="1:13">
      <c r="A210" s="6">
        <v>43500</v>
      </c>
      <c r="B210" s="7">
        <v>0.60486111111111118</v>
      </c>
      <c r="C210" s="2" t="str">
        <f>"FES1162670995"</f>
        <v>FES1162670995</v>
      </c>
      <c r="D210" s="2" t="s">
        <v>18</v>
      </c>
      <c r="E210" s="2" t="s">
        <v>248</v>
      </c>
      <c r="F210" s="2" t="str">
        <f>"2170672466 "</f>
        <v xml:space="preserve">2170672466 </v>
      </c>
      <c r="G210" s="2" t="str">
        <f t="shared" si="6"/>
        <v>ON1</v>
      </c>
      <c r="H210" s="2" t="s">
        <v>20</v>
      </c>
      <c r="I210" s="2" t="s">
        <v>121</v>
      </c>
      <c r="J210" s="2" t="str">
        <f>""</f>
        <v/>
      </c>
      <c r="K210" s="2" t="str">
        <f>"PFES1162670995_0001"</f>
        <v>PFES1162670995_0001</v>
      </c>
      <c r="L210" s="2">
        <v>1</v>
      </c>
      <c r="M210" s="2">
        <v>1</v>
      </c>
    </row>
    <row r="211" spans="1:13">
      <c r="A211" s="6">
        <v>43500</v>
      </c>
      <c r="B211" s="7">
        <v>0.60416666666666663</v>
      </c>
      <c r="C211" s="2" t="str">
        <f>"FES1162670889"</f>
        <v>FES1162670889</v>
      </c>
      <c r="D211" s="2" t="s">
        <v>18</v>
      </c>
      <c r="E211" s="2" t="s">
        <v>220</v>
      </c>
      <c r="F211" s="2" t="str">
        <f>"2170672345 "</f>
        <v xml:space="preserve">2170672345 </v>
      </c>
      <c r="G211" s="2" t="str">
        <f t="shared" si="6"/>
        <v>ON1</v>
      </c>
      <c r="H211" s="2" t="s">
        <v>20</v>
      </c>
      <c r="I211" s="2" t="s">
        <v>221</v>
      </c>
      <c r="J211" s="2" t="str">
        <f>""</f>
        <v/>
      </c>
      <c r="K211" s="2" t="str">
        <f>"PFES1162670889_0001"</f>
        <v>PFES1162670889_0001</v>
      </c>
      <c r="L211" s="2">
        <v>1</v>
      </c>
      <c r="M211" s="2">
        <v>3</v>
      </c>
    </row>
    <row r="212" spans="1:13">
      <c r="A212" s="6">
        <v>43500</v>
      </c>
      <c r="B212" s="7">
        <v>0.60277777777777775</v>
      </c>
      <c r="C212" s="2" t="str">
        <f>"FES1162670926"</f>
        <v>FES1162670926</v>
      </c>
      <c r="D212" s="2" t="s">
        <v>18</v>
      </c>
      <c r="E212" s="2" t="s">
        <v>151</v>
      </c>
      <c r="F212" s="2" t="str">
        <f>"2170672384 "</f>
        <v xml:space="preserve">2170672384 </v>
      </c>
      <c r="G212" s="2" t="str">
        <f t="shared" si="6"/>
        <v>ON1</v>
      </c>
      <c r="H212" s="2" t="s">
        <v>20</v>
      </c>
      <c r="I212" s="2" t="s">
        <v>63</v>
      </c>
      <c r="J212" s="2" t="str">
        <f>""</f>
        <v/>
      </c>
      <c r="K212" s="2" t="str">
        <f>"PFES1162670926_0001"</f>
        <v>PFES1162670926_0001</v>
      </c>
      <c r="L212" s="2">
        <v>1</v>
      </c>
      <c r="M212" s="2">
        <v>10</v>
      </c>
    </row>
    <row r="213" spans="1:13">
      <c r="A213" s="6">
        <v>43500</v>
      </c>
      <c r="B213" s="7">
        <v>0.59861111111111109</v>
      </c>
      <c r="C213" s="2" t="str">
        <f>"FES1162670937"</f>
        <v>FES1162670937</v>
      </c>
      <c r="D213" s="2" t="s">
        <v>18</v>
      </c>
      <c r="E213" s="2" t="s">
        <v>249</v>
      </c>
      <c r="F213" s="2" t="str">
        <f>"2170672268 "</f>
        <v xml:space="preserve">2170672268 </v>
      </c>
      <c r="G213" s="2" t="str">
        <f t="shared" si="6"/>
        <v>ON1</v>
      </c>
      <c r="H213" s="2" t="s">
        <v>20</v>
      </c>
      <c r="I213" s="2" t="s">
        <v>29</v>
      </c>
      <c r="J213" s="2" t="str">
        <f>""</f>
        <v/>
      </c>
      <c r="K213" s="2" t="str">
        <f>"PFES1162670937_0001"</f>
        <v>PFES1162670937_0001</v>
      </c>
      <c r="L213" s="2">
        <v>1</v>
      </c>
      <c r="M213" s="2">
        <v>1</v>
      </c>
    </row>
    <row r="214" spans="1:13">
      <c r="A214" s="6">
        <v>43500</v>
      </c>
      <c r="B214" s="7">
        <v>0.59861111111111109</v>
      </c>
      <c r="C214" s="2" t="str">
        <f>"FES1162670924"</f>
        <v>FES1162670924</v>
      </c>
      <c r="D214" s="2" t="s">
        <v>18</v>
      </c>
      <c r="E214" s="2" t="s">
        <v>176</v>
      </c>
      <c r="F214" s="2" t="str">
        <f>"2170672382 "</f>
        <v xml:space="preserve">2170672382 </v>
      </c>
      <c r="G214" s="2" t="str">
        <f t="shared" si="6"/>
        <v>ON1</v>
      </c>
      <c r="H214" s="2" t="s">
        <v>20</v>
      </c>
      <c r="I214" s="2" t="s">
        <v>177</v>
      </c>
      <c r="J214" s="2" t="str">
        <f>""</f>
        <v/>
      </c>
      <c r="K214" s="2" t="str">
        <f>"PFES1162670924_0001"</f>
        <v>PFES1162670924_0001</v>
      </c>
      <c r="L214" s="2">
        <v>1</v>
      </c>
      <c r="M214" s="2">
        <v>1</v>
      </c>
    </row>
    <row r="215" spans="1:13">
      <c r="A215" s="6">
        <v>43500</v>
      </c>
      <c r="B215" s="7">
        <v>0.59791666666666665</v>
      </c>
      <c r="C215" s="2" t="str">
        <f>"FES1162670906"</f>
        <v>FES1162670906</v>
      </c>
      <c r="D215" s="2" t="s">
        <v>18</v>
      </c>
      <c r="E215" s="2" t="s">
        <v>250</v>
      </c>
      <c r="F215" s="2" t="str">
        <f>"2170669931 "</f>
        <v xml:space="preserve">2170669931 </v>
      </c>
      <c r="G215" s="2" t="str">
        <f t="shared" si="6"/>
        <v>ON1</v>
      </c>
      <c r="H215" s="2" t="s">
        <v>20</v>
      </c>
      <c r="I215" s="2" t="s">
        <v>143</v>
      </c>
      <c r="J215" s="2" t="str">
        <f>""</f>
        <v/>
      </c>
      <c r="K215" s="2" t="str">
        <f>"PFES1162670906_0001"</f>
        <v>PFES1162670906_0001</v>
      </c>
      <c r="L215" s="2">
        <v>1</v>
      </c>
      <c r="M215" s="2">
        <v>1</v>
      </c>
    </row>
    <row r="216" spans="1:13">
      <c r="A216" s="6">
        <v>43500</v>
      </c>
      <c r="B216" s="7">
        <v>0.59791666666666665</v>
      </c>
      <c r="C216" s="2" t="str">
        <f>"FES1162670907"</f>
        <v>FES1162670907</v>
      </c>
      <c r="D216" s="2" t="s">
        <v>18</v>
      </c>
      <c r="E216" s="2" t="s">
        <v>251</v>
      </c>
      <c r="F216" s="2" t="str">
        <f>"2170672362 "</f>
        <v xml:space="preserve">2170672362 </v>
      </c>
      <c r="G216" s="2" t="str">
        <f t="shared" si="6"/>
        <v>ON1</v>
      </c>
      <c r="H216" s="2" t="s">
        <v>20</v>
      </c>
      <c r="I216" s="2" t="s">
        <v>252</v>
      </c>
      <c r="J216" s="2" t="str">
        <f>""</f>
        <v/>
      </c>
      <c r="K216" s="2" t="str">
        <f>"PFES1162670907_0001"</f>
        <v>PFES1162670907_0001</v>
      </c>
      <c r="L216" s="2">
        <v>1</v>
      </c>
      <c r="M216" s="2">
        <v>1</v>
      </c>
    </row>
    <row r="217" spans="1:13">
      <c r="A217" s="6">
        <v>43500</v>
      </c>
      <c r="B217" s="7">
        <v>0.59722222222222221</v>
      </c>
      <c r="C217" s="2" t="str">
        <f>"FES1162670916"</f>
        <v>FES1162670916</v>
      </c>
      <c r="D217" s="2" t="s">
        <v>18</v>
      </c>
      <c r="E217" s="2" t="s">
        <v>253</v>
      </c>
      <c r="F217" s="2" t="str">
        <f>"2170672372 "</f>
        <v xml:space="preserve">2170672372 </v>
      </c>
      <c r="G217" s="2" t="str">
        <f t="shared" si="6"/>
        <v>ON1</v>
      </c>
      <c r="H217" s="2" t="s">
        <v>20</v>
      </c>
      <c r="I217" s="2" t="s">
        <v>226</v>
      </c>
      <c r="J217" s="2" t="str">
        <f>""</f>
        <v/>
      </c>
      <c r="K217" s="2" t="str">
        <f>"PFES1162670916_0001"</f>
        <v>PFES1162670916_0001</v>
      </c>
      <c r="L217" s="2">
        <v>1</v>
      </c>
      <c r="M217" s="2">
        <v>1</v>
      </c>
    </row>
    <row r="218" spans="1:13">
      <c r="A218" s="6">
        <v>43500</v>
      </c>
      <c r="B218" s="7">
        <v>0.59722222222222221</v>
      </c>
      <c r="C218" s="2" t="str">
        <f>"FES1162670936"</f>
        <v>FES1162670936</v>
      </c>
      <c r="D218" s="2" t="s">
        <v>18</v>
      </c>
      <c r="E218" s="2" t="s">
        <v>249</v>
      </c>
      <c r="F218" s="2" t="str">
        <f>"2170671858 "</f>
        <v xml:space="preserve">2170671858 </v>
      </c>
      <c r="G218" s="2" t="str">
        <f t="shared" si="6"/>
        <v>ON1</v>
      </c>
      <c r="H218" s="2" t="s">
        <v>20</v>
      </c>
      <c r="I218" s="2" t="s">
        <v>29</v>
      </c>
      <c r="J218" s="2" t="str">
        <f>""</f>
        <v/>
      </c>
      <c r="K218" s="2" t="str">
        <f>"PFES1162670936_0001"</f>
        <v>PFES1162670936_0001</v>
      </c>
      <c r="L218" s="2">
        <v>1</v>
      </c>
      <c r="M218" s="2">
        <v>1</v>
      </c>
    </row>
    <row r="219" spans="1:13">
      <c r="A219" s="6">
        <v>43500</v>
      </c>
      <c r="B219" s="7">
        <v>0.59722222222222221</v>
      </c>
      <c r="C219" s="2" t="str">
        <f>"FES1162670954"</f>
        <v>FES1162670954</v>
      </c>
      <c r="D219" s="2" t="s">
        <v>18</v>
      </c>
      <c r="E219" s="2" t="s">
        <v>254</v>
      </c>
      <c r="F219" s="2" t="str">
        <f>"2170678412 "</f>
        <v xml:space="preserve">2170678412 </v>
      </c>
      <c r="G219" s="2" t="str">
        <f t="shared" si="6"/>
        <v>ON1</v>
      </c>
      <c r="H219" s="2" t="s">
        <v>20</v>
      </c>
      <c r="I219" s="2" t="s">
        <v>239</v>
      </c>
      <c r="J219" s="2" t="str">
        <f>""</f>
        <v/>
      </c>
      <c r="K219" s="2" t="str">
        <f>"PFES1162670954_0001"</f>
        <v>PFES1162670954_0001</v>
      </c>
      <c r="L219" s="2">
        <v>1</v>
      </c>
      <c r="M219" s="2">
        <v>1</v>
      </c>
    </row>
    <row r="220" spans="1:13">
      <c r="A220" s="6">
        <v>43500</v>
      </c>
      <c r="B220" s="7">
        <v>0.59305555555555556</v>
      </c>
      <c r="C220" s="2" t="str">
        <f>"FES1162670991"</f>
        <v>FES1162670991</v>
      </c>
      <c r="D220" s="2" t="s">
        <v>18</v>
      </c>
      <c r="E220" s="2" t="s">
        <v>140</v>
      </c>
      <c r="F220" s="2" t="str">
        <f>"2170672461 "</f>
        <v xml:space="preserve">2170672461 </v>
      </c>
      <c r="G220" s="2" t="str">
        <f t="shared" si="6"/>
        <v>ON1</v>
      </c>
      <c r="H220" s="2" t="s">
        <v>20</v>
      </c>
      <c r="I220" s="2" t="s">
        <v>141</v>
      </c>
      <c r="J220" s="2" t="str">
        <f>""</f>
        <v/>
      </c>
      <c r="K220" s="2" t="str">
        <f>"PFES1162670991_0001"</f>
        <v>PFES1162670991_0001</v>
      </c>
      <c r="L220" s="2">
        <v>1</v>
      </c>
      <c r="M220" s="2">
        <v>1</v>
      </c>
    </row>
    <row r="221" spans="1:13">
      <c r="A221" s="6">
        <v>43500</v>
      </c>
      <c r="B221" s="7">
        <v>0.59305555555555556</v>
      </c>
      <c r="C221" s="2" t="str">
        <f>"FES1162670970"</f>
        <v>FES1162670970</v>
      </c>
      <c r="D221" s="2" t="s">
        <v>18</v>
      </c>
      <c r="E221" s="2" t="s">
        <v>255</v>
      </c>
      <c r="F221" s="2" t="str">
        <f>"2170672430 "</f>
        <v xml:space="preserve">2170672430 </v>
      </c>
      <c r="G221" s="2" t="str">
        <f t="shared" si="6"/>
        <v>ON1</v>
      </c>
      <c r="H221" s="2" t="s">
        <v>20</v>
      </c>
      <c r="I221" s="2" t="s">
        <v>256</v>
      </c>
      <c r="J221" s="2" t="str">
        <f>""</f>
        <v/>
      </c>
      <c r="K221" s="2" t="str">
        <f>"PFES1162670970_0001"</f>
        <v>PFES1162670970_0001</v>
      </c>
      <c r="L221" s="2">
        <v>1</v>
      </c>
      <c r="M221" s="2">
        <v>1</v>
      </c>
    </row>
    <row r="222" spans="1:13">
      <c r="A222" s="6">
        <v>43500</v>
      </c>
      <c r="B222" s="7">
        <v>0.59305555555555556</v>
      </c>
      <c r="C222" s="2" t="str">
        <f>"FES1162670987"</f>
        <v>FES1162670987</v>
      </c>
      <c r="D222" s="2" t="s">
        <v>18</v>
      </c>
      <c r="E222" s="2" t="s">
        <v>257</v>
      </c>
      <c r="F222" s="2" t="str">
        <f>"2170672456 "</f>
        <v xml:space="preserve">2170672456 </v>
      </c>
      <c r="G222" s="2" t="str">
        <f t="shared" si="6"/>
        <v>ON1</v>
      </c>
      <c r="H222" s="2" t="s">
        <v>20</v>
      </c>
      <c r="I222" s="2" t="s">
        <v>258</v>
      </c>
      <c r="J222" s="2" t="str">
        <f>""</f>
        <v/>
      </c>
      <c r="K222" s="2" t="str">
        <f>"PFES1162670987_0001"</f>
        <v>PFES1162670987_0001</v>
      </c>
      <c r="L222" s="2">
        <v>1</v>
      </c>
      <c r="M222" s="2">
        <v>1</v>
      </c>
    </row>
    <row r="223" spans="1:13">
      <c r="A223" s="6">
        <v>43500</v>
      </c>
      <c r="B223" s="7">
        <v>0.59236111111111112</v>
      </c>
      <c r="C223" s="2" t="str">
        <f>"FES1162670994"</f>
        <v>FES1162670994</v>
      </c>
      <c r="D223" s="2" t="s">
        <v>18</v>
      </c>
      <c r="E223" s="2" t="s">
        <v>259</v>
      </c>
      <c r="F223" s="2" t="str">
        <f>"2170672464 "</f>
        <v xml:space="preserve">2170672464 </v>
      </c>
      <c r="G223" s="2" t="str">
        <f t="shared" si="6"/>
        <v>ON1</v>
      </c>
      <c r="H223" s="2" t="s">
        <v>20</v>
      </c>
      <c r="I223" s="2" t="s">
        <v>260</v>
      </c>
      <c r="J223" s="2" t="str">
        <f>""</f>
        <v/>
      </c>
      <c r="K223" s="2" t="str">
        <f>"PFES1162670994_0001"</f>
        <v>PFES1162670994_0001</v>
      </c>
      <c r="L223" s="2">
        <v>1</v>
      </c>
      <c r="M223" s="2">
        <v>1</v>
      </c>
    </row>
    <row r="224" spans="1:13">
      <c r="A224" s="6">
        <v>43500</v>
      </c>
      <c r="B224" s="7">
        <v>0.59236111111111112</v>
      </c>
      <c r="C224" s="2" t="str">
        <f>"FES1162670963"</f>
        <v>FES1162670963</v>
      </c>
      <c r="D224" s="2" t="s">
        <v>18</v>
      </c>
      <c r="E224" s="2" t="s">
        <v>134</v>
      </c>
      <c r="F224" s="2" t="str">
        <f>"2170672422 "</f>
        <v xml:space="preserve">2170672422 </v>
      </c>
      <c r="G224" s="2" t="str">
        <f t="shared" si="6"/>
        <v>ON1</v>
      </c>
      <c r="H224" s="2" t="s">
        <v>20</v>
      </c>
      <c r="I224" s="2" t="s">
        <v>135</v>
      </c>
      <c r="J224" s="2" t="str">
        <f>""</f>
        <v/>
      </c>
      <c r="K224" s="2" t="str">
        <f>"PFES1162670963_0001"</f>
        <v>PFES1162670963_0001</v>
      </c>
      <c r="L224" s="2">
        <v>1</v>
      </c>
      <c r="M224" s="2">
        <v>1</v>
      </c>
    </row>
    <row r="225" spans="1:13">
      <c r="A225" s="6">
        <v>43500</v>
      </c>
      <c r="B225" s="7">
        <v>0.59166666666666667</v>
      </c>
      <c r="C225" s="2" t="str">
        <f>"FES1162670951"</f>
        <v>FES1162670951</v>
      </c>
      <c r="D225" s="2" t="s">
        <v>18</v>
      </c>
      <c r="E225" s="2" t="s">
        <v>261</v>
      </c>
      <c r="F225" s="2" t="str">
        <f>"2170671785 "</f>
        <v xml:space="preserve">2170671785 </v>
      </c>
      <c r="G225" s="2" t="str">
        <f t="shared" si="6"/>
        <v>ON1</v>
      </c>
      <c r="H225" s="2" t="s">
        <v>20</v>
      </c>
      <c r="I225" s="2" t="s">
        <v>262</v>
      </c>
      <c r="J225" s="2" t="str">
        <f>""</f>
        <v/>
      </c>
      <c r="K225" s="2" t="str">
        <f>"PFES1162670951_0001"</f>
        <v>PFES1162670951_0001</v>
      </c>
      <c r="L225" s="2">
        <v>1</v>
      </c>
      <c r="M225" s="2">
        <v>1</v>
      </c>
    </row>
    <row r="226" spans="1:13">
      <c r="A226" s="6">
        <v>43500</v>
      </c>
      <c r="B226" s="7">
        <v>0.59166666666666667</v>
      </c>
      <c r="C226" s="2" t="str">
        <f>"FES1162670952"</f>
        <v>FES1162670952</v>
      </c>
      <c r="D226" s="2" t="s">
        <v>18</v>
      </c>
      <c r="E226" s="2" t="s">
        <v>261</v>
      </c>
      <c r="F226" s="2" t="str">
        <f>"2170671786 "</f>
        <v xml:space="preserve">2170671786 </v>
      </c>
      <c r="G226" s="2" t="str">
        <f t="shared" si="6"/>
        <v>ON1</v>
      </c>
      <c r="H226" s="2" t="s">
        <v>20</v>
      </c>
      <c r="I226" s="2" t="s">
        <v>262</v>
      </c>
      <c r="J226" s="2" t="str">
        <f>""</f>
        <v/>
      </c>
      <c r="K226" s="2" t="str">
        <f>"PFES1162670952_0001"</f>
        <v>PFES1162670952_0001</v>
      </c>
      <c r="L226" s="2">
        <v>1</v>
      </c>
      <c r="M226" s="2">
        <v>1</v>
      </c>
    </row>
    <row r="227" spans="1:13">
      <c r="A227" s="6">
        <v>43500</v>
      </c>
      <c r="B227" s="7">
        <v>0.59166666666666667</v>
      </c>
      <c r="C227" s="2" t="str">
        <f>"FES1162670950"</f>
        <v>FES1162670950</v>
      </c>
      <c r="D227" s="2" t="s">
        <v>18</v>
      </c>
      <c r="E227" s="2" t="s">
        <v>261</v>
      </c>
      <c r="F227" s="2" t="str">
        <f>"2170671784 "</f>
        <v xml:space="preserve">2170671784 </v>
      </c>
      <c r="G227" s="2" t="str">
        <f t="shared" si="6"/>
        <v>ON1</v>
      </c>
      <c r="H227" s="2" t="s">
        <v>20</v>
      </c>
      <c r="I227" s="2" t="s">
        <v>262</v>
      </c>
      <c r="J227" s="2" t="str">
        <f>""</f>
        <v/>
      </c>
      <c r="K227" s="2" t="str">
        <f>"PFES1162670950_0001"</f>
        <v>PFES1162670950_0001</v>
      </c>
      <c r="L227" s="2">
        <v>1</v>
      </c>
      <c r="M227" s="2">
        <v>1</v>
      </c>
    </row>
    <row r="228" spans="1:13">
      <c r="A228" s="6">
        <v>43500</v>
      </c>
      <c r="B228" s="7">
        <v>0.58472222222222225</v>
      </c>
      <c r="C228" s="2" t="str">
        <f>"FES1162670816"</f>
        <v>FES1162670816</v>
      </c>
      <c r="D228" s="2" t="s">
        <v>18</v>
      </c>
      <c r="E228" s="2" t="s">
        <v>259</v>
      </c>
      <c r="F228" s="2" t="str">
        <f>"2170671719 "</f>
        <v xml:space="preserve">2170671719 </v>
      </c>
      <c r="G228" s="2" t="str">
        <f t="shared" ref="G228:G249" si="7">"ON1"</f>
        <v>ON1</v>
      </c>
      <c r="H228" s="2" t="s">
        <v>20</v>
      </c>
      <c r="I228" s="2" t="s">
        <v>260</v>
      </c>
      <c r="J228" s="2" t="str">
        <f>""</f>
        <v/>
      </c>
      <c r="K228" s="2" t="str">
        <f>"PFES1162670816_0001"</f>
        <v>PFES1162670816_0001</v>
      </c>
      <c r="L228" s="2">
        <v>1</v>
      </c>
      <c r="M228" s="2">
        <v>6</v>
      </c>
    </row>
    <row r="229" spans="1:13">
      <c r="A229" s="6">
        <v>43500</v>
      </c>
      <c r="B229" s="7">
        <v>0.58124999999999993</v>
      </c>
      <c r="C229" s="2" t="str">
        <f>"FES1162670749"</f>
        <v>FES1162670749</v>
      </c>
      <c r="D229" s="2" t="s">
        <v>18</v>
      </c>
      <c r="E229" s="2" t="s">
        <v>47</v>
      </c>
      <c r="F229" s="2" t="str">
        <f>"2170667798 "</f>
        <v xml:space="preserve">2170667798 </v>
      </c>
      <c r="G229" s="2" t="str">
        <f t="shared" si="7"/>
        <v>ON1</v>
      </c>
      <c r="H229" s="2" t="s">
        <v>20</v>
      </c>
      <c r="I229" s="2" t="s">
        <v>48</v>
      </c>
      <c r="J229" s="2" t="str">
        <f>""</f>
        <v/>
      </c>
      <c r="K229" s="2" t="str">
        <f>"PFES1162670749_0001"</f>
        <v>PFES1162670749_0001</v>
      </c>
      <c r="L229" s="2">
        <v>1</v>
      </c>
      <c r="M229" s="2">
        <v>2</v>
      </c>
    </row>
    <row r="230" spans="1:13">
      <c r="A230" s="6">
        <v>43500</v>
      </c>
      <c r="B230" s="7">
        <v>0.57986111111111105</v>
      </c>
      <c r="C230" s="2" t="str">
        <f>"FES1162670819"</f>
        <v>FES1162670819</v>
      </c>
      <c r="D230" s="2" t="s">
        <v>18</v>
      </c>
      <c r="E230" s="2" t="s">
        <v>263</v>
      </c>
      <c r="F230" s="2" t="str">
        <f>"2170671774 "</f>
        <v xml:space="preserve">2170671774 </v>
      </c>
      <c r="G230" s="2" t="str">
        <f t="shared" si="7"/>
        <v>ON1</v>
      </c>
      <c r="H230" s="2" t="s">
        <v>20</v>
      </c>
      <c r="I230" s="2" t="s">
        <v>182</v>
      </c>
      <c r="J230" s="2" t="str">
        <f>""</f>
        <v/>
      </c>
      <c r="K230" s="2" t="str">
        <f>"PFES1162670819_0001"</f>
        <v>PFES1162670819_0001</v>
      </c>
      <c r="L230" s="2">
        <v>1</v>
      </c>
      <c r="M230" s="2">
        <v>5</v>
      </c>
    </row>
    <row r="231" spans="1:13">
      <c r="A231" s="6">
        <v>43500</v>
      </c>
      <c r="B231" s="7">
        <v>0.57847222222222217</v>
      </c>
      <c r="C231" s="2" t="str">
        <f>"FES1162670859"</f>
        <v>FES1162670859</v>
      </c>
      <c r="D231" s="2" t="s">
        <v>18</v>
      </c>
      <c r="E231" s="2" t="s">
        <v>212</v>
      </c>
      <c r="F231" s="2" t="str">
        <f>"2170672306 "</f>
        <v xml:space="preserve">2170672306 </v>
      </c>
      <c r="G231" s="2" t="str">
        <f t="shared" si="7"/>
        <v>ON1</v>
      </c>
      <c r="H231" s="2" t="s">
        <v>20</v>
      </c>
      <c r="I231" s="2" t="s">
        <v>213</v>
      </c>
      <c r="J231" s="2" t="str">
        <f>""</f>
        <v/>
      </c>
      <c r="K231" s="2" t="str">
        <f>"PFES1162670859_0001"</f>
        <v>PFES1162670859_0001</v>
      </c>
      <c r="L231" s="2">
        <v>1</v>
      </c>
      <c r="M231" s="2">
        <v>4</v>
      </c>
    </row>
    <row r="232" spans="1:13">
      <c r="A232" s="6">
        <v>43500</v>
      </c>
      <c r="B232" s="7">
        <v>0.57708333333333328</v>
      </c>
      <c r="C232" s="2" t="str">
        <f>"FES1162670872"</f>
        <v>FES1162670872</v>
      </c>
      <c r="D232" s="2" t="s">
        <v>18</v>
      </c>
      <c r="E232" s="2" t="s">
        <v>264</v>
      </c>
      <c r="F232" s="2" t="str">
        <f>"2170672327 "</f>
        <v xml:space="preserve">2170672327 </v>
      </c>
      <c r="G232" s="2" t="str">
        <f t="shared" si="7"/>
        <v>ON1</v>
      </c>
      <c r="H232" s="2" t="s">
        <v>20</v>
      </c>
      <c r="I232" s="2" t="s">
        <v>265</v>
      </c>
      <c r="J232" s="2" t="str">
        <f>""</f>
        <v/>
      </c>
      <c r="K232" s="2" t="str">
        <f>"PFES1162670872_0001"</f>
        <v>PFES1162670872_0001</v>
      </c>
      <c r="L232" s="2">
        <v>1</v>
      </c>
      <c r="M232" s="2">
        <v>4</v>
      </c>
    </row>
    <row r="233" spans="1:13">
      <c r="A233" s="6">
        <v>43500</v>
      </c>
      <c r="B233" s="7">
        <v>0.57638888888888895</v>
      </c>
      <c r="C233" s="2" t="str">
        <f>"FES1162670910"</f>
        <v>FES1162670910</v>
      </c>
      <c r="D233" s="2" t="s">
        <v>18</v>
      </c>
      <c r="E233" s="2" t="s">
        <v>266</v>
      </c>
      <c r="F233" s="2" t="str">
        <f>"2170672366 "</f>
        <v xml:space="preserve">2170672366 </v>
      </c>
      <c r="G233" s="2" t="str">
        <f t="shared" si="7"/>
        <v>ON1</v>
      </c>
      <c r="H233" s="2" t="s">
        <v>20</v>
      </c>
      <c r="I233" s="2" t="s">
        <v>233</v>
      </c>
      <c r="J233" s="2" t="str">
        <f>""</f>
        <v/>
      </c>
      <c r="K233" s="2" t="str">
        <f>"PFES1162670910_0001"</f>
        <v>PFES1162670910_0001</v>
      </c>
      <c r="L233" s="2">
        <v>1</v>
      </c>
      <c r="M233" s="2">
        <v>1</v>
      </c>
    </row>
    <row r="234" spans="1:13">
      <c r="A234" s="6">
        <v>43500</v>
      </c>
      <c r="B234" s="7">
        <v>0.57430555555555551</v>
      </c>
      <c r="C234" s="2" t="str">
        <f>"FES1162670863"</f>
        <v>FES1162670863</v>
      </c>
      <c r="D234" s="2" t="s">
        <v>18</v>
      </c>
      <c r="E234" s="2" t="s">
        <v>267</v>
      </c>
      <c r="F234" s="2" t="str">
        <f>"2170672311 "</f>
        <v xml:space="preserve">2170672311 </v>
      </c>
      <c r="G234" s="2" t="str">
        <f t="shared" si="7"/>
        <v>ON1</v>
      </c>
      <c r="H234" s="2" t="s">
        <v>20</v>
      </c>
      <c r="I234" s="2" t="s">
        <v>268</v>
      </c>
      <c r="J234" s="2" t="str">
        <f>""</f>
        <v/>
      </c>
      <c r="K234" s="2" t="str">
        <f>"PFES1162670863_0001"</f>
        <v>PFES1162670863_0001</v>
      </c>
      <c r="L234" s="2">
        <v>1</v>
      </c>
      <c r="M234" s="2">
        <v>4</v>
      </c>
    </row>
    <row r="235" spans="1:13">
      <c r="A235" s="6">
        <v>43500</v>
      </c>
      <c r="B235" s="7">
        <v>0.57152777777777775</v>
      </c>
      <c r="C235" s="2" t="str">
        <f>"FES1162670878"</f>
        <v>FES1162670878</v>
      </c>
      <c r="D235" s="2" t="s">
        <v>18</v>
      </c>
      <c r="E235" s="2" t="s">
        <v>269</v>
      </c>
      <c r="F235" s="2" t="str">
        <f>"2170672341 "</f>
        <v xml:space="preserve">2170672341 </v>
      </c>
      <c r="G235" s="2" t="str">
        <f t="shared" si="7"/>
        <v>ON1</v>
      </c>
      <c r="H235" s="2" t="s">
        <v>20</v>
      </c>
      <c r="I235" s="2" t="s">
        <v>270</v>
      </c>
      <c r="J235" s="2" t="str">
        <f>""</f>
        <v/>
      </c>
      <c r="K235" s="2" t="str">
        <f>"PFES1162670878_0001"</f>
        <v>PFES1162670878_0001</v>
      </c>
      <c r="L235" s="2">
        <v>1</v>
      </c>
      <c r="M235" s="2">
        <v>2</v>
      </c>
    </row>
    <row r="236" spans="1:13">
      <c r="A236" s="6">
        <v>43500</v>
      </c>
      <c r="B236" s="7">
        <v>0.57013888888888886</v>
      </c>
      <c r="C236" s="2" t="str">
        <f>"FES1162670938"</f>
        <v>FES1162670938</v>
      </c>
      <c r="D236" s="2" t="s">
        <v>18</v>
      </c>
      <c r="E236" s="2" t="s">
        <v>271</v>
      </c>
      <c r="F236" s="2" t="str">
        <f>"2170672281 "</f>
        <v xml:space="preserve">2170672281 </v>
      </c>
      <c r="G236" s="2" t="str">
        <f t="shared" si="7"/>
        <v>ON1</v>
      </c>
      <c r="H236" s="2" t="s">
        <v>20</v>
      </c>
      <c r="I236" s="2" t="s">
        <v>272</v>
      </c>
      <c r="J236" s="2" t="str">
        <f>""</f>
        <v/>
      </c>
      <c r="K236" s="2" t="str">
        <f>"PFES1162670938_0001"</f>
        <v>PFES1162670938_0001</v>
      </c>
      <c r="L236" s="2">
        <v>2</v>
      </c>
      <c r="M236" s="2">
        <v>12</v>
      </c>
    </row>
    <row r="237" spans="1:13">
      <c r="A237" s="6">
        <v>43500</v>
      </c>
      <c r="B237" s="7">
        <v>0.57013888888888886</v>
      </c>
      <c r="C237" s="2" t="str">
        <f>"FES1162670938"</f>
        <v>FES1162670938</v>
      </c>
      <c r="D237" s="2" t="s">
        <v>18</v>
      </c>
      <c r="E237" s="2" t="s">
        <v>271</v>
      </c>
      <c r="F237" s="2" t="str">
        <f>"2170672281 "</f>
        <v xml:space="preserve">2170672281 </v>
      </c>
      <c r="G237" s="2" t="str">
        <f t="shared" si="7"/>
        <v>ON1</v>
      </c>
      <c r="H237" s="2" t="s">
        <v>20</v>
      </c>
      <c r="I237" s="2" t="s">
        <v>272</v>
      </c>
      <c r="J237" s="2"/>
      <c r="K237" s="2" t="str">
        <f>"PFES1162670938_0002"</f>
        <v>PFES1162670938_0002</v>
      </c>
      <c r="L237" s="2">
        <v>2</v>
      </c>
      <c r="M237" s="2">
        <v>12</v>
      </c>
    </row>
    <row r="238" spans="1:13">
      <c r="A238" s="6">
        <v>43500</v>
      </c>
      <c r="B238" s="7">
        <v>0.56874999999999998</v>
      </c>
      <c r="C238" s="2" t="str">
        <f>"FES1162670957"</f>
        <v>FES1162670957</v>
      </c>
      <c r="D238" s="2" t="s">
        <v>18</v>
      </c>
      <c r="E238" s="2" t="s">
        <v>273</v>
      </c>
      <c r="F238" s="2" t="str">
        <f>"2170671855 "</f>
        <v xml:space="preserve">2170671855 </v>
      </c>
      <c r="G238" s="2" t="str">
        <f t="shared" si="7"/>
        <v>ON1</v>
      </c>
      <c r="H238" s="2" t="s">
        <v>20</v>
      </c>
      <c r="I238" s="2" t="s">
        <v>274</v>
      </c>
      <c r="J238" s="2" t="str">
        <f>""</f>
        <v/>
      </c>
      <c r="K238" s="2" t="str">
        <f>"PFES1162670957_0001"</f>
        <v>PFES1162670957_0001</v>
      </c>
      <c r="L238" s="2">
        <v>1</v>
      </c>
      <c r="M238" s="2">
        <v>9</v>
      </c>
    </row>
    <row r="239" spans="1:13">
      <c r="A239" s="6">
        <v>43500</v>
      </c>
      <c r="B239" s="7">
        <v>0.54999999999999993</v>
      </c>
      <c r="C239" s="2" t="str">
        <f>"FES1162670832"</f>
        <v>FES1162670832</v>
      </c>
      <c r="D239" s="2" t="s">
        <v>18</v>
      </c>
      <c r="E239" s="2" t="s">
        <v>275</v>
      </c>
      <c r="F239" s="2" t="str">
        <f>"2170671969 "</f>
        <v xml:space="preserve">2170671969 </v>
      </c>
      <c r="G239" s="2" t="str">
        <f t="shared" si="7"/>
        <v>ON1</v>
      </c>
      <c r="H239" s="2" t="s">
        <v>20</v>
      </c>
      <c r="I239" s="2" t="s">
        <v>276</v>
      </c>
      <c r="J239" s="2" t="str">
        <f>""</f>
        <v/>
      </c>
      <c r="K239" s="2" t="str">
        <f>"PFES1162670832_0001"</f>
        <v>PFES1162670832_0001</v>
      </c>
      <c r="L239" s="2">
        <v>1</v>
      </c>
      <c r="M239" s="2">
        <v>1</v>
      </c>
    </row>
    <row r="240" spans="1:13">
      <c r="A240" s="6">
        <v>43500</v>
      </c>
      <c r="B240" s="7">
        <v>0.54999999999999993</v>
      </c>
      <c r="C240" s="2" t="str">
        <f>"FES1162670778"</f>
        <v>FES1162670778</v>
      </c>
      <c r="D240" s="2" t="s">
        <v>18</v>
      </c>
      <c r="E240" s="2" t="s">
        <v>178</v>
      </c>
      <c r="F240" s="2" t="str">
        <f>"2170670667 "</f>
        <v xml:space="preserve">2170670667 </v>
      </c>
      <c r="G240" s="2" t="str">
        <f t="shared" si="7"/>
        <v>ON1</v>
      </c>
      <c r="H240" s="2" t="s">
        <v>20</v>
      </c>
      <c r="I240" s="2" t="s">
        <v>103</v>
      </c>
      <c r="J240" s="2" t="str">
        <f>""</f>
        <v/>
      </c>
      <c r="K240" s="2" t="str">
        <f>"PFES1162670778_0001"</f>
        <v>PFES1162670778_0001</v>
      </c>
      <c r="L240" s="2">
        <v>1</v>
      </c>
      <c r="M240" s="2">
        <v>1</v>
      </c>
    </row>
    <row r="241" spans="1:13">
      <c r="A241" s="6">
        <v>43500</v>
      </c>
      <c r="B241" s="7">
        <v>0.54999999999999993</v>
      </c>
      <c r="C241" s="2" t="str">
        <f>"FES1162670860"</f>
        <v>FES1162670860</v>
      </c>
      <c r="D241" s="2" t="s">
        <v>18</v>
      </c>
      <c r="E241" s="2" t="s">
        <v>92</v>
      </c>
      <c r="F241" s="2" t="str">
        <f>"2170672307 "</f>
        <v xml:space="preserve">2170672307 </v>
      </c>
      <c r="G241" s="2" t="str">
        <f t="shared" si="7"/>
        <v>ON1</v>
      </c>
      <c r="H241" s="2" t="s">
        <v>20</v>
      </c>
      <c r="I241" s="2" t="s">
        <v>93</v>
      </c>
      <c r="J241" s="2" t="str">
        <f>""</f>
        <v/>
      </c>
      <c r="K241" s="2" t="str">
        <f>"PFES1162670860_0001"</f>
        <v>PFES1162670860_0001</v>
      </c>
      <c r="L241" s="2">
        <v>1</v>
      </c>
      <c r="M241" s="2">
        <v>1</v>
      </c>
    </row>
    <row r="242" spans="1:13">
      <c r="A242" s="6">
        <v>43500</v>
      </c>
      <c r="B242" s="7">
        <v>0.5493055555555556</v>
      </c>
      <c r="C242" s="2" t="str">
        <f>"FES1162670953"</f>
        <v>FES1162670953</v>
      </c>
      <c r="D242" s="2" t="s">
        <v>18</v>
      </c>
      <c r="E242" s="2" t="s">
        <v>277</v>
      </c>
      <c r="F242" s="2" t="str">
        <f>"2170672411 "</f>
        <v xml:space="preserve">2170672411 </v>
      </c>
      <c r="G242" s="2" t="str">
        <f t="shared" si="7"/>
        <v>ON1</v>
      </c>
      <c r="H242" s="2" t="s">
        <v>20</v>
      </c>
      <c r="I242" s="2" t="s">
        <v>278</v>
      </c>
      <c r="J242" s="2" t="str">
        <f>""</f>
        <v/>
      </c>
      <c r="K242" s="2" t="str">
        <f>"PFES1162670953_0001"</f>
        <v>PFES1162670953_0001</v>
      </c>
      <c r="L242" s="2">
        <v>1</v>
      </c>
      <c r="M242" s="2">
        <v>1</v>
      </c>
    </row>
    <row r="243" spans="1:13">
      <c r="A243" s="6">
        <v>43500</v>
      </c>
      <c r="B243" s="7">
        <v>0.5493055555555556</v>
      </c>
      <c r="C243" s="2" t="str">
        <f>"FES1162670975"</f>
        <v>FES1162670975</v>
      </c>
      <c r="D243" s="2" t="s">
        <v>18</v>
      </c>
      <c r="E243" s="2" t="s">
        <v>19</v>
      </c>
      <c r="F243" s="2" t="str">
        <f>"2170672436 "</f>
        <v xml:space="preserve">2170672436 </v>
      </c>
      <c r="G243" s="2" t="str">
        <f t="shared" si="7"/>
        <v>ON1</v>
      </c>
      <c r="H243" s="2" t="s">
        <v>20</v>
      </c>
      <c r="I243" s="2" t="s">
        <v>21</v>
      </c>
      <c r="J243" s="2" t="str">
        <f>""</f>
        <v/>
      </c>
      <c r="K243" s="2" t="str">
        <f>"PFES1162670975_0001"</f>
        <v>PFES1162670975_0001</v>
      </c>
      <c r="L243" s="2">
        <v>1</v>
      </c>
      <c r="M243" s="2">
        <v>1</v>
      </c>
    </row>
    <row r="244" spans="1:13">
      <c r="A244" s="6">
        <v>43500</v>
      </c>
      <c r="B244" s="7">
        <v>0.54791666666666672</v>
      </c>
      <c r="C244" s="2" t="str">
        <f>"FES1162670947"</f>
        <v>FES1162670947</v>
      </c>
      <c r="D244" s="2" t="s">
        <v>18</v>
      </c>
      <c r="E244" s="2" t="s">
        <v>269</v>
      </c>
      <c r="F244" s="2" t="str">
        <f>"2170672409 "</f>
        <v xml:space="preserve">2170672409 </v>
      </c>
      <c r="G244" s="2" t="str">
        <f t="shared" si="7"/>
        <v>ON1</v>
      </c>
      <c r="H244" s="2" t="s">
        <v>20</v>
      </c>
      <c r="I244" s="2" t="s">
        <v>270</v>
      </c>
      <c r="J244" s="2" t="str">
        <f>""</f>
        <v/>
      </c>
      <c r="K244" s="2" t="str">
        <f>"PFES1162670947_0001"</f>
        <v>PFES1162670947_0001</v>
      </c>
      <c r="L244" s="2">
        <v>1</v>
      </c>
      <c r="M244" s="2">
        <v>1</v>
      </c>
    </row>
    <row r="245" spans="1:13">
      <c r="A245" s="6">
        <v>43500</v>
      </c>
      <c r="B245" s="7">
        <v>0.54722222222222217</v>
      </c>
      <c r="C245" s="2" t="str">
        <f>"FES1162670959"</f>
        <v>FES1162670959</v>
      </c>
      <c r="D245" s="2" t="s">
        <v>18</v>
      </c>
      <c r="E245" s="2" t="s">
        <v>279</v>
      </c>
      <c r="F245" s="2" t="str">
        <f>"2170672417 "</f>
        <v xml:space="preserve">2170672417 </v>
      </c>
      <c r="G245" s="2" t="str">
        <f t="shared" si="7"/>
        <v>ON1</v>
      </c>
      <c r="H245" s="2" t="s">
        <v>20</v>
      </c>
      <c r="I245" s="2" t="s">
        <v>280</v>
      </c>
      <c r="J245" s="2" t="str">
        <f>""</f>
        <v/>
      </c>
      <c r="K245" s="2" t="str">
        <f>"PFES1162670959_0001"</f>
        <v>PFES1162670959_0001</v>
      </c>
      <c r="L245" s="2">
        <v>1</v>
      </c>
      <c r="M245" s="2">
        <v>1</v>
      </c>
    </row>
    <row r="246" spans="1:13">
      <c r="A246" s="6">
        <v>43500</v>
      </c>
      <c r="B246" s="7">
        <v>0.54722222222222217</v>
      </c>
      <c r="C246" s="2" t="str">
        <f>"FES1162670782"</f>
        <v>FES1162670782</v>
      </c>
      <c r="D246" s="2" t="s">
        <v>18</v>
      </c>
      <c r="E246" s="2" t="s">
        <v>97</v>
      </c>
      <c r="F246" s="2" t="str">
        <f>"2170670734 "</f>
        <v xml:space="preserve">2170670734 </v>
      </c>
      <c r="G246" s="2" t="str">
        <f t="shared" si="7"/>
        <v>ON1</v>
      </c>
      <c r="H246" s="2" t="s">
        <v>20</v>
      </c>
      <c r="I246" s="2" t="s">
        <v>70</v>
      </c>
      <c r="J246" s="2" t="str">
        <f>""</f>
        <v/>
      </c>
      <c r="K246" s="2" t="str">
        <f>"PFES1162670782_0001"</f>
        <v>PFES1162670782_0001</v>
      </c>
      <c r="L246" s="2">
        <v>1</v>
      </c>
      <c r="M246" s="2">
        <v>3</v>
      </c>
    </row>
    <row r="247" spans="1:13">
      <c r="A247" s="6">
        <v>43500</v>
      </c>
      <c r="B247" s="7">
        <v>0.54722222222222217</v>
      </c>
      <c r="C247" s="2" t="str">
        <f>"FES1162670834"</f>
        <v>FES1162670834</v>
      </c>
      <c r="D247" s="2" t="s">
        <v>18</v>
      </c>
      <c r="E247" s="2" t="s">
        <v>47</v>
      </c>
      <c r="F247" s="2" t="str">
        <f>"2170672025 "</f>
        <v xml:space="preserve">2170672025 </v>
      </c>
      <c r="G247" s="2" t="str">
        <f t="shared" si="7"/>
        <v>ON1</v>
      </c>
      <c r="H247" s="2" t="s">
        <v>20</v>
      </c>
      <c r="I247" s="2" t="s">
        <v>48</v>
      </c>
      <c r="J247" s="2" t="str">
        <f>""</f>
        <v/>
      </c>
      <c r="K247" s="2" t="str">
        <f>"PFES1162670834_0001"</f>
        <v>PFES1162670834_0001</v>
      </c>
      <c r="L247" s="2">
        <v>1</v>
      </c>
      <c r="M247" s="2">
        <v>1</v>
      </c>
    </row>
    <row r="248" spans="1:13">
      <c r="A248" s="6">
        <v>43500</v>
      </c>
      <c r="B248" s="7">
        <v>0.54652777777777783</v>
      </c>
      <c r="C248" s="2" t="str">
        <f>"FES1162670835"</f>
        <v>FES1162670835</v>
      </c>
      <c r="D248" s="2" t="s">
        <v>18</v>
      </c>
      <c r="E248" s="2" t="s">
        <v>47</v>
      </c>
      <c r="F248" s="2" t="str">
        <f>"2170672055 "</f>
        <v xml:space="preserve">2170672055 </v>
      </c>
      <c r="G248" s="2" t="str">
        <f t="shared" si="7"/>
        <v>ON1</v>
      </c>
      <c r="H248" s="2" t="s">
        <v>20</v>
      </c>
      <c r="I248" s="2" t="s">
        <v>48</v>
      </c>
      <c r="J248" s="2" t="str">
        <f>""</f>
        <v/>
      </c>
      <c r="K248" s="2" t="str">
        <f>"PFES1162670835_0001"</f>
        <v>PFES1162670835_0001</v>
      </c>
      <c r="L248" s="2">
        <v>1</v>
      </c>
      <c r="M248" s="2">
        <v>1</v>
      </c>
    </row>
    <row r="249" spans="1:13">
      <c r="A249" s="6">
        <v>43500</v>
      </c>
      <c r="B249" s="7">
        <v>0.54652777777777783</v>
      </c>
      <c r="C249" s="2" t="str">
        <f>"FES1162670852"</f>
        <v>FES1162670852</v>
      </c>
      <c r="D249" s="2" t="s">
        <v>18</v>
      </c>
      <c r="E249" s="2" t="s">
        <v>30</v>
      </c>
      <c r="F249" s="2" t="str">
        <f>"2170672289 "</f>
        <v xml:space="preserve">2170672289 </v>
      </c>
      <c r="G249" s="2" t="str">
        <f t="shared" si="7"/>
        <v>ON1</v>
      </c>
      <c r="H249" s="2" t="s">
        <v>20</v>
      </c>
      <c r="I249" s="2" t="s">
        <v>31</v>
      </c>
      <c r="J249" s="2" t="str">
        <f>""</f>
        <v/>
      </c>
      <c r="K249" s="2" t="str">
        <f>"PFES1162670852_0001"</f>
        <v>PFES1162670852_0001</v>
      </c>
      <c r="L249" s="2">
        <v>1</v>
      </c>
      <c r="M249" s="2">
        <v>1</v>
      </c>
    </row>
    <row r="250" spans="1:13">
      <c r="A250" s="6">
        <v>43500</v>
      </c>
      <c r="B250" s="7">
        <v>0.54583333333333328</v>
      </c>
      <c r="C250" s="2" t="str">
        <f>"FES1162670888"</f>
        <v>FES1162670888</v>
      </c>
      <c r="D250" s="2" t="s">
        <v>18</v>
      </c>
      <c r="E250" s="2" t="s">
        <v>281</v>
      </c>
      <c r="F250" s="2" t="str">
        <f>"2170672152 "</f>
        <v xml:space="preserve">2170672152 </v>
      </c>
      <c r="G250" s="2" t="str">
        <f>"DBC"</f>
        <v>DBC</v>
      </c>
      <c r="H250" s="2" t="s">
        <v>20</v>
      </c>
      <c r="I250" s="2" t="s">
        <v>282</v>
      </c>
      <c r="J250" s="2" t="str">
        <f>"FRAGILE OIL"</f>
        <v>FRAGILE OIL</v>
      </c>
      <c r="K250" s="2" t="str">
        <f>"PFES1162670888_0001"</f>
        <v>PFES1162670888_0001</v>
      </c>
      <c r="L250" s="2">
        <v>1</v>
      </c>
      <c r="M250" s="2">
        <v>2</v>
      </c>
    </row>
    <row r="251" spans="1:13">
      <c r="A251" s="6">
        <v>43500</v>
      </c>
      <c r="B251" s="7">
        <v>0.53541666666666665</v>
      </c>
      <c r="C251" s="2" t="str">
        <f>"FES1162670755"</f>
        <v>FES1162670755</v>
      </c>
      <c r="D251" s="2" t="s">
        <v>18</v>
      </c>
      <c r="E251" s="2" t="s">
        <v>283</v>
      </c>
      <c r="F251" s="2" t="str">
        <f>"2170668326 "</f>
        <v xml:space="preserve">2170668326 </v>
      </c>
      <c r="G251" s="2" t="str">
        <f>"ON1"</f>
        <v>ON1</v>
      </c>
      <c r="H251" s="2" t="s">
        <v>20</v>
      </c>
      <c r="I251" s="2" t="s">
        <v>237</v>
      </c>
      <c r="J251" s="2" t="str">
        <f>""</f>
        <v/>
      </c>
      <c r="K251" s="2" t="str">
        <f>"PFES1162670755_0001"</f>
        <v>PFES1162670755_0001</v>
      </c>
      <c r="L251" s="2">
        <v>1</v>
      </c>
      <c r="M251" s="2">
        <v>13</v>
      </c>
    </row>
    <row r="252" spans="1:13">
      <c r="A252" s="6">
        <v>43500</v>
      </c>
      <c r="B252" s="7">
        <v>0.52708333333333335</v>
      </c>
      <c r="C252" s="2" t="str">
        <f>"FES1162670801"</f>
        <v>FES1162670801</v>
      </c>
      <c r="D252" s="2" t="s">
        <v>18</v>
      </c>
      <c r="E252" s="2" t="s">
        <v>284</v>
      </c>
      <c r="F252" s="2" t="str">
        <f>"2170671415 "</f>
        <v xml:space="preserve">2170671415 </v>
      </c>
      <c r="G252" s="2" t="str">
        <f>"ON1"</f>
        <v>ON1</v>
      </c>
      <c r="H252" s="2" t="s">
        <v>20</v>
      </c>
      <c r="I252" s="2" t="s">
        <v>139</v>
      </c>
      <c r="J252" s="2" t="str">
        <f>""</f>
        <v/>
      </c>
      <c r="K252" s="2" t="str">
        <f>"PFES1162670801_0001"</f>
        <v>PFES1162670801_0001</v>
      </c>
      <c r="L252" s="2">
        <v>1</v>
      </c>
      <c r="M252" s="2">
        <v>4</v>
      </c>
    </row>
    <row r="253" spans="1:13">
      <c r="A253" s="6">
        <v>43500</v>
      </c>
      <c r="B253" s="7">
        <v>0.52569444444444446</v>
      </c>
      <c r="C253" s="2" t="str">
        <f>"FES1162670883"</f>
        <v>FES1162670883</v>
      </c>
      <c r="D253" s="2" t="s">
        <v>18</v>
      </c>
      <c r="E253" s="2" t="s">
        <v>120</v>
      </c>
      <c r="F253" s="2" t="str">
        <f>"2170671291 "</f>
        <v xml:space="preserve">2170671291 </v>
      </c>
      <c r="G253" s="2" t="str">
        <f>"DBC"</f>
        <v>DBC</v>
      </c>
      <c r="H253" s="2" t="s">
        <v>20</v>
      </c>
      <c r="I253" s="2" t="s">
        <v>121</v>
      </c>
      <c r="J253" s="2" t="str">
        <f>"FRAGILE OIL"</f>
        <v>FRAGILE OIL</v>
      </c>
      <c r="K253" s="2" t="str">
        <f>"PFES1162670883_0001"</f>
        <v>PFES1162670883_0001</v>
      </c>
      <c r="L253" s="2">
        <v>1</v>
      </c>
      <c r="M253" s="2">
        <v>8</v>
      </c>
    </row>
    <row r="254" spans="1:13">
      <c r="A254" s="6">
        <v>43500</v>
      </c>
      <c r="B254" s="7">
        <v>0.52361111111111114</v>
      </c>
      <c r="C254" s="2" t="str">
        <f>"FES1162670949"</f>
        <v>FES1162670949</v>
      </c>
      <c r="D254" s="2" t="s">
        <v>18</v>
      </c>
      <c r="E254" s="2" t="s">
        <v>285</v>
      </c>
      <c r="F254" s="2" t="str">
        <f>"2170667077 "</f>
        <v xml:space="preserve">2170667077 </v>
      </c>
      <c r="G254" s="2" t="str">
        <f t="shared" ref="G254:G292" si="8">"ON1"</f>
        <v>ON1</v>
      </c>
      <c r="H254" s="2" t="s">
        <v>20</v>
      </c>
      <c r="I254" s="2" t="s">
        <v>286</v>
      </c>
      <c r="J254" s="2" t="str">
        <f>""</f>
        <v/>
      </c>
      <c r="K254" s="2" t="str">
        <f>"PFES1162670949_0001"</f>
        <v>PFES1162670949_0001</v>
      </c>
      <c r="L254" s="2">
        <v>1</v>
      </c>
      <c r="M254" s="2">
        <v>3</v>
      </c>
    </row>
    <row r="255" spans="1:13">
      <c r="A255" s="6">
        <v>43500</v>
      </c>
      <c r="B255" s="7">
        <v>0.5229166666666667</v>
      </c>
      <c r="C255" s="2" t="str">
        <f>"FES1162670912"</f>
        <v>FES1162670912</v>
      </c>
      <c r="D255" s="2" t="s">
        <v>18</v>
      </c>
      <c r="E255" s="2" t="s">
        <v>287</v>
      </c>
      <c r="F255" s="2" t="str">
        <f>"2170672369 "</f>
        <v xml:space="preserve">2170672369 </v>
      </c>
      <c r="G255" s="2" t="str">
        <f t="shared" si="8"/>
        <v>ON1</v>
      </c>
      <c r="H255" s="2" t="s">
        <v>20</v>
      </c>
      <c r="I255" s="2" t="s">
        <v>288</v>
      </c>
      <c r="J255" s="2" t="str">
        <f>""</f>
        <v/>
      </c>
      <c r="K255" s="2" t="str">
        <f>"PFES1162670912_0001"</f>
        <v>PFES1162670912_0001</v>
      </c>
      <c r="L255" s="2">
        <v>1</v>
      </c>
      <c r="M255" s="2">
        <v>7</v>
      </c>
    </row>
    <row r="256" spans="1:13">
      <c r="A256" s="6">
        <v>43500</v>
      </c>
      <c r="B256" s="7">
        <v>0.52152777777777781</v>
      </c>
      <c r="C256" s="2" t="str">
        <f>"FES1162670905"</f>
        <v>FES1162670905</v>
      </c>
      <c r="D256" s="2" t="s">
        <v>18</v>
      </c>
      <c r="E256" s="2" t="s">
        <v>127</v>
      </c>
      <c r="F256" s="2" t="str">
        <f>"2170672132 "</f>
        <v xml:space="preserve">2170672132 </v>
      </c>
      <c r="G256" s="2" t="str">
        <f t="shared" si="8"/>
        <v>ON1</v>
      </c>
      <c r="H256" s="2" t="s">
        <v>20</v>
      </c>
      <c r="I256" s="2" t="s">
        <v>128</v>
      </c>
      <c r="J256" s="2" t="str">
        <f>""</f>
        <v/>
      </c>
      <c r="K256" s="2" t="str">
        <f>"PFES1162670905_0001"</f>
        <v>PFES1162670905_0001</v>
      </c>
      <c r="L256" s="2">
        <v>2</v>
      </c>
      <c r="M256" s="2">
        <v>3</v>
      </c>
    </row>
    <row r="257" spans="1:13">
      <c r="A257" s="6">
        <v>43500</v>
      </c>
      <c r="B257" s="7">
        <v>0.52152777777777781</v>
      </c>
      <c r="C257" s="2" t="str">
        <f>"FES1162670905"</f>
        <v>FES1162670905</v>
      </c>
      <c r="D257" s="2" t="s">
        <v>18</v>
      </c>
      <c r="E257" s="2" t="s">
        <v>127</v>
      </c>
      <c r="F257" s="2" t="str">
        <f>"2170672132 "</f>
        <v xml:space="preserve">2170672132 </v>
      </c>
      <c r="G257" s="2" t="str">
        <f t="shared" si="8"/>
        <v>ON1</v>
      </c>
      <c r="H257" s="2" t="s">
        <v>20</v>
      </c>
      <c r="I257" s="2" t="s">
        <v>128</v>
      </c>
      <c r="J257" s="2"/>
      <c r="K257" s="2" t="str">
        <f>"PFES1162670905_0002"</f>
        <v>PFES1162670905_0002</v>
      </c>
      <c r="L257" s="2">
        <v>2</v>
      </c>
      <c r="M257" s="2">
        <v>3</v>
      </c>
    </row>
    <row r="258" spans="1:13">
      <c r="A258" s="6">
        <v>43500</v>
      </c>
      <c r="B258" s="7">
        <v>0.52013888888888882</v>
      </c>
      <c r="C258" s="2" t="str">
        <f>"FES1162670890"</f>
        <v>FES1162670890</v>
      </c>
      <c r="D258" s="2" t="s">
        <v>18</v>
      </c>
      <c r="E258" s="2" t="s">
        <v>289</v>
      </c>
      <c r="F258" s="2" t="str">
        <f>"2170669881 "</f>
        <v xml:space="preserve">2170669881 </v>
      </c>
      <c r="G258" s="2" t="str">
        <f t="shared" si="8"/>
        <v>ON1</v>
      </c>
      <c r="H258" s="2" t="s">
        <v>20</v>
      </c>
      <c r="I258" s="2" t="s">
        <v>290</v>
      </c>
      <c r="J258" s="2" t="str">
        <f>""</f>
        <v/>
      </c>
      <c r="K258" s="2" t="str">
        <f>"PFES1162670890_0001"</f>
        <v>PFES1162670890_0001</v>
      </c>
      <c r="L258" s="2">
        <v>2</v>
      </c>
      <c r="M258" s="2">
        <v>7</v>
      </c>
    </row>
    <row r="259" spans="1:13">
      <c r="A259" s="6">
        <v>43500</v>
      </c>
      <c r="B259" s="7">
        <v>0.52013888888888882</v>
      </c>
      <c r="C259" s="2" t="str">
        <f>"FES1162670890"</f>
        <v>FES1162670890</v>
      </c>
      <c r="D259" s="2" t="s">
        <v>18</v>
      </c>
      <c r="E259" s="2" t="s">
        <v>289</v>
      </c>
      <c r="F259" s="2" t="str">
        <f>"2170669881 "</f>
        <v xml:space="preserve">2170669881 </v>
      </c>
      <c r="G259" s="2" t="str">
        <f t="shared" si="8"/>
        <v>ON1</v>
      </c>
      <c r="H259" s="2" t="s">
        <v>20</v>
      </c>
      <c r="I259" s="2" t="s">
        <v>290</v>
      </c>
      <c r="J259" s="2"/>
      <c r="K259" s="2" t="str">
        <f>"PFES1162670890_0002"</f>
        <v>PFES1162670890_0002</v>
      </c>
      <c r="L259" s="2">
        <v>2</v>
      </c>
      <c r="M259" s="2">
        <v>7</v>
      </c>
    </row>
    <row r="260" spans="1:13">
      <c r="A260" s="6">
        <v>43500</v>
      </c>
      <c r="B260" s="7">
        <v>0.52013888888888882</v>
      </c>
      <c r="C260" s="2" t="str">
        <f>"FES1162670839"</f>
        <v>FES1162670839</v>
      </c>
      <c r="D260" s="2" t="s">
        <v>18</v>
      </c>
      <c r="E260" s="2" t="s">
        <v>291</v>
      </c>
      <c r="F260" s="2" t="str">
        <f>"2170672183 "</f>
        <v xml:space="preserve">2170672183 </v>
      </c>
      <c r="G260" s="2" t="str">
        <f t="shared" si="8"/>
        <v>ON1</v>
      </c>
      <c r="H260" s="2" t="s">
        <v>20</v>
      </c>
      <c r="I260" s="2" t="s">
        <v>139</v>
      </c>
      <c r="J260" s="2" t="str">
        <f>""</f>
        <v/>
      </c>
      <c r="K260" s="2" t="str">
        <f>"PFES1162670839_0001"</f>
        <v>PFES1162670839_0001</v>
      </c>
      <c r="L260" s="2">
        <v>1</v>
      </c>
      <c r="M260" s="2">
        <v>1</v>
      </c>
    </row>
    <row r="261" spans="1:13">
      <c r="A261" s="6">
        <v>43500</v>
      </c>
      <c r="B261" s="7">
        <v>0.52013888888888882</v>
      </c>
      <c r="C261" s="2" t="str">
        <f>"FES1162670794"</f>
        <v>FES1162670794</v>
      </c>
      <c r="D261" s="2" t="s">
        <v>18</v>
      </c>
      <c r="E261" s="2" t="s">
        <v>292</v>
      </c>
      <c r="F261" s="2" t="str">
        <f>"2170671003 "</f>
        <v xml:space="preserve">2170671003 </v>
      </c>
      <c r="G261" s="2" t="str">
        <f t="shared" si="8"/>
        <v>ON1</v>
      </c>
      <c r="H261" s="2" t="s">
        <v>20</v>
      </c>
      <c r="I261" s="2" t="s">
        <v>99</v>
      </c>
      <c r="J261" s="2" t="str">
        <f>""</f>
        <v/>
      </c>
      <c r="K261" s="2" t="str">
        <f>"PFES1162670794_0001"</f>
        <v>PFES1162670794_0001</v>
      </c>
      <c r="L261" s="2">
        <v>1</v>
      </c>
      <c r="M261" s="2">
        <v>1</v>
      </c>
    </row>
    <row r="262" spans="1:13">
      <c r="A262" s="6">
        <v>43500</v>
      </c>
      <c r="B262" s="7">
        <v>0.51944444444444449</v>
      </c>
      <c r="C262" s="2" t="str">
        <f>"FES1162670753"</f>
        <v>FES1162670753</v>
      </c>
      <c r="D262" s="2" t="s">
        <v>18</v>
      </c>
      <c r="E262" s="2" t="s">
        <v>47</v>
      </c>
      <c r="F262" s="2" t="str">
        <f>"2170668211 "</f>
        <v xml:space="preserve">2170668211 </v>
      </c>
      <c r="G262" s="2" t="str">
        <f t="shared" si="8"/>
        <v>ON1</v>
      </c>
      <c r="H262" s="2" t="s">
        <v>20</v>
      </c>
      <c r="I262" s="2" t="s">
        <v>48</v>
      </c>
      <c r="J262" s="2" t="str">
        <f>""</f>
        <v/>
      </c>
      <c r="K262" s="2" t="str">
        <f>"PFES1162670753_0001"</f>
        <v>PFES1162670753_0001</v>
      </c>
      <c r="L262" s="2">
        <v>1</v>
      </c>
      <c r="M262" s="2">
        <v>1</v>
      </c>
    </row>
    <row r="263" spans="1:13">
      <c r="A263" s="6">
        <v>43500</v>
      </c>
      <c r="B263" s="7">
        <v>0.51944444444444449</v>
      </c>
      <c r="C263" s="2" t="str">
        <f>"FES1162670750"</f>
        <v>FES1162670750</v>
      </c>
      <c r="D263" s="2" t="s">
        <v>18</v>
      </c>
      <c r="E263" s="2" t="s">
        <v>47</v>
      </c>
      <c r="F263" s="2" t="str">
        <f>"217067862 "</f>
        <v xml:space="preserve">217067862 </v>
      </c>
      <c r="G263" s="2" t="str">
        <f t="shared" si="8"/>
        <v>ON1</v>
      </c>
      <c r="H263" s="2" t="s">
        <v>20</v>
      </c>
      <c r="I263" s="2" t="s">
        <v>48</v>
      </c>
      <c r="J263" s="2" t="str">
        <f>""</f>
        <v/>
      </c>
      <c r="K263" s="2" t="str">
        <f>"PFES1162670750_0001"</f>
        <v>PFES1162670750_0001</v>
      </c>
      <c r="L263" s="2">
        <v>1</v>
      </c>
      <c r="M263" s="2">
        <v>1</v>
      </c>
    </row>
    <row r="264" spans="1:13">
      <c r="A264" s="6">
        <v>43500</v>
      </c>
      <c r="B264" s="7">
        <v>0.51944444444444449</v>
      </c>
      <c r="C264" s="2" t="str">
        <f>"FES1162670814"</f>
        <v>FES1162670814</v>
      </c>
      <c r="D264" s="2" t="s">
        <v>18</v>
      </c>
      <c r="E264" s="2" t="s">
        <v>263</v>
      </c>
      <c r="F264" s="2" t="str">
        <f>"2170671634 "</f>
        <v xml:space="preserve">2170671634 </v>
      </c>
      <c r="G264" s="2" t="str">
        <f t="shared" si="8"/>
        <v>ON1</v>
      </c>
      <c r="H264" s="2" t="s">
        <v>20</v>
      </c>
      <c r="I264" s="2" t="s">
        <v>182</v>
      </c>
      <c r="J264" s="2" t="str">
        <f>""</f>
        <v/>
      </c>
      <c r="K264" s="2" t="str">
        <f>"PFES1162670814_0001"</f>
        <v>PFES1162670814_0001</v>
      </c>
      <c r="L264" s="2">
        <v>1</v>
      </c>
      <c r="M264" s="2">
        <v>1</v>
      </c>
    </row>
    <row r="265" spans="1:13">
      <c r="A265" s="6">
        <v>43500</v>
      </c>
      <c r="B265" s="7">
        <v>0.51874999999999993</v>
      </c>
      <c r="C265" s="2" t="str">
        <f>"FES1162670770"</f>
        <v>FES1162670770</v>
      </c>
      <c r="D265" s="2" t="s">
        <v>18</v>
      </c>
      <c r="E265" s="2" t="s">
        <v>293</v>
      </c>
      <c r="F265" s="2" t="str">
        <f>"2170670220 "</f>
        <v xml:space="preserve">2170670220 </v>
      </c>
      <c r="G265" s="2" t="str">
        <f t="shared" si="8"/>
        <v>ON1</v>
      </c>
      <c r="H265" s="2" t="s">
        <v>20</v>
      </c>
      <c r="I265" s="2" t="s">
        <v>294</v>
      </c>
      <c r="J265" s="2" t="str">
        <f>""</f>
        <v/>
      </c>
      <c r="K265" s="2" t="str">
        <f>"PFES1162670770_0001"</f>
        <v>PFES1162670770_0001</v>
      </c>
      <c r="L265" s="2">
        <v>1</v>
      </c>
      <c r="M265" s="2">
        <v>1</v>
      </c>
    </row>
    <row r="266" spans="1:13">
      <c r="A266" s="6">
        <v>43500</v>
      </c>
      <c r="B266" s="7">
        <v>0.51874999999999993</v>
      </c>
      <c r="C266" s="2" t="str">
        <f>"FES1162670856"</f>
        <v>FES1162670856</v>
      </c>
      <c r="D266" s="2" t="s">
        <v>18</v>
      </c>
      <c r="E266" s="2" t="s">
        <v>295</v>
      </c>
      <c r="F266" s="2" t="str">
        <f>"2170672301 "</f>
        <v xml:space="preserve">2170672301 </v>
      </c>
      <c r="G266" s="2" t="str">
        <f t="shared" si="8"/>
        <v>ON1</v>
      </c>
      <c r="H266" s="2" t="s">
        <v>20</v>
      </c>
      <c r="I266" s="2" t="s">
        <v>53</v>
      </c>
      <c r="J266" s="2" t="str">
        <f>""</f>
        <v/>
      </c>
      <c r="K266" s="2" t="str">
        <f>"PFES1162670856_0001"</f>
        <v>PFES1162670856_0001</v>
      </c>
      <c r="L266" s="2">
        <v>1</v>
      </c>
      <c r="M266" s="2">
        <v>1</v>
      </c>
    </row>
    <row r="267" spans="1:13">
      <c r="A267" s="6">
        <v>43500</v>
      </c>
      <c r="B267" s="7">
        <v>0.51874999999999993</v>
      </c>
      <c r="C267" s="2" t="str">
        <f>"FES1162670850"</f>
        <v>FES1162670850</v>
      </c>
      <c r="D267" s="2" t="s">
        <v>18</v>
      </c>
      <c r="E267" s="2" t="s">
        <v>245</v>
      </c>
      <c r="F267" s="2" t="str">
        <f>"2170672286 "</f>
        <v xml:space="preserve">2170672286 </v>
      </c>
      <c r="G267" s="2" t="str">
        <f t="shared" si="8"/>
        <v>ON1</v>
      </c>
      <c r="H267" s="2" t="s">
        <v>20</v>
      </c>
      <c r="I267" s="2" t="s">
        <v>89</v>
      </c>
      <c r="J267" s="2" t="str">
        <f>""</f>
        <v/>
      </c>
      <c r="K267" s="2" t="str">
        <f>"PFES1162670850_0001"</f>
        <v>PFES1162670850_0001</v>
      </c>
      <c r="L267" s="2">
        <v>1</v>
      </c>
      <c r="M267" s="2">
        <v>1</v>
      </c>
    </row>
    <row r="268" spans="1:13">
      <c r="A268" s="6">
        <v>43500</v>
      </c>
      <c r="B268" s="7">
        <v>0.5180555555555556</v>
      </c>
      <c r="C268" s="2" t="str">
        <f>"FES1162670943"</f>
        <v>FES1162670943</v>
      </c>
      <c r="D268" s="2" t="s">
        <v>18</v>
      </c>
      <c r="E268" s="2" t="s">
        <v>97</v>
      </c>
      <c r="F268" s="2" t="str">
        <f>"2170672400 "</f>
        <v xml:space="preserve">2170672400 </v>
      </c>
      <c r="G268" s="2" t="str">
        <f t="shared" si="8"/>
        <v>ON1</v>
      </c>
      <c r="H268" s="2" t="s">
        <v>20</v>
      </c>
      <c r="I268" s="2" t="s">
        <v>70</v>
      </c>
      <c r="J268" s="2" t="str">
        <f>""</f>
        <v/>
      </c>
      <c r="K268" s="2" t="str">
        <f>"PFES1162670943_0001"</f>
        <v>PFES1162670943_0001</v>
      </c>
      <c r="L268" s="2">
        <v>2</v>
      </c>
      <c r="M268" s="2">
        <v>8</v>
      </c>
    </row>
    <row r="269" spans="1:13">
      <c r="A269" s="6">
        <v>43500</v>
      </c>
      <c r="B269" s="7">
        <v>0.5180555555555556</v>
      </c>
      <c r="C269" s="2" t="str">
        <f>"FES1162670943"</f>
        <v>FES1162670943</v>
      </c>
      <c r="D269" s="2" t="s">
        <v>18</v>
      </c>
      <c r="E269" s="2" t="s">
        <v>97</v>
      </c>
      <c r="F269" s="2" t="str">
        <f>"2170672400 "</f>
        <v xml:space="preserve">2170672400 </v>
      </c>
      <c r="G269" s="2" t="str">
        <f t="shared" si="8"/>
        <v>ON1</v>
      </c>
      <c r="H269" s="2" t="s">
        <v>20</v>
      </c>
      <c r="I269" s="2" t="s">
        <v>70</v>
      </c>
      <c r="J269" s="2"/>
      <c r="K269" s="2" t="str">
        <f>"PFES1162670943_0002"</f>
        <v>PFES1162670943_0002</v>
      </c>
      <c r="L269" s="2">
        <v>2</v>
      </c>
      <c r="M269" s="2">
        <v>8</v>
      </c>
    </row>
    <row r="270" spans="1:13">
      <c r="A270" s="6">
        <v>43500</v>
      </c>
      <c r="B270" s="7">
        <v>0.5180555555555556</v>
      </c>
      <c r="C270" s="2" t="str">
        <f>"FES1162670809"</f>
        <v>FES1162670809</v>
      </c>
      <c r="D270" s="2" t="s">
        <v>18</v>
      </c>
      <c r="E270" s="2" t="s">
        <v>296</v>
      </c>
      <c r="F270" s="2" t="str">
        <f>"2170671609 "</f>
        <v xml:space="preserve">2170671609 </v>
      </c>
      <c r="G270" s="2" t="str">
        <f t="shared" si="8"/>
        <v>ON1</v>
      </c>
      <c r="H270" s="2" t="s">
        <v>20</v>
      </c>
      <c r="I270" s="2" t="s">
        <v>93</v>
      </c>
      <c r="J270" s="2" t="str">
        <f>""</f>
        <v/>
      </c>
      <c r="K270" s="2" t="str">
        <f>"PFES1162670809_0001"</f>
        <v>PFES1162670809_0001</v>
      </c>
      <c r="L270" s="2">
        <v>1</v>
      </c>
      <c r="M270" s="2">
        <v>1</v>
      </c>
    </row>
    <row r="271" spans="1:13">
      <c r="A271" s="6">
        <v>43500</v>
      </c>
      <c r="B271" s="7">
        <v>0.5180555555555556</v>
      </c>
      <c r="C271" s="2" t="str">
        <f>"FES1162670820"</f>
        <v>FES1162670820</v>
      </c>
      <c r="D271" s="2" t="s">
        <v>18</v>
      </c>
      <c r="E271" s="2" t="s">
        <v>295</v>
      </c>
      <c r="F271" s="2" t="str">
        <f>"2170671787 "</f>
        <v xml:space="preserve">2170671787 </v>
      </c>
      <c r="G271" s="2" t="str">
        <f t="shared" si="8"/>
        <v>ON1</v>
      </c>
      <c r="H271" s="2" t="s">
        <v>20</v>
      </c>
      <c r="I271" s="2" t="s">
        <v>53</v>
      </c>
      <c r="J271" s="2" t="str">
        <f>""</f>
        <v/>
      </c>
      <c r="K271" s="2" t="str">
        <f>"PFES1162670820_0001"</f>
        <v>PFES1162670820_0001</v>
      </c>
      <c r="L271" s="2">
        <v>1</v>
      </c>
      <c r="M271" s="2">
        <v>1</v>
      </c>
    </row>
    <row r="272" spans="1:13">
      <c r="A272" s="6">
        <v>43500</v>
      </c>
      <c r="B272" s="7">
        <v>0.5180555555555556</v>
      </c>
      <c r="C272" s="2" t="str">
        <f>"FES1162670915"</f>
        <v>FES1162670915</v>
      </c>
      <c r="D272" s="2" t="s">
        <v>18</v>
      </c>
      <c r="E272" s="2" t="s">
        <v>297</v>
      </c>
      <c r="F272" s="2" t="str">
        <f>"2170672370 "</f>
        <v xml:space="preserve">2170672370 </v>
      </c>
      <c r="G272" s="2" t="str">
        <f t="shared" si="8"/>
        <v>ON1</v>
      </c>
      <c r="H272" s="2" t="s">
        <v>20</v>
      </c>
      <c r="I272" s="2" t="s">
        <v>210</v>
      </c>
      <c r="J272" s="2" t="str">
        <f>""</f>
        <v/>
      </c>
      <c r="K272" s="2" t="str">
        <f>"PFES1162670915_0001"</f>
        <v>PFES1162670915_0001</v>
      </c>
      <c r="L272" s="2">
        <v>1</v>
      </c>
      <c r="M272" s="2">
        <v>1</v>
      </c>
    </row>
    <row r="273" spans="1:13">
      <c r="A273" s="6">
        <v>43500</v>
      </c>
      <c r="B273" s="7">
        <v>0.51736111111111105</v>
      </c>
      <c r="C273" s="2" t="str">
        <f>"FES1162670854"</f>
        <v>FES1162670854</v>
      </c>
      <c r="D273" s="2" t="s">
        <v>18</v>
      </c>
      <c r="E273" s="2" t="s">
        <v>298</v>
      </c>
      <c r="F273" s="2" t="str">
        <f>"2170672291 "</f>
        <v xml:space="preserve">2170672291 </v>
      </c>
      <c r="G273" s="2" t="str">
        <f t="shared" si="8"/>
        <v>ON1</v>
      </c>
      <c r="H273" s="2" t="s">
        <v>20</v>
      </c>
      <c r="I273" s="2" t="s">
        <v>93</v>
      </c>
      <c r="J273" s="2" t="str">
        <f>""</f>
        <v/>
      </c>
      <c r="K273" s="2" t="str">
        <f>"PFES1162670854_0001"</f>
        <v>PFES1162670854_0001</v>
      </c>
      <c r="L273" s="2">
        <v>1</v>
      </c>
      <c r="M273" s="2">
        <v>1</v>
      </c>
    </row>
    <row r="274" spans="1:13">
      <c r="A274" s="6">
        <v>43500</v>
      </c>
      <c r="B274" s="7">
        <v>0.51736111111111105</v>
      </c>
      <c r="C274" s="2" t="str">
        <f>"FES1162670777"</f>
        <v>FES1162670777</v>
      </c>
      <c r="D274" s="2" t="s">
        <v>18</v>
      </c>
      <c r="E274" s="2" t="s">
        <v>299</v>
      </c>
      <c r="F274" s="2" t="str">
        <f>"2170670605 "</f>
        <v xml:space="preserve">2170670605 </v>
      </c>
      <c r="G274" s="2" t="str">
        <f t="shared" si="8"/>
        <v>ON1</v>
      </c>
      <c r="H274" s="2" t="s">
        <v>20</v>
      </c>
      <c r="I274" s="2" t="s">
        <v>43</v>
      </c>
      <c r="J274" s="2" t="str">
        <f>""</f>
        <v/>
      </c>
      <c r="K274" s="2" t="str">
        <f>"PFES1162670777_0001"</f>
        <v>PFES1162670777_0001</v>
      </c>
      <c r="L274" s="2">
        <v>1</v>
      </c>
      <c r="M274" s="2">
        <v>2</v>
      </c>
    </row>
    <row r="275" spans="1:13">
      <c r="A275" s="6">
        <v>43500</v>
      </c>
      <c r="B275" s="7">
        <v>0.51736111111111105</v>
      </c>
      <c r="C275" s="2" t="str">
        <f>"FES1162670818"</f>
        <v>FES1162670818</v>
      </c>
      <c r="D275" s="2" t="s">
        <v>18</v>
      </c>
      <c r="E275" s="2" t="s">
        <v>295</v>
      </c>
      <c r="F275" s="2" t="str">
        <f>"2170671771 "</f>
        <v xml:space="preserve">2170671771 </v>
      </c>
      <c r="G275" s="2" t="str">
        <f t="shared" si="8"/>
        <v>ON1</v>
      </c>
      <c r="H275" s="2" t="s">
        <v>20</v>
      </c>
      <c r="I275" s="2" t="s">
        <v>53</v>
      </c>
      <c r="J275" s="2" t="str">
        <f>""</f>
        <v/>
      </c>
      <c r="K275" s="2" t="str">
        <f>"PFES1162670818_0001"</f>
        <v>PFES1162670818_0001</v>
      </c>
      <c r="L275" s="2">
        <v>1</v>
      </c>
      <c r="M275" s="2">
        <v>1</v>
      </c>
    </row>
    <row r="276" spans="1:13">
      <c r="A276" s="6">
        <v>43500</v>
      </c>
      <c r="B276" s="7">
        <v>0.51666666666666672</v>
      </c>
      <c r="C276" s="2" t="str">
        <f>"FES1162670842"</f>
        <v>FES1162670842</v>
      </c>
      <c r="D276" s="2" t="s">
        <v>18</v>
      </c>
      <c r="E276" s="2" t="s">
        <v>300</v>
      </c>
      <c r="F276" s="2" t="str">
        <f>"217672243 "</f>
        <v xml:space="preserve">217672243 </v>
      </c>
      <c r="G276" s="2" t="str">
        <f t="shared" si="8"/>
        <v>ON1</v>
      </c>
      <c r="H276" s="2" t="s">
        <v>20</v>
      </c>
      <c r="I276" s="2" t="s">
        <v>276</v>
      </c>
      <c r="J276" s="2" t="str">
        <f>""</f>
        <v/>
      </c>
      <c r="K276" s="2" t="str">
        <f>"PFES1162670842_0001"</f>
        <v>PFES1162670842_0001</v>
      </c>
      <c r="L276" s="2">
        <v>1</v>
      </c>
      <c r="M276" s="2">
        <v>1</v>
      </c>
    </row>
    <row r="277" spans="1:13">
      <c r="A277" s="6">
        <v>43500</v>
      </c>
      <c r="B277" s="7">
        <v>0.51666666666666672</v>
      </c>
      <c r="C277" s="2" t="str">
        <f>"FES1162670781"</f>
        <v>FES1162670781</v>
      </c>
      <c r="D277" s="2" t="s">
        <v>18</v>
      </c>
      <c r="E277" s="2" t="s">
        <v>301</v>
      </c>
      <c r="F277" s="2" t="str">
        <f>"2170670718 "</f>
        <v xml:space="preserve">2170670718 </v>
      </c>
      <c r="G277" s="2" t="str">
        <f t="shared" si="8"/>
        <v>ON1</v>
      </c>
      <c r="H277" s="2" t="s">
        <v>20</v>
      </c>
      <c r="I277" s="2" t="s">
        <v>302</v>
      </c>
      <c r="J277" s="2" t="str">
        <f>""</f>
        <v/>
      </c>
      <c r="K277" s="2" t="str">
        <f>"PFES1162670781_0001"</f>
        <v>PFES1162670781_0001</v>
      </c>
      <c r="L277" s="2">
        <v>1</v>
      </c>
      <c r="M277" s="2">
        <v>1</v>
      </c>
    </row>
    <row r="278" spans="1:13">
      <c r="A278" s="6">
        <v>43500</v>
      </c>
      <c r="B278" s="7">
        <v>0.51666666666666672</v>
      </c>
      <c r="C278" s="2" t="str">
        <f>"FES1162670785"</f>
        <v>FES1162670785</v>
      </c>
      <c r="D278" s="2" t="s">
        <v>18</v>
      </c>
      <c r="E278" s="2" t="s">
        <v>300</v>
      </c>
      <c r="F278" s="2" t="str">
        <f>"2172670842 "</f>
        <v xml:space="preserve">2172670842 </v>
      </c>
      <c r="G278" s="2" t="str">
        <f t="shared" si="8"/>
        <v>ON1</v>
      </c>
      <c r="H278" s="2" t="s">
        <v>20</v>
      </c>
      <c r="I278" s="2" t="s">
        <v>276</v>
      </c>
      <c r="J278" s="2" t="str">
        <f>""</f>
        <v/>
      </c>
      <c r="K278" s="2" t="str">
        <f>"PFES1162670785_0001"</f>
        <v>PFES1162670785_0001</v>
      </c>
      <c r="L278" s="2">
        <v>1</v>
      </c>
      <c r="M278" s="2">
        <v>1</v>
      </c>
    </row>
    <row r="279" spans="1:13">
      <c r="A279" s="6">
        <v>43500</v>
      </c>
      <c r="B279" s="7">
        <v>0.51597222222222217</v>
      </c>
      <c r="C279" s="2" t="str">
        <f>"FES1162670745"</f>
        <v>FES1162670745</v>
      </c>
      <c r="D279" s="2" t="s">
        <v>18</v>
      </c>
      <c r="E279" s="2" t="s">
        <v>185</v>
      </c>
      <c r="F279" s="2" t="str">
        <f>"2170667030 "</f>
        <v xml:space="preserve">2170667030 </v>
      </c>
      <c r="G279" s="2" t="str">
        <f t="shared" si="8"/>
        <v>ON1</v>
      </c>
      <c r="H279" s="2" t="s">
        <v>20</v>
      </c>
      <c r="I279" s="2" t="s">
        <v>93</v>
      </c>
      <c r="J279" s="2" t="str">
        <f>""</f>
        <v/>
      </c>
      <c r="K279" s="2" t="str">
        <f>"PFES1162670745_0001"</f>
        <v>PFES1162670745_0001</v>
      </c>
      <c r="L279" s="2">
        <v>1</v>
      </c>
      <c r="M279" s="2">
        <v>1</v>
      </c>
    </row>
    <row r="280" spans="1:13">
      <c r="A280" s="6">
        <v>43500</v>
      </c>
      <c r="B280" s="7">
        <v>0.51597222222222217</v>
      </c>
      <c r="C280" s="2" t="str">
        <f>"FES1162670843"</f>
        <v>FES1162670843</v>
      </c>
      <c r="D280" s="2" t="s">
        <v>18</v>
      </c>
      <c r="E280" s="2" t="s">
        <v>299</v>
      </c>
      <c r="F280" s="2" t="str">
        <f>"2170672249 "</f>
        <v xml:space="preserve">2170672249 </v>
      </c>
      <c r="G280" s="2" t="str">
        <f t="shared" si="8"/>
        <v>ON1</v>
      </c>
      <c r="H280" s="2" t="s">
        <v>20</v>
      </c>
      <c r="I280" s="2" t="s">
        <v>43</v>
      </c>
      <c r="J280" s="2" t="str">
        <f>""</f>
        <v/>
      </c>
      <c r="K280" s="2" t="str">
        <f>"PFES1162670843_0001"</f>
        <v>PFES1162670843_0001</v>
      </c>
      <c r="L280" s="2">
        <v>1</v>
      </c>
      <c r="M280" s="2">
        <v>3</v>
      </c>
    </row>
    <row r="281" spans="1:13">
      <c r="A281" s="6">
        <v>43500</v>
      </c>
      <c r="B281" s="7">
        <v>0.51597222222222217</v>
      </c>
      <c r="C281" s="2" t="str">
        <f>"FES1162670829"</f>
        <v>FES1162670829</v>
      </c>
      <c r="D281" s="2" t="s">
        <v>18</v>
      </c>
      <c r="E281" s="2" t="s">
        <v>303</v>
      </c>
      <c r="F281" s="2" t="str">
        <f>"2170671945 "</f>
        <v xml:space="preserve">2170671945 </v>
      </c>
      <c r="G281" s="2" t="str">
        <f t="shared" si="8"/>
        <v>ON1</v>
      </c>
      <c r="H281" s="2" t="s">
        <v>20</v>
      </c>
      <c r="I281" s="2" t="s">
        <v>53</v>
      </c>
      <c r="J281" s="2" t="str">
        <f>""</f>
        <v/>
      </c>
      <c r="K281" s="2" t="str">
        <f>"PFES1162670829_0001"</f>
        <v>PFES1162670829_0001</v>
      </c>
      <c r="L281" s="2">
        <v>1</v>
      </c>
      <c r="M281" s="2">
        <v>1</v>
      </c>
    </row>
    <row r="282" spans="1:13">
      <c r="A282" s="6">
        <v>43500</v>
      </c>
      <c r="B282" s="7">
        <v>0.51527777777777783</v>
      </c>
      <c r="C282" s="2" t="str">
        <f>"FES1162670841"</f>
        <v>FES1162670841</v>
      </c>
      <c r="D282" s="2" t="s">
        <v>18</v>
      </c>
      <c r="E282" s="2" t="s">
        <v>304</v>
      </c>
      <c r="F282" s="2" t="str">
        <f>"2170672227 "</f>
        <v xml:space="preserve">2170672227 </v>
      </c>
      <c r="G282" s="2" t="str">
        <f t="shared" si="8"/>
        <v>ON1</v>
      </c>
      <c r="H282" s="2" t="s">
        <v>20</v>
      </c>
      <c r="I282" s="2" t="s">
        <v>55</v>
      </c>
      <c r="J282" s="2" t="str">
        <f>""</f>
        <v/>
      </c>
      <c r="K282" s="2" t="str">
        <f>"PFES1162670841_0001"</f>
        <v>PFES1162670841_0001</v>
      </c>
      <c r="L282" s="2">
        <v>1</v>
      </c>
      <c r="M282" s="2">
        <v>7</v>
      </c>
    </row>
    <row r="283" spans="1:13">
      <c r="A283" s="6">
        <v>43500</v>
      </c>
      <c r="B283" s="7">
        <v>0.51250000000000007</v>
      </c>
      <c r="C283" s="2" t="str">
        <f>"FES1162670760"</f>
        <v>FES1162670760</v>
      </c>
      <c r="D283" s="2" t="s">
        <v>18</v>
      </c>
      <c r="E283" s="2" t="s">
        <v>305</v>
      </c>
      <c r="F283" s="2" t="str">
        <f>"2170668823 1"</f>
        <v>2170668823 1</v>
      </c>
      <c r="G283" s="2" t="str">
        <f t="shared" si="8"/>
        <v>ON1</v>
      </c>
      <c r="H283" s="2" t="s">
        <v>20</v>
      </c>
      <c r="I283" s="2" t="s">
        <v>197</v>
      </c>
      <c r="J283" s="2" t="str">
        <f>""</f>
        <v/>
      </c>
      <c r="K283" s="2" t="str">
        <f>"PFES1162670760_0001"</f>
        <v>PFES1162670760_0001</v>
      </c>
      <c r="L283" s="2">
        <v>1</v>
      </c>
      <c r="M283" s="2">
        <v>2</v>
      </c>
    </row>
    <row r="284" spans="1:13">
      <c r="A284" s="6">
        <v>43500</v>
      </c>
      <c r="B284" s="7">
        <v>0.51041666666666663</v>
      </c>
      <c r="C284" s="2" t="str">
        <f>"FES1162670751"</f>
        <v>FES1162670751</v>
      </c>
      <c r="D284" s="2" t="s">
        <v>18</v>
      </c>
      <c r="E284" s="2" t="s">
        <v>42</v>
      </c>
      <c r="F284" s="2" t="str">
        <f>"2170668101 "</f>
        <v xml:space="preserve">2170668101 </v>
      </c>
      <c r="G284" s="2" t="str">
        <f t="shared" si="8"/>
        <v>ON1</v>
      </c>
      <c r="H284" s="2" t="s">
        <v>20</v>
      </c>
      <c r="I284" s="2" t="s">
        <v>43</v>
      </c>
      <c r="J284" s="2" t="str">
        <f>""</f>
        <v/>
      </c>
      <c r="K284" s="2" t="str">
        <f>"PFES1162670751_0001"</f>
        <v>PFES1162670751_0001</v>
      </c>
      <c r="L284" s="2">
        <v>1</v>
      </c>
      <c r="M284" s="2">
        <v>3</v>
      </c>
    </row>
    <row r="285" spans="1:13">
      <c r="A285" s="6">
        <v>43500</v>
      </c>
      <c r="B285" s="7">
        <v>0.50902777777777775</v>
      </c>
      <c r="C285" s="2" t="str">
        <f>"FES1162670769"</f>
        <v>FES1162670769</v>
      </c>
      <c r="D285" s="2" t="s">
        <v>18</v>
      </c>
      <c r="E285" s="2" t="s">
        <v>306</v>
      </c>
      <c r="F285" s="2" t="str">
        <f>"2170670143 "</f>
        <v xml:space="preserve">2170670143 </v>
      </c>
      <c r="G285" s="2" t="str">
        <f t="shared" si="8"/>
        <v>ON1</v>
      </c>
      <c r="H285" s="2" t="s">
        <v>20</v>
      </c>
      <c r="I285" s="2" t="s">
        <v>237</v>
      </c>
      <c r="J285" s="2" t="str">
        <f>""</f>
        <v/>
      </c>
      <c r="K285" s="2" t="str">
        <f>"PFES1162670769_0001"</f>
        <v>PFES1162670769_0001</v>
      </c>
      <c r="L285" s="2">
        <v>1</v>
      </c>
      <c r="M285" s="2">
        <v>2</v>
      </c>
    </row>
    <row r="286" spans="1:13">
      <c r="A286" s="6">
        <v>43500</v>
      </c>
      <c r="B286" s="7">
        <v>0.5083333333333333</v>
      </c>
      <c r="C286" s="2" t="str">
        <f>"FES1162670825"</f>
        <v>FES1162670825</v>
      </c>
      <c r="D286" s="2" t="s">
        <v>18</v>
      </c>
      <c r="E286" s="2" t="s">
        <v>307</v>
      </c>
      <c r="F286" s="2" t="str">
        <f>"2170671876 "</f>
        <v xml:space="preserve">2170671876 </v>
      </c>
      <c r="G286" s="2" t="str">
        <f t="shared" si="8"/>
        <v>ON1</v>
      </c>
      <c r="H286" s="2" t="s">
        <v>20</v>
      </c>
      <c r="I286" s="2" t="s">
        <v>43</v>
      </c>
      <c r="J286" s="2" t="str">
        <f>""</f>
        <v/>
      </c>
      <c r="K286" s="2" t="str">
        <f>"PFES1162670825_0001"</f>
        <v>PFES1162670825_0001</v>
      </c>
      <c r="L286" s="2">
        <v>1</v>
      </c>
      <c r="M286" s="2">
        <v>5</v>
      </c>
    </row>
    <row r="287" spans="1:13">
      <c r="A287" s="6">
        <v>43500</v>
      </c>
      <c r="B287" s="7">
        <v>0.50694444444444442</v>
      </c>
      <c r="C287" s="2" t="str">
        <f>"FES1162670869"</f>
        <v>FES1162670869</v>
      </c>
      <c r="D287" s="2" t="s">
        <v>18</v>
      </c>
      <c r="E287" s="2" t="s">
        <v>308</v>
      </c>
      <c r="F287" s="2" t="str">
        <f>"2170672322 "</f>
        <v xml:space="preserve">2170672322 </v>
      </c>
      <c r="G287" s="2" t="str">
        <f t="shared" si="8"/>
        <v>ON1</v>
      </c>
      <c r="H287" s="2" t="s">
        <v>20</v>
      </c>
      <c r="I287" s="2" t="s">
        <v>143</v>
      </c>
      <c r="J287" s="2" t="str">
        <f>""</f>
        <v/>
      </c>
      <c r="K287" s="2" t="str">
        <f>"PFES1162670869_0001"</f>
        <v>PFES1162670869_0001</v>
      </c>
      <c r="L287" s="2">
        <v>1</v>
      </c>
      <c r="M287" s="2">
        <v>4</v>
      </c>
    </row>
    <row r="288" spans="1:13">
      <c r="A288" s="6">
        <v>43500</v>
      </c>
      <c r="B288" s="7">
        <v>0.50624999999999998</v>
      </c>
      <c r="C288" s="2" t="str">
        <f>"FES1162670875"</f>
        <v>FES1162670875</v>
      </c>
      <c r="D288" s="2" t="s">
        <v>18</v>
      </c>
      <c r="E288" s="2" t="s">
        <v>309</v>
      </c>
      <c r="F288" s="2" t="str">
        <f>"2170672336 "</f>
        <v xml:space="preserve">2170672336 </v>
      </c>
      <c r="G288" s="2" t="str">
        <f t="shared" si="8"/>
        <v>ON1</v>
      </c>
      <c r="H288" s="2" t="s">
        <v>20</v>
      </c>
      <c r="I288" s="2" t="s">
        <v>310</v>
      </c>
      <c r="J288" s="2" t="str">
        <f>""</f>
        <v/>
      </c>
      <c r="K288" s="2" t="str">
        <f>"PFES1162670875_0001"</f>
        <v>PFES1162670875_0001</v>
      </c>
      <c r="L288" s="2">
        <v>1</v>
      </c>
      <c r="M288" s="2">
        <v>1</v>
      </c>
    </row>
    <row r="289" spans="1:13">
      <c r="A289" s="6">
        <v>43500</v>
      </c>
      <c r="B289" s="7">
        <v>0.50624999999999998</v>
      </c>
      <c r="C289" s="2" t="str">
        <f>"FES1162670941"</f>
        <v>FES1162670941</v>
      </c>
      <c r="D289" s="2" t="s">
        <v>18</v>
      </c>
      <c r="E289" s="2" t="s">
        <v>195</v>
      </c>
      <c r="F289" s="2" t="str">
        <f>"2170672398 "</f>
        <v xml:space="preserve">2170672398 </v>
      </c>
      <c r="G289" s="2" t="str">
        <f t="shared" si="8"/>
        <v>ON1</v>
      </c>
      <c r="H289" s="2" t="s">
        <v>20</v>
      </c>
      <c r="I289" s="2" t="s">
        <v>96</v>
      </c>
      <c r="J289" s="2" t="str">
        <f>""</f>
        <v/>
      </c>
      <c r="K289" s="2" t="str">
        <f>"PFES1162670941_0001"</f>
        <v>PFES1162670941_0001</v>
      </c>
      <c r="L289" s="2">
        <v>1</v>
      </c>
      <c r="M289" s="2">
        <v>1</v>
      </c>
    </row>
    <row r="290" spans="1:13">
      <c r="A290" s="6">
        <v>43500</v>
      </c>
      <c r="B290" s="7">
        <v>0.50555555555555554</v>
      </c>
      <c r="C290" s="2" t="str">
        <f>"FES1162670892"</f>
        <v>FES1162670892</v>
      </c>
      <c r="D290" s="2" t="s">
        <v>18</v>
      </c>
      <c r="E290" s="2" t="s">
        <v>311</v>
      </c>
      <c r="F290" s="2" t="str">
        <f>"2170672348 "</f>
        <v xml:space="preserve">2170672348 </v>
      </c>
      <c r="G290" s="2" t="str">
        <f t="shared" si="8"/>
        <v>ON1</v>
      </c>
      <c r="H290" s="2" t="s">
        <v>20</v>
      </c>
      <c r="I290" s="2" t="s">
        <v>39</v>
      </c>
      <c r="J290" s="2" t="str">
        <f>""</f>
        <v/>
      </c>
      <c r="K290" s="2" t="str">
        <f>"PFES1162670892_0001"</f>
        <v>PFES1162670892_0001</v>
      </c>
      <c r="L290" s="2">
        <v>1</v>
      </c>
      <c r="M290" s="2">
        <v>1</v>
      </c>
    </row>
    <row r="291" spans="1:13">
      <c r="A291" s="6">
        <v>43500</v>
      </c>
      <c r="B291" s="7">
        <v>0.50555555555555554</v>
      </c>
      <c r="C291" s="2" t="str">
        <f>"FES1162670894"</f>
        <v>FES1162670894</v>
      </c>
      <c r="D291" s="2" t="s">
        <v>18</v>
      </c>
      <c r="E291" s="2" t="s">
        <v>312</v>
      </c>
      <c r="F291" s="2" t="str">
        <f>"2170672350 "</f>
        <v xml:space="preserve">2170672350 </v>
      </c>
      <c r="G291" s="2" t="str">
        <f t="shared" si="8"/>
        <v>ON1</v>
      </c>
      <c r="H291" s="2" t="s">
        <v>20</v>
      </c>
      <c r="I291" s="2" t="s">
        <v>70</v>
      </c>
      <c r="J291" s="2" t="str">
        <f>""</f>
        <v/>
      </c>
      <c r="K291" s="2" t="str">
        <f>"PFES1162670894_0001"</f>
        <v>PFES1162670894_0001</v>
      </c>
      <c r="L291" s="2">
        <v>1</v>
      </c>
      <c r="M291" s="2">
        <v>1</v>
      </c>
    </row>
    <row r="292" spans="1:13">
      <c r="A292" s="6">
        <v>43500</v>
      </c>
      <c r="B292" s="7">
        <v>0.50486111111111109</v>
      </c>
      <c r="C292" s="2" t="str">
        <f>"FES1162670803"</f>
        <v>FES1162670803</v>
      </c>
      <c r="D292" s="2" t="s">
        <v>18</v>
      </c>
      <c r="E292" s="2" t="s">
        <v>300</v>
      </c>
      <c r="F292" s="2" t="str">
        <f>"2170671484 "</f>
        <v xml:space="preserve">2170671484 </v>
      </c>
      <c r="G292" s="2" t="str">
        <f t="shared" si="8"/>
        <v>ON1</v>
      </c>
      <c r="H292" s="2" t="s">
        <v>20</v>
      </c>
      <c r="I292" s="2" t="s">
        <v>276</v>
      </c>
      <c r="J292" s="2" t="str">
        <f>""</f>
        <v/>
      </c>
      <c r="K292" s="2" t="str">
        <f>"PFES1162670803_0001"</f>
        <v>PFES1162670803_0001</v>
      </c>
      <c r="L292" s="2">
        <v>1</v>
      </c>
      <c r="M292" s="2">
        <v>2</v>
      </c>
    </row>
    <row r="293" spans="1:13">
      <c r="A293" s="6">
        <v>43500</v>
      </c>
      <c r="B293" s="7">
        <v>0.50277777777777777</v>
      </c>
      <c r="C293" s="2" t="str">
        <f>"FES1162670881"</f>
        <v>FES1162670881</v>
      </c>
      <c r="D293" s="2" t="s">
        <v>18</v>
      </c>
      <c r="E293" s="2" t="s">
        <v>313</v>
      </c>
      <c r="F293" s="2" t="str">
        <f>"2170670998 "</f>
        <v xml:space="preserve">2170670998 </v>
      </c>
      <c r="G293" s="2" t="str">
        <f>"DBC"</f>
        <v>DBC</v>
      </c>
      <c r="H293" s="2" t="s">
        <v>20</v>
      </c>
      <c r="I293" s="2" t="s">
        <v>314</v>
      </c>
      <c r="J293" s="2" t="str">
        <f>"FRAGILE OIL"</f>
        <v>FRAGILE OIL</v>
      </c>
      <c r="K293" s="2" t="str">
        <f>"PFES1162670881_0001"</f>
        <v>PFES1162670881_0001</v>
      </c>
      <c r="L293" s="2">
        <v>1</v>
      </c>
      <c r="M293" s="2">
        <v>6</v>
      </c>
    </row>
    <row r="294" spans="1:13">
      <c r="A294" s="6">
        <v>43500</v>
      </c>
      <c r="B294" s="7">
        <v>0.50069444444444444</v>
      </c>
      <c r="C294" s="2" t="str">
        <f>"FES1162670756"</f>
        <v>FES1162670756</v>
      </c>
      <c r="D294" s="2" t="s">
        <v>18</v>
      </c>
      <c r="E294" s="2" t="s">
        <v>185</v>
      </c>
      <c r="F294" s="2" t="str">
        <f>"2170668545 "</f>
        <v xml:space="preserve">2170668545 </v>
      </c>
      <c r="G294" s="2" t="str">
        <f t="shared" ref="G294:G322" si="9">"ON1"</f>
        <v>ON1</v>
      </c>
      <c r="H294" s="2" t="s">
        <v>20</v>
      </c>
      <c r="I294" s="2" t="s">
        <v>93</v>
      </c>
      <c r="J294" s="2" t="str">
        <f>""</f>
        <v/>
      </c>
      <c r="K294" s="2" t="str">
        <f>"PFES1162670756_0001"</f>
        <v>PFES1162670756_0001</v>
      </c>
      <c r="L294" s="2">
        <v>1</v>
      </c>
      <c r="M294" s="2">
        <v>3</v>
      </c>
    </row>
    <row r="295" spans="1:13">
      <c r="A295" s="6">
        <v>43500</v>
      </c>
      <c r="B295" s="7">
        <v>0.49861111111111112</v>
      </c>
      <c r="C295" s="2" t="str">
        <f>"FES1162670771"</f>
        <v>FES1162670771</v>
      </c>
      <c r="D295" s="2" t="s">
        <v>18</v>
      </c>
      <c r="E295" s="2" t="s">
        <v>315</v>
      </c>
      <c r="F295" s="2" t="str">
        <f>"2170670232 "</f>
        <v xml:space="preserve">2170670232 </v>
      </c>
      <c r="G295" s="2" t="str">
        <f t="shared" si="9"/>
        <v>ON1</v>
      </c>
      <c r="H295" s="2" t="s">
        <v>20</v>
      </c>
      <c r="I295" s="2" t="s">
        <v>239</v>
      </c>
      <c r="J295" s="2" t="str">
        <f>""</f>
        <v/>
      </c>
      <c r="K295" s="2" t="str">
        <f>"PFES1162670771_0001"</f>
        <v>PFES1162670771_0001</v>
      </c>
      <c r="L295" s="2">
        <v>1</v>
      </c>
      <c r="M295" s="2">
        <v>1</v>
      </c>
    </row>
    <row r="296" spans="1:13">
      <c r="A296" s="6">
        <v>43500</v>
      </c>
      <c r="B296" s="7">
        <v>0.49861111111111112</v>
      </c>
      <c r="C296" s="2" t="str">
        <f>"FES1162670898"</f>
        <v>FES1162670898</v>
      </c>
      <c r="D296" s="2" t="s">
        <v>18</v>
      </c>
      <c r="E296" s="2" t="s">
        <v>316</v>
      </c>
      <c r="F296" s="2" t="str">
        <f>"2170672354 "</f>
        <v xml:space="preserve">2170672354 </v>
      </c>
      <c r="G296" s="2" t="str">
        <f t="shared" si="9"/>
        <v>ON1</v>
      </c>
      <c r="H296" s="2" t="s">
        <v>20</v>
      </c>
      <c r="I296" s="2" t="s">
        <v>272</v>
      </c>
      <c r="J296" s="2" t="str">
        <f>""</f>
        <v/>
      </c>
      <c r="K296" s="2" t="str">
        <f>"PFES1162670898_0001"</f>
        <v>PFES1162670898_0001</v>
      </c>
      <c r="L296" s="2">
        <v>1</v>
      </c>
      <c r="M296" s="2">
        <v>1</v>
      </c>
    </row>
    <row r="297" spans="1:13">
      <c r="A297" s="6">
        <v>43500</v>
      </c>
      <c r="B297" s="7">
        <v>0.49861111111111112</v>
      </c>
      <c r="C297" s="2" t="str">
        <f>"FES1162670923"</f>
        <v>FES1162670923</v>
      </c>
      <c r="D297" s="2" t="s">
        <v>18</v>
      </c>
      <c r="E297" s="2" t="s">
        <v>317</v>
      </c>
      <c r="F297" s="2" t="str">
        <f>"2170672325 "</f>
        <v xml:space="preserve">2170672325 </v>
      </c>
      <c r="G297" s="2" t="str">
        <f t="shared" si="9"/>
        <v>ON1</v>
      </c>
      <c r="H297" s="2" t="s">
        <v>20</v>
      </c>
      <c r="I297" s="2" t="s">
        <v>318</v>
      </c>
      <c r="J297" s="2" t="str">
        <f>""</f>
        <v/>
      </c>
      <c r="K297" s="2" t="str">
        <f>"PFES1162670923_0001"</f>
        <v>PFES1162670923_0001</v>
      </c>
      <c r="L297" s="2">
        <v>1</v>
      </c>
      <c r="M297" s="2">
        <v>1</v>
      </c>
    </row>
    <row r="298" spans="1:13">
      <c r="A298" s="6">
        <v>43500</v>
      </c>
      <c r="B298" s="7">
        <v>0.49791666666666662</v>
      </c>
      <c r="C298" s="2" t="str">
        <f>"FES1162670737"</f>
        <v>FES1162670737</v>
      </c>
      <c r="D298" s="2" t="s">
        <v>18</v>
      </c>
      <c r="E298" s="2" t="s">
        <v>319</v>
      </c>
      <c r="F298" s="2" t="str">
        <f>"2170670798 "</f>
        <v xml:space="preserve">2170670798 </v>
      </c>
      <c r="G298" s="2" t="str">
        <f t="shared" si="9"/>
        <v>ON1</v>
      </c>
      <c r="H298" s="2" t="s">
        <v>20</v>
      </c>
      <c r="I298" s="2" t="s">
        <v>320</v>
      </c>
      <c r="J298" s="2" t="str">
        <f>""</f>
        <v/>
      </c>
      <c r="K298" s="2" t="str">
        <f>"PFES1162670737_0001"</f>
        <v>PFES1162670737_0001</v>
      </c>
      <c r="L298" s="2">
        <v>1</v>
      </c>
      <c r="M298" s="2">
        <v>1</v>
      </c>
    </row>
    <row r="299" spans="1:13">
      <c r="A299" s="6">
        <v>43500</v>
      </c>
      <c r="B299" s="7">
        <v>0.49583333333333335</v>
      </c>
      <c r="C299" s="2" t="str">
        <f>"FES1162670754"</f>
        <v>FES1162670754</v>
      </c>
      <c r="D299" s="2" t="s">
        <v>18</v>
      </c>
      <c r="E299" s="2" t="s">
        <v>185</v>
      </c>
      <c r="F299" s="2" t="str">
        <f>"2170668276 "</f>
        <v xml:space="preserve">2170668276 </v>
      </c>
      <c r="G299" s="2" t="str">
        <f t="shared" si="9"/>
        <v>ON1</v>
      </c>
      <c r="H299" s="2" t="s">
        <v>20</v>
      </c>
      <c r="I299" s="2" t="s">
        <v>93</v>
      </c>
      <c r="J299" s="2" t="str">
        <f>""</f>
        <v/>
      </c>
      <c r="K299" s="2" t="str">
        <f>"PFES1162670754_0001"</f>
        <v>PFES1162670754_0001</v>
      </c>
      <c r="L299" s="2">
        <v>1</v>
      </c>
      <c r="M299" s="2">
        <v>5</v>
      </c>
    </row>
    <row r="300" spans="1:13">
      <c r="A300" s="6">
        <v>43500</v>
      </c>
      <c r="B300" s="7">
        <v>0.49513888888888885</v>
      </c>
      <c r="C300" s="2" t="str">
        <f>"FES1162670831"</f>
        <v>FES1162670831</v>
      </c>
      <c r="D300" s="2" t="s">
        <v>18</v>
      </c>
      <c r="E300" s="2" t="s">
        <v>321</v>
      </c>
      <c r="F300" s="2" t="str">
        <f>"2170671957 "</f>
        <v xml:space="preserve">2170671957 </v>
      </c>
      <c r="G300" s="2" t="str">
        <f t="shared" si="9"/>
        <v>ON1</v>
      </c>
      <c r="H300" s="2" t="s">
        <v>20</v>
      </c>
      <c r="I300" s="2" t="s">
        <v>322</v>
      </c>
      <c r="J300" s="2" t="str">
        <f>""</f>
        <v/>
      </c>
      <c r="K300" s="2" t="str">
        <f>"PFES1162670831_0001"</f>
        <v>PFES1162670831_0001</v>
      </c>
      <c r="L300" s="2">
        <v>1</v>
      </c>
      <c r="M300" s="2">
        <v>4</v>
      </c>
    </row>
    <row r="301" spans="1:13">
      <c r="A301" s="6">
        <v>43500</v>
      </c>
      <c r="B301" s="7">
        <v>0.4916666666666667</v>
      </c>
      <c r="C301" s="2" t="str">
        <f>"FES1162670806"</f>
        <v>FES1162670806</v>
      </c>
      <c r="D301" s="2" t="s">
        <v>18</v>
      </c>
      <c r="E301" s="2" t="s">
        <v>323</v>
      </c>
      <c r="F301" s="2" t="str">
        <f>"2170671519 "</f>
        <v xml:space="preserve">2170671519 </v>
      </c>
      <c r="G301" s="2" t="str">
        <f t="shared" si="9"/>
        <v>ON1</v>
      </c>
      <c r="H301" s="2" t="s">
        <v>20</v>
      </c>
      <c r="I301" s="2" t="s">
        <v>324</v>
      </c>
      <c r="J301" s="2" t="str">
        <f>""</f>
        <v/>
      </c>
      <c r="K301" s="2" t="str">
        <f>"PFES1162670806_0001"</f>
        <v>PFES1162670806_0001</v>
      </c>
      <c r="L301" s="2">
        <v>1</v>
      </c>
      <c r="M301" s="2">
        <v>2</v>
      </c>
    </row>
    <row r="302" spans="1:13">
      <c r="A302" s="6">
        <v>43500</v>
      </c>
      <c r="B302" s="7">
        <v>0.48819444444444443</v>
      </c>
      <c r="C302" s="2" t="str">
        <f>"009935723037"</f>
        <v>009935723037</v>
      </c>
      <c r="D302" s="2" t="s">
        <v>18</v>
      </c>
      <c r="E302" s="2" t="s">
        <v>325</v>
      </c>
      <c r="F302" s="2" t="str">
        <f>"1162669687 "</f>
        <v xml:space="preserve">1162669687 </v>
      </c>
      <c r="G302" s="2" t="str">
        <f t="shared" si="9"/>
        <v>ON1</v>
      </c>
      <c r="H302" s="2" t="s">
        <v>20</v>
      </c>
      <c r="I302" s="2" t="s">
        <v>326</v>
      </c>
      <c r="J302" s="2" t="str">
        <f>"RE SEND PARCEL"</f>
        <v>RE SEND PARCEL</v>
      </c>
      <c r="K302" s="2" t="str">
        <f>"P009935723037_0001"</f>
        <v>P009935723037_0001</v>
      </c>
      <c r="L302" s="2">
        <v>1</v>
      </c>
      <c r="M302" s="2">
        <v>1</v>
      </c>
    </row>
    <row r="303" spans="1:13">
      <c r="A303" s="6">
        <v>43500</v>
      </c>
      <c r="B303" s="7">
        <v>0.4861111111111111</v>
      </c>
      <c r="C303" s="2" t="str">
        <f>"FES1162670791"</f>
        <v>FES1162670791</v>
      </c>
      <c r="D303" s="2" t="s">
        <v>18</v>
      </c>
      <c r="E303" s="2" t="s">
        <v>293</v>
      </c>
      <c r="F303" s="2" t="str">
        <f>"2170670962 "</f>
        <v xml:space="preserve">2170670962 </v>
      </c>
      <c r="G303" s="2" t="str">
        <f t="shared" si="9"/>
        <v>ON1</v>
      </c>
      <c r="H303" s="2" t="s">
        <v>20</v>
      </c>
      <c r="I303" s="2" t="s">
        <v>327</v>
      </c>
      <c r="J303" s="2" t="str">
        <f>""</f>
        <v/>
      </c>
      <c r="K303" s="2" t="str">
        <f>"PFES1162670791_0001"</f>
        <v>PFES1162670791_0001</v>
      </c>
      <c r="L303" s="2">
        <v>1</v>
      </c>
      <c r="M303" s="2">
        <v>2</v>
      </c>
    </row>
    <row r="304" spans="1:13">
      <c r="A304" s="6">
        <v>43500</v>
      </c>
      <c r="B304" s="7">
        <v>0.48472222222222222</v>
      </c>
      <c r="C304" s="2" t="str">
        <f>"FES1162670857"</f>
        <v>FES1162670857</v>
      </c>
      <c r="D304" s="2" t="s">
        <v>18</v>
      </c>
      <c r="E304" s="2" t="s">
        <v>45</v>
      </c>
      <c r="F304" s="2" t="str">
        <f>"2170672303 "</f>
        <v xml:space="preserve">2170672303 </v>
      </c>
      <c r="G304" s="2" t="str">
        <f t="shared" si="9"/>
        <v>ON1</v>
      </c>
      <c r="H304" s="2" t="s">
        <v>20</v>
      </c>
      <c r="I304" s="2" t="s">
        <v>46</v>
      </c>
      <c r="J304" s="2" t="str">
        <f>""</f>
        <v/>
      </c>
      <c r="K304" s="2" t="str">
        <f>"PFES1162670857_0001"</f>
        <v>PFES1162670857_0001</v>
      </c>
      <c r="L304" s="2">
        <v>1</v>
      </c>
      <c r="M304" s="2">
        <v>1</v>
      </c>
    </row>
    <row r="305" spans="1:13">
      <c r="A305" s="6">
        <v>43500</v>
      </c>
      <c r="B305" s="7">
        <v>0.48472222222222222</v>
      </c>
      <c r="C305" s="2" t="str">
        <f>"FES1162670828"</f>
        <v>FES1162670828</v>
      </c>
      <c r="D305" s="2" t="s">
        <v>18</v>
      </c>
      <c r="E305" s="2" t="s">
        <v>28</v>
      </c>
      <c r="F305" s="2" t="str">
        <f>"2170671901 "</f>
        <v xml:space="preserve">2170671901 </v>
      </c>
      <c r="G305" s="2" t="str">
        <f t="shared" si="9"/>
        <v>ON1</v>
      </c>
      <c r="H305" s="2" t="s">
        <v>20</v>
      </c>
      <c r="I305" s="2" t="s">
        <v>29</v>
      </c>
      <c r="J305" s="2" t="str">
        <f>""</f>
        <v/>
      </c>
      <c r="K305" s="2" t="str">
        <f>"PFES1162670828_0001"</f>
        <v>PFES1162670828_0001</v>
      </c>
      <c r="L305" s="2">
        <v>1</v>
      </c>
      <c r="M305" s="2">
        <v>1</v>
      </c>
    </row>
    <row r="306" spans="1:13">
      <c r="A306" s="6">
        <v>43500</v>
      </c>
      <c r="B306" s="7">
        <v>0.48402777777777778</v>
      </c>
      <c r="C306" s="2" t="str">
        <f>"FES1162670810"</f>
        <v>FES1162670810</v>
      </c>
      <c r="D306" s="2" t="s">
        <v>18</v>
      </c>
      <c r="E306" s="2" t="s">
        <v>178</v>
      </c>
      <c r="F306" s="2" t="str">
        <f>"2170671619 "</f>
        <v xml:space="preserve">2170671619 </v>
      </c>
      <c r="G306" s="2" t="str">
        <f t="shared" si="9"/>
        <v>ON1</v>
      </c>
      <c r="H306" s="2" t="s">
        <v>20</v>
      </c>
      <c r="I306" s="2" t="s">
        <v>29</v>
      </c>
      <c r="J306" s="2" t="str">
        <f>""</f>
        <v/>
      </c>
      <c r="K306" s="2" t="str">
        <f>"PFES1162670810_0001"</f>
        <v>PFES1162670810_0001</v>
      </c>
      <c r="L306" s="2">
        <v>1</v>
      </c>
      <c r="M306" s="2">
        <v>1</v>
      </c>
    </row>
    <row r="307" spans="1:13">
      <c r="A307" s="6">
        <v>43500</v>
      </c>
      <c r="B307" s="7">
        <v>0.48402777777777778</v>
      </c>
      <c r="C307" s="2" t="str">
        <f>"FES1162670758"</f>
        <v>FES1162670758</v>
      </c>
      <c r="D307" s="2" t="s">
        <v>18</v>
      </c>
      <c r="E307" s="2" t="s">
        <v>328</v>
      </c>
      <c r="F307" s="2" t="str">
        <f>"2170668639 "</f>
        <v xml:space="preserve">2170668639 </v>
      </c>
      <c r="G307" s="2" t="str">
        <f t="shared" si="9"/>
        <v>ON1</v>
      </c>
      <c r="H307" s="2" t="s">
        <v>20</v>
      </c>
      <c r="I307" s="2" t="s">
        <v>29</v>
      </c>
      <c r="J307" s="2" t="str">
        <f>""</f>
        <v/>
      </c>
      <c r="K307" s="2" t="str">
        <f>"PFES1162670758_0001"</f>
        <v>PFES1162670758_0001</v>
      </c>
      <c r="L307" s="2">
        <v>1</v>
      </c>
      <c r="M307" s="2">
        <v>1</v>
      </c>
    </row>
    <row r="308" spans="1:13">
      <c r="A308" s="6">
        <v>43500</v>
      </c>
      <c r="B308" s="7">
        <v>0.48402777777777778</v>
      </c>
      <c r="C308" s="2" t="str">
        <f>"FES1162670846"</f>
        <v>FES1162670846</v>
      </c>
      <c r="D308" s="2" t="s">
        <v>18</v>
      </c>
      <c r="E308" s="2" t="s">
        <v>329</v>
      </c>
      <c r="F308" s="2" t="str">
        <f>"2170672261 "</f>
        <v xml:space="preserve">2170672261 </v>
      </c>
      <c r="G308" s="2" t="str">
        <f t="shared" si="9"/>
        <v>ON1</v>
      </c>
      <c r="H308" s="2" t="s">
        <v>20</v>
      </c>
      <c r="I308" s="2" t="s">
        <v>81</v>
      </c>
      <c r="J308" s="2" t="str">
        <f>""</f>
        <v/>
      </c>
      <c r="K308" s="2" t="str">
        <f>"PFES1162670846_0001"</f>
        <v>PFES1162670846_0001</v>
      </c>
      <c r="L308" s="2">
        <v>1</v>
      </c>
      <c r="M308" s="2">
        <v>1</v>
      </c>
    </row>
    <row r="309" spans="1:13">
      <c r="A309" s="6">
        <v>43500</v>
      </c>
      <c r="B309" s="7">
        <v>0.48333333333333334</v>
      </c>
      <c r="C309" s="2" t="str">
        <f>"FES1162670757"</f>
        <v>FES1162670757</v>
      </c>
      <c r="D309" s="2" t="s">
        <v>18</v>
      </c>
      <c r="E309" s="2" t="s">
        <v>307</v>
      </c>
      <c r="F309" s="2" t="str">
        <f>"2170668567 "</f>
        <v xml:space="preserve">2170668567 </v>
      </c>
      <c r="G309" s="2" t="str">
        <f t="shared" si="9"/>
        <v>ON1</v>
      </c>
      <c r="H309" s="2" t="s">
        <v>20</v>
      </c>
      <c r="I309" s="2" t="s">
        <v>43</v>
      </c>
      <c r="J309" s="2" t="str">
        <f>""</f>
        <v/>
      </c>
      <c r="K309" s="2" t="str">
        <f>"PFES1162670757_0001"</f>
        <v>PFES1162670757_0001</v>
      </c>
      <c r="L309" s="2">
        <v>1</v>
      </c>
      <c r="M309" s="2">
        <v>1</v>
      </c>
    </row>
    <row r="310" spans="1:13">
      <c r="A310" s="6">
        <v>43500</v>
      </c>
      <c r="B310" s="7">
        <v>0.48333333333333334</v>
      </c>
      <c r="C310" s="2" t="str">
        <f>"FES1162670784"</f>
        <v>FES1162670784</v>
      </c>
      <c r="D310" s="2" t="s">
        <v>18</v>
      </c>
      <c r="E310" s="2" t="s">
        <v>330</v>
      </c>
      <c r="F310" s="2" t="str">
        <f>"2170670748 "</f>
        <v xml:space="preserve">2170670748 </v>
      </c>
      <c r="G310" s="2" t="str">
        <f t="shared" si="9"/>
        <v>ON1</v>
      </c>
      <c r="H310" s="2" t="s">
        <v>20</v>
      </c>
      <c r="I310" s="2" t="s">
        <v>237</v>
      </c>
      <c r="J310" s="2" t="str">
        <f>""</f>
        <v/>
      </c>
      <c r="K310" s="2" t="str">
        <f>"PFES1162670784_0001"</f>
        <v>PFES1162670784_0001</v>
      </c>
      <c r="L310" s="2">
        <v>1</v>
      </c>
      <c r="M310" s="2">
        <v>1</v>
      </c>
    </row>
    <row r="311" spans="1:13">
      <c r="A311" s="6">
        <v>43500</v>
      </c>
      <c r="B311" s="7">
        <v>0.48194444444444445</v>
      </c>
      <c r="C311" s="2" t="str">
        <f>"FES1162670779"</f>
        <v>FES1162670779</v>
      </c>
      <c r="D311" s="2" t="s">
        <v>18</v>
      </c>
      <c r="E311" s="2" t="s">
        <v>331</v>
      </c>
      <c r="F311" s="2" t="str">
        <f>"2170670699 "</f>
        <v xml:space="preserve">2170670699 </v>
      </c>
      <c r="G311" s="2" t="str">
        <f t="shared" si="9"/>
        <v>ON1</v>
      </c>
      <c r="H311" s="2" t="s">
        <v>20</v>
      </c>
      <c r="I311" s="2" t="s">
        <v>324</v>
      </c>
      <c r="J311" s="2" t="str">
        <f>""</f>
        <v/>
      </c>
      <c r="K311" s="2" t="str">
        <f>"PFES1162670779_0001"</f>
        <v>PFES1162670779_0001</v>
      </c>
      <c r="L311" s="2">
        <v>1</v>
      </c>
      <c r="M311" s="2">
        <v>1</v>
      </c>
    </row>
    <row r="312" spans="1:13">
      <c r="A312" s="6">
        <v>43500</v>
      </c>
      <c r="B312" s="7">
        <v>0.48194444444444445</v>
      </c>
      <c r="C312" s="2" t="str">
        <f>"FES1162670804"</f>
        <v>FES1162670804</v>
      </c>
      <c r="D312" s="2" t="s">
        <v>18</v>
      </c>
      <c r="E312" s="2" t="s">
        <v>329</v>
      </c>
      <c r="F312" s="2" t="str">
        <f>"2170671054 "</f>
        <v xml:space="preserve">2170671054 </v>
      </c>
      <c r="G312" s="2" t="str">
        <f t="shared" si="9"/>
        <v>ON1</v>
      </c>
      <c r="H312" s="2" t="s">
        <v>20</v>
      </c>
      <c r="I312" s="2" t="s">
        <v>81</v>
      </c>
      <c r="J312" s="2" t="str">
        <f>""</f>
        <v/>
      </c>
      <c r="K312" s="2" t="str">
        <f>"PFES1162670804_0001"</f>
        <v>PFES1162670804_0001</v>
      </c>
      <c r="L312" s="2">
        <v>1</v>
      </c>
      <c r="M312" s="2">
        <v>1</v>
      </c>
    </row>
    <row r="313" spans="1:13">
      <c r="A313" s="6">
        <v>43500</v>
      </c>
      <c r="B313" s="7">
        <v>0.48125000000000001</v>
      </c>
      <c r="C313" s="2" t="str">
        <f>"FES1162670864"</f>
        <v>FES1162670864</v>
      </c>
      <c r="D313" s="2" t="s">
        <v>18</v>
      </c>
      <c r="E313" s="2" t="s">
        <v>332</v>
      </c>
      <c r="F313" s="2" t="str">
        <f>"2170672313 "</f>
        <v xml:space="preserve">2170672313 </v>
      </c>
      <c r="G313" s="2" t="str">
        <f t="shared" si="9"/>
        <v>ON1</v>
      </c>
      <c r="H313" s="2" t="s">
        <v>20</v>
      </c>
      <c r="I313" s="2" t="s">
        <v>333</v>
      </c>
      <c r="J313" s="2" t="str">
        <f>""</f>
        <v/>
      </c>
      <c r="K313" s="2" t="str">
        <f>"PFES1162670864_0001"</f>
        <v>PFES1162670864_0001</v>
      </c>
      <c r="L313" s="2">
        <v>1</v>
      </c>
      <c r="M313" s="2">
        <v>1</v>
      </c>
    </row>
    <row r="314" spans="1:13">
      <c r="A314" s="6">
        <v>43500</v>
      </c>
      <c r="B314" s="7">
        <v>0.48055555555555557</v>
      </c>
      <c r="C314" s="2" t="str">
        <f>"FES1162670815"</f>
        <v>FES1162670815</v>
      </c>
      <c r="D314" s="2" t="s">
        <v>18</v>
      </c>
      <c r="E314" s="2" t="s">
        <v>334</v>
      </c>
      <c r="F314" s="2" t="str">
        <f>"2170671682 "</f>
        <v xml:space="preserve">2170671682 </v>
      </c>
      <c r="G314" s="2" t="str">
        <f t="shared" si="9"/>
        <v>ON1</v>
      </c>
      <c r="H314" s="2" t="s">
        <v>20</v>
      </c>
      <c r="I314" s="2" t="s">
        <v>242</v>
      </c>
      <c r="J314" s="2" t="str">
        <f>""</f>
        <v/>
      </c>
      <c r="K314" s="2" t="str">
        <f>"PFES1162670815_0001"</f>
        <v>PFES1162670815_0001</v>
      </c>
      <c r="L314" s="2">
        <v>1</v>
      </c>
      <c r="M314" s="2">
        <v>1</v>
      </c>
    </row>
    <row r="315" spans="1:13">
      <c r="A315" s="6">
        <v>43500</v>
      </c>
      <c r="B315" s="7">
        <v>0.48055555555555557</v>
      </c>
      <c r="C315" s="2" t="str">
        <f>"FES1162670799"</f>
        <v>FES1162670799</v>
      </c>
      <c r="D315" s="2" t="s">
        <v>18</v>
      </c>
      <c r="E315" s="2" t="s">
        <v>245</v>
      </c>
      <c r="F315" s="2" t="str">
        <f>"2170671243 "</f>
        <v xml:space="preserve">2170671243 </v>
      </c>
      <c r="G315" s="2" t="str">
        <f t="shared" si="9"/>
        <v>ON1</v>
      </c>
      <c r="H315" s="2" t="s">
        <v>20</v>
      </c>
      <c r="I315" s="2" t="s">
        <v>89</v>
      </c>
      <c r="J315" s="2" t="str">
        <f>""</f>
        <v/>
      </c>
      <c r="K315" s="2" t="str">
        <f>"PFES1162670799_0001"</f>
        <v>PFES1162670799_0001</v>
      </c>
      <c r="L315" s="2">
        <v>1</v>
      </c>
      <c r="M315" s="2">
        <v>1</v>
      </c>
    </row>
    <row r="316" spans="1:13">
      <c r="A316" s="6">
        <v>43500</v>
      </c>
      <c r="B316" s="7">
        <v>0.47986111111111113</v>
      </c>
      <c r="C316" s="2" t="str">
        <f>"FES1162670797"</f>
        <v>FES1162670797</v>
      </c>
      <c r="D316" s="2" t="s">
        <v>18</v>
      </c>
      <c r="E316" s="2" t="s">
        <v>178</v>
      </c>
      <c r="F316" s="2" t="str">
        <f>"2170671181 "</f>
        <v xml:space="preserve">2170671181 </v>
      </c>
      <c r="G316" s="2" t="str">
        <f t="shared" si="9"/>
        <v>ON1</v>
      </c>
      <c r="H316" s="2" t="s">
        <v>20</v>
      </c>
      <c r="I316" s="2" t="s">
        <v>103</v>
      </c>
      <c r="J316" s="2" t="str">
        <f>""</f>
        <v/>
      </c>
      <c r="K316" s="2" t="str">
        <f>"PFES1162670797_0001"</f>
        <v>PFES1162670797_0001</v>
      </c>
      <c r="L316" s="2">
        <v>1</v>
      </c>
      <c r="M316" s="2">
        <v>1</v>
      </c>
    </row>
    <row r="317" spans="1:13">
      <c r="A317" s="6">
        <v>43500</v>
      </c>
      <c r="B317" s="7">
        <v>0.47986111111111113</v>
      </c>
      <c r="C317" s="2" t="str">
        <f>"FES1162670811"</f>
        <v>FES1162670811</v>
      </c>
      <c r="D317" s="2" t="s">
        <v>18</v>
      </c>
      <c r="E317" s="2" t="s">
        <v>157</v>
      </c>
      <c r="F317" s="2" t="str">
        <f>"2170671621 "</f>
        <v xml:space="preserve">2170671621 </v>
      </c>
      <c r="G317" s="2" t="str">
        <f t="shared" si="9"/>
        <v>ON1</v>
      </c>
      <c r="H317" s="2" t="s">
        <v>20</v>
      </c>
      <c r="I317" s="2" t="s">
        <v>333</v>
      </c>
      <c r="J317" s="2" t="str">
        <f>""</f>
        <v/>
      </c>
      <c r="K317" s="2" t="str">
        <f>"PFES1162670811_0001"</f>
        <v>PFES1162670811_0001</v>
      </c>
      <c r="L317" s="2">
        <v>1</v>
      </c>
      <c r="M317" s="2">
        <v>1</v>
      </c>
    </row>
    <row r="318" spans="1:13">
      <c r="A318" s="6">
        <v>43500</v>
      </c>
      <c r="B318" s="7">
        <v>0.47916666666666669</v>
      </c>
      <c r="C318" s="2" t="str">
        <f>"FES1162670793"</f>
        <v>FES1162670793</v>
      </c>
      <c r="D318" s="2" t="s">
        <v>18</v>
      </c>
      <c r="E318" s="2" t="s">
        <v>300</v>
      </c>
      <c r="F318" s="2" t="str">
        <f>"2170670970 "</f>
        <v xml:space="preserve">2170670970 </v>
      </c>
      <c r="G318" s="2" t="str">
        <f t="shared" si="9"/>
        <v>ON1</v>
      </c>
      <c r="H318" s="2" t="s">
        <v>20</v>
      </c>
      <c r="I318" s="2" t="s">
        <v>276</v>
      </c>
      <c r="J318" s="2" t="str">
        <f>""</f>
        <v/>
      </c>
      <c r="K318" s="2" t="str">
        <f>"PFES1162670793_0001"</f>
        <v>PFES1162670793_0001</v>
      </c>
      <c r="L318" s="2">
        <v>1</v>
      </c>
      <c r="M318" s="2">
        <v>1</v>
      </c>
    </row>
    <row r="319" spans="1:13">
      <c r="A319" s="6">
        <v>43500</v>
      </c>
      <c r="B319" s="7">
        <v>0.47916666666666669</v>
      </c>
      <c r="C319" s="2" t="str">
        <f>"FES1162670817"</f>
        <v>FES1162670817</v>
      </c>
      <c r="D319" s="2" t="s">
        <v>18</v>
      </c>
      <c r="E319" s="2" t="s">
        <v>335</v>
      </c>
      <c r="F319" s="2" t="str">
        <f>"2170671734 "</f>
        <v xml:space="preserve">2170671734 </v>
      </c>
      <c r="G319" s="2" t="str">
        <f t="shared" si="9"/>
        <v>ON1</v>
      </c>
      <c r="H319" s="2" t="s">
        <v>20</v>
      </c>
      <c r="I319" s="2" t="s">
        <v>336</v>
      </c>
      <c r="J319" s="2" t="str">
        <f>""</f>
        <v/>
      </c>
      <c r="K319" s="2" t="str">
        <f>"PFES1162670817_0001"</f>
        <v>PFES1162670817_0001</v>
      </c>
      <c r="L319" s="2">
        <v>1</v>
      </c>
      <c r="M319" s="2">
        <v>1</v>
      </c>
    </row>
    <row r="320" spans="1:13">
      <c r="A320" s="6">
        <v>43500</v>
      </c>
      <c r="B320" s="7">
        <v>0.47222222222222227</v>
      </c>
      <c r="C320" s="2" t="str">
        <f>"FES1162670780"</f>
        <v>FES1162670780</v>
      </c>
      <c r="D320" s="2" t="s">
        <v>18</v>
      </c>
      <c r="E320" s="2" t="s">
        <v>337</v>
      </c>
      <c r="F320" s="2" t="str">
        <f>"2170670701 "</f>
        <v xml:space="preserve">2170670701 </v>
      </c>
      <c r="G320" s="2" t="str">
        <f t="shared" si="9"/>
        <v>ON1</v>
      </c>
      <c r="H320" s="2" t="s">
        <v>20</v>
      </c>
      <c r="I320" s="2" t="s">
        <v>338</v>
      </c>
      <c r="J320" s="2" t="str">
        <f>""</f>
        <v/>
      </c>
      <c r="K320" s="2" t="str">
        <f>"PFES1162670780_0001"</f>
        <v>PFES1162670780_0001</v>
      </c>
      <c r="L320" s="2">
        <v>1</v>
      </c>
      <c r="M320" s="2">
        <v>4</v>
      </c>
    </row>
    <row r="321" spans="1:13">
      <c r="A321" s="6">
        <v>43500</v>
      </c>
      <c r="B321" s="7">
        <v>0.47152777777777777</v>
      </c>
      <c r="C321" s="2" t="str">
        <f>"FES1162670764"</f>
        <v>FES1162670764</v>
      </c>
      <c r="D321" s="2" t="s">
        <v>18</v>
      </c>
      <c r="E321" s="2" t="s">
        <v>339</v>
      </c>
      <c r="F321" s="2" t="str">
        <f>"2170669405 "</f>
        <v xml:space="preserve">2170669405 </v>
      </c>
      <c r="G321" s="2" t="str">
        <f t="shared" si="9"/>
        <v>ON1</v>
      </c>
      <c r="H321" s="2" t="s">
        <v>20</v>
      </c>
      <c r="I321" s="2" t="s">
        <v>37</v>
      </c>
      <c r="J321" s="2" t="str">
        <f>""</f>
        <v/>
      </c>
      <c r="K321" s="2" t="str">
        <f>"PFES1162670764_0001"</f>
        <v>PFES1162670764_0001</v>
      </c>
      <c r="L321" s="2">
        <v>2</v>
      </c>
      <c r="M321" s="2">
        <v>9</v>
      </c>
    </row>
    <row r="322" spans="1:13">
      <c r="A322" s="6">
        <v>43500</v>
      </c>
      <c r="B322" s="7">
        <v>0.47152777777777777</v>
      </c>
      <c r="C322" s="2" t="str">
        <f>"FES1162670764"</f>
        <v>FES1162670764</v>
      </c>
      <c r="D322" s="2" t="s">
        <v>18</v>
      </c>
      <c r="E322" s="2" t="s">
        <v>339</v>
      </c>
      <c r="F322" s="2" t="str">
        <f>"2170669405 "</f>
        <v xml:space="preserve">2170669405 </v>
      </c>
      <c r="G322" s="2" t="str">
        <f t="shared" si="9"/>
        <v>ON1</v>
      </c>
      <c r="H322" s="2" t="s">
        <v>20</v>
      </c>
      <c r="I322" s="2" t="s">
        <v>37</v>
      </c>
      <c r="J322" s="2"/>
      <c r="K322" s="2" t="str">
        <f>"PFES1162670764_0002"</f>
        <v>PFES1162670764_0002</v>
      </c>
      <c r="L322" s="2">
        <v>2</v>
      </c>
      <c r="M322" s="2">
        <v>9</v>
      </c>
    </row>
    <row r="323" spans="1:13">
      <c r="A323" s="6">
        <v>43500</v>
      </c>
      <c r="B323" s="7">
        <v>0.4694444444444445</v>
      </c>
      <c r="C323" s="2" t="str">
        <f>"FES1162670821"</f>
        <v>FES1162670821</v>
      </c>
      <c r="D323" s="2" t="s">
        <v>18</v>
      </c>
      <c r="E323" s="2" t="s">
        <v>340</v>
      </c>
      <c r="F323" s="2" t="str">
        <f>"2170671789 "</f>
        <v xml:space="preserve">2170671789 </v>
      </c>
      <c r="G323" s="2" t="str">
        <f>"ON1"</f>
        <v>ON1</v>
      </c>
      <c r="H323" s="2" t="s">
        <v>20</v>
      </c>
      <c r="I323" s="2" t="s">
        <v>341</v>
      </c>
      <c r="J323" s="2" t="str">
        <f>""</f>
        <v/>
      </c>
      <c r="K323" s="2" t="str">
        <f>"PFES1162670821_0001"</f>
        <v>PFES1162670821_0001</v>
      </c>
      <c r="L323" s="2">
        <v>1</v>
      </c>
      <c r="M323" s="2">
        <v>4</v>
      </c>
    </row>
    <row r="324" spans="1:13">
      <c r="A324" s="6">
        <v>43500</v>
      </c>
      <c r="B324" s="7">
        <v>0.4680555555555555</v>
      </c>
      <c r="C324" s="2" t="str">
        <f>"FES1162670807"</f>
        <v>FES1162670807</v>
      </c>
      <c r="D324" s="2" t="s">
        <v>18</v>
      </c>
      <c r="E324" s="2" t="s">
        <v>342</v>
      </c>
      <c r="F324" s="2" t="str">
        <f>"2170671545 "</f>
        <v xml:space="preserve">2170671545 </v>
      </c>
      <c r="G324" s="2" t="str">
        <f>"ON1"</f>
        <v>ON1</v>
      </c>
      <c r="H324" s="2" t="s">
        <v>20</v>
      </c>
      <c r="I324" s="2" t="s">
        <v>139</v>
      </c>
      <c r="J324" s="2" t="str">
        <f>""</f>
        <v/>
      </c>
      <c r="K324" s="2" t="str">
        <f>"PFES1162670807_0001"</f>
        <v>PFES1162670807_0001</v>
      </c>
      <c r="L324" s="2">
        <v>2</v>
      </c>
      <c r="M324" s="2">
        <v>6</v>
      </c>
    </row>
    <row r="325" spans="1:13">
      <c r="A325" s="6">
        <v>43500</v>
      </c>
      <c r="B325" s="7">
        <v>0.4680555555555555</v>
      </c>
      <c r="C325" s="2" t="str">
        <f>"FES1162670807"</f>
        <v>FES1162670807</v>
      </c>
      <c r="D325" s="2" t="s">
        <v>18</v>
      </c>
      <c r="E325" s="2" t="s">
        <v>342</v>
      </c>
      <c r="F325" s="2" t="str">
        <f>"2170671545 "</f>
        <v xml:space="preserve">2170671545 </v>
      </c>
      <c r="G325" s="2" t="str">
        <f>"ON1"</f>
        <v>ON1</v>
      </c>
      <c r="H325" s="2" t="s">
        <v>20</v>
      </c>
      <c r="I325" s="2" t="s">
        <v>139</v>
      </c>
      <c r="J325" s="2"/>
      <c r="K325" s="2" t="str">
        <f>"PFES1162670807_0002"</f>
        <v>PFES1162670807_0002</v>
      </c>
      <c r="L325" s="2">
        <v>2</v>
      </c>
      <c r="M325" s="2">
        <v>6</v>
      </c>
    </row>
    <row r="326" spans="1:13">
      <c r="A326" s="6">
        <v>43500</v>
      </c>
      <c r="B326" s="7">
        <v>0.46666666666666662</v>
      </c>
      <c r="C326" s="2" t="str">
        <f>"FES1162670730"</f>
        <v>FES1162670730</v>
      </c>
      <c r="D326" s="2" t="s">
        <v>18</v>
      </c>
      <c r="E326" s="2" t="s">
        <v>273</v>
      </c>
      <c r="F326" s="2" t="str">
        <f>"2170671855 "</f>
        <v xml:space="preserve">2170671855 </v>
      </c>
      <c r="G326" s="2" t="str">
        <f>"ON1"</f>
        <v>ON1</v>
      </c>
      <c r="H326" s="2" t="s">
        <v>20</v>
      </c>
      <c r="I326" s="2" t="s">
        <v>274</v>
      </c>
      <c r="J326" s="2" t="str">
        <f>""</f>
        <v/>
      </c>
      <c r="K326" s="2" t="str">
        <f>"PFES1162670730_0001"</f>
        <v>PFES1162670730_0001</v>
      </c>
      <c r="L326" s="2">
        <v>1</v>
      </c>
      <c r="M326" s="2">
        <v>3</v>
      </c>
    </row>
    <row r="327" spans="1:13">
      <c r="A327" s="6">
        <v>43500</v>
      </c>
      <c r="B327" s="7">
        <v>0.46597222222222223</v>
      </c>
      <c r="C327" s="2" t="str">
        <f>"FES1162670768"</f>
        <v>FES1162670768</v>
      </c>
      <c r="D327" s="2" t="s">
        <v>18</v>
      </c>
      <c r="E327" s="2" t="s">
        <v>289</v>
      </c>
      <c r="F327" s="2" t="str">
        <f>"2170669881 "</f>
        <v xml:space="preserve">2170669881 </v>
      </c>
      <c r="G327" s="2" t="str">
        <f>"ON1"</f>
        <v>ON1</v>
      </c>
      <c r="H327" s="2" t="s">
        <v>20</v>
      </c>
      <c r="I327" s="2" t="s">
        <v>290</v>
      </c>
      <c r="J327" s="2" t="str">
        <f>""</f>
        <v/>
      </c>
      <c r="K327" s="2" t="str">
        <f>"PFES1162670768_0001"</f>
        <v>PFES1162670768_0001</v>
      </c>
      <c r="L327" s="2">
        <v>1</v>
      </c>
      <c r="M327" s="2">
        <v>1</v>
      </c>
    </row>
    <row r="328" spans="1:13">
      <c r="A328" s="6">
        <v>43500</v>
      </c>
      <c r="B328" s="7">
        <v>0.46458333333333335</v>
      </c>
      <c r="C328" s="2" t="str">
        <f>"FES1162670851"</f>
        <v>FES1162670851</v>
      </c>
      <c r="D328" s="2" t="s">
        <v>18</v>
      </c>
      <c r="E328" s="2" t="s">
        <v>343</v>
      </c>
      <c r="F328" s="2" t="str">
        <f>"2170672288 "</f>
        <v xml:space="preserve">2170672288 </v>
      </c>
      <c r="G328" s="2" t="str">
        <f>"DBC"</f>
        <v>DBC</v>
      </c>
      <c r="H328" s="2" t="s">
        <v>20</v>
      </c>
      <c r="I328" s="2" t="s">
        <v>215</v>
      </c>
      <c r="J328" s="2" t="str">
        <f>"FRAGILE OIL"</f>
        <v>FRAGILE OIL</v>
      </c>
      <c r="K328" s="2" t="str">
        <f>"PFES1162670851_0001"</f>
        <v>PFES1162670851_0001</v>
      </c>
      <c r="L328" s="2">
        <v>1</v>
      </c>
      <c r="M328" s="2">
        <v>2</v>
      </c>
    </row>
    <row r="329" spans="1:13">
      <c r="A329" s="6">
        <v>43500</v>
      </c>
      <c r="B329" s="7">
        <v>0.46388888888888885</v>
      </c>
      <c r="C329" s="2" t="str">
        <f>"FES1162670826"</f>
        <v>FES1162670826</v>
      </c>
      <c r="D329" s="2" t="s">
        <v>18</v>
      </c>
      <c r="E329" s="2" t="s">
        <v>38</v>
      </c>
      <c r="F329" s="2" t="str">
        <f>"2170671894 "</f>
        <v xml:space="preserve">2170671894 </v>
      </c>
      <c r="G329" s="2" t="str">
        <f t="shared" ref="G329:G392" si="10">"ON1"</f>
        <v>ON1</v>
      </c>
      <c r="H329" s="2" t="s">
        <v>20</v>
      </c>
      <c r="I329" s="2" t="s">
        <v>39</v>
      </c>
      <c r="J329" s="2" t="str">
        <f>""</f>
        <v/>
      </c>
      <c r="K329" s="2" t="str">
        <f>"PFES1162670826_0001"</f>
        <v>PFES1162670826_0001</v>
      </c>
      <c r="L329" s="2">
        <v>1</v>
      </c>
      <c r="M329" s="2">
        <v>7</v>
      </c>
    </row>
    <row r="330" spans="1:13">
      <c r="A330" s="6">
        <v>43500</v>
      </c>
      <c r="B330" s="7">
        <v>0.46249999999999997</v>
      </c>
      <c r="C330" s="2" t="str">
        <f>"FES1162670767"</f>
        <v>FES1162670767</v>
      </c>
      <c r="D330" s="2" t="s">
        <v>18</v>
      </c>
      <c r="E330" s="2" t="s">
        <v>38</v>
      </c>
      <c r="F330" s="2" t="str">
        <f>"2170669691 "</f>
        <v xml:space="preserve">2170669691 </v>
      </c>
      <c r="G330" s="2" t="str">
        <f t="shared" si="10"/>
        <v>ON1</v>
      </c>
      <c r="H330" s="2" t="s">
        <v>20</v>
      </c>
      <c r="I330" s="2" t="s">
        <v>39</v>
      </c>
      <c r="J330" s="2" t="str">
        <f>""</f>
        <v/>
      </c>
      <c r="K330" s="2" t="str">
        <f>"PFES1162670767_0001"</f>
        <v>PFES1162670767_0001</v>
      </c>
      <c r="L330" s="2">
        <v>1</v>
      </c>
      <c r="M330" s="2">
        <v>1</v>
      </c>
    </row>
    <row r="331" spans="1:13">
      <c r="A331" s="6">
        <v>43500</v>
      </c>
      <c r="B331" s="7">
        <v>0.46180555555555558</v>
      </c>
      <c r="C331" s="2" t="str">
        <f>"FES1162670800"</f>
        <v>FES1162670800</v>
      </c>
      <c r="D331" s="2" t="s">
        <v>18</v>
      </c>
      <c r="E331" s="2" t="s">
        <v>136</v>
      </c>
      <c r="F331" s="2" t="str">
        <f>"2170671285 "</f>
        <v xml:space="preserve">2170671285 </v>
      </c>
      <c r="G331" s="2" t="str">
        <f t="shared" si="10"/>
        <v>ON1</v>
      </c>
      <c r="H331" s="2" t="s">
        <v>20</v>
      </c>
      <c r="I331" s="2" t="s">
        <v>137</v>
      </c>
      <c r="J331" s="2" t="str">
        <f>""</f>
        <v/>
      </c>
      <c r="K331" s="2" t="str">
        <f>"PFES1162670800_0001"</f>
        <v>PFES1162670800_0001</v>
      </c>
      <c r="L331" s="2">
        <v>1</v>
      </c>
      <c r="M331" s="2">
        <v>1</v>
      </c>
    </row>
    <row r="332" spans="1:13">
      <c r="A332" s="6">
        <v>43500</v>
      </c>
      <c r="B332" s="7">
        <v>0.4604166666666667</v>
      </c>
      <c r="C332" s="2" t="str">
        <f>"FES1162670808"</f>
        <v>FES1162670808</v>
      </c>
      <c r="D332" s="2" t="s">
        <v>18</v>
      </c>
      <c r="E332" s="2" t="s">
        <v>344</v>
      </c>
      <c r="F332" s="2" t="str">
        <f>"2170671594 "</f>
        <v xml:space="preserve">2170671594 </v>
      </c>
      <c r="G332" s="2" t="str">
        <f t="shared" si="10"/>
        <v>ON1</v>
      </c>
      <c r="H332" s="2" t="s">
        <v>20</v>
      </c>
      <c r="I332" s="2" t="s">
        <v>345</v>
      </c>
      <c r="J332" s="2" t="str">
        <f>""</f>
        <v/>
      </c>
      <c r="K332" s="2" t="str">
        <f>"PFES1162670808_0001"</f>
        <v>PFES1162670808_0001</v>
      </c>
      <c r="L332" s="2">
        <v>1</v>
      </c>
      <c r="M332" s="2">
        <v>6</v>
      </c>
    </row>
    <row r="333" spans="1:13">
      <c r="A333" s="6">
        <v>43500</v>
      </c>
      <c r="B333" s="7">
        <v>0.4597222222222222</v>
      </c>
      <c r="C333" s="2" t="str">
        <f>"FES1162670759"</f>
        <v>FES1162670759</v>
      </c>
      <c r="D333" s="2" t="s">
        <v>18</v>
      </c>
      <c r="E333" s="2" t="s">
        <v>38</v>
      </c>
      <c r="F333" s="2" t="str">
        <f>"2170668648 "</f>
        <v xml:space="preserve">2170668648 </v>
      </c>
      <c r="G333" s="2" t="str">
        <f t="shared" si="10"/>
        <v>ON1</v>
      </c>
      <c r="H333" s="2" t="s">
        <v>20</v>
      </c>
      <c r="I333" s="2" t="s">
        <v>39</v>
      </c>
      <c r="J333" s="2" t="str">
        <f>""</f>
        <v/>
      </c>
      <c r="K333" s="2" t="str">
        <f>"PFES1162670759_0001"</f>
        <v>PFES1162670759_0001</v>
      </c>
      <c r="L333" s="2">
        <v>1</v>
      </c>
      <c r="M333" s="2">
        <v>13</v>
      </c>
    </row>
    <row r="334" spans="1:13">
      <c r="A334" s="6">
        <v>43500</v>
      </c>
      <c r="B334" s="7">
        <v>0.45902777777777781</v>
      </c>
      <c r="C334" s="2" t="str">
        <f>"FES1162670761"</f>
        <v>FES1162670761</v>
      </c>
      <c r="D334" s="2" t="s">
        <v>18</v>
      </c>
      <c r="E334" s="2" t="s">
        <v>38</v>
      </c>
      <c r="F334" s="2" t="str">
        <f>"2170668980 "</f>
        <v xml:space="preserve">2170668980 </v>
      </c>
      <c r="G334" s="2" t="str">
        <f t="shared" si="10"/>
        <v>ON1</v>
      </c>
      <c r="H334" s="2" t="s">
        <v>20</v>
      </c>
      <c r="I334" s="2" t="s">
        <v>39</v>
      </c>
      <c r="J334" s="2" t="str">
        <f>""</f>
        <v/>
      </c>
      <c r="K334" s="2" t="str">
        <f>"PFES1162670761_0001"</f>
        <v>PFES1162670761_0001</v>
      </c>
      <c r="L334" s="2">
        <v>1</v>
      </c>
      <c r="M334" s="2">
        <v>10</v>
      </c>
    </row>
    <row r="335" spans="1:13">
      <c r="A335" s="6">
        <v>43500</v>
      </c>
      <c r="B335" s="7">
        <v>0.44305555555555554</v>
      </c>
      <c r="C335" s="2" t="str">
        <f>"FES1162670773"</f>
        <v>FES1162670773</v>
      </c>
      <c r="D335" s="2" t="s">
        <v>18</v>
      </c>
      <c r="E335" s="2" t="s">
        <v>346</v>
      </c>
      <c r="F335" s="2" t="str">
        <f>"2170670395 "</f>
        <v xml:space="preserve">2170670395 </v>
      </c>
      <c r="G335" s="2" t="str">
        <f t="shared" si="10"/>
        <v>ON1</v>
      </c>
      <c r="H335" s="2" t="s">
        <v>20</v>
      </c>
      <c r="I335" s="2" t="s">
        <v>143</v>
      </c>
      <c r="J335" s="2" t="str">
        <f>""</f>
        <v/>
      </c>
      <c r="K335" s="2" t="str">
        <f>"PFES1162670773_0001"</f>
        <v>PFES1162670773_0001</v>
      </c>
      <c r="L335" s="2">
        <v>1</v>
      </c>
      <c r="M335" s="2">
        <v>1</v>
      </c>
    </row>
    <row r="336" spans="1:13">
      <c r="A336" s="6">
        <v>43500</v>
      </c>
      <c r="B336" s="7">
        <v>0.44305555555555554</v>
      </c>
      <c r="C336" s="2" t="str">
        <f>"FES1162670824"</f>
        <v>FES1162670824</v>
      </c>
      <c r="D336" s="2" t="s">
        <v>18</v>
      </c>
      <c r="E336" s="2" t="s">
        <v>347</v>
      </c>
      <c r="F336" s="2" t="str">
        <f>"2170671831 "</f>
        <v xml:space="preserve">2170671831 </v>
      </c>
      <c r="G336" s="2" t="str">
        <f t="shared" si="10"/>
        <v>ON1</v>
      </c>
      <c r="H336" s="2" t="s">
        <v>20</v>
      </c>
      <c r="I336" s="2" t="s">
        <v>290</v>
      </c>
      <c r="J336" s="2" t="str">
        <f>""</f>
        <v/>
      </c>
      <c r="K336" s="2" t="str">
        <f>"PFES1162670824_0001"</f>
        <v>PFES1162670824_0001</v>
      </c>
      <c r="L336" s="2">
        <v>1</v>
      </c>
      <c r="M336" s="2">
        <v>1</v>
      </c>
    </row>
    <row r="337" spans="1:13">
      <c r="A337" s="6">
        <v>43500</v>
      </c>
      <c r="B337" s="7">
        <v>0.44305555555555554</v>
      </c>
      <c r="C337" s="2" t="str">
        <f>"FES1162670868"</f>
        <v>FES1162670868</v>
      </c>
      <c r="D337" s="2" t="s">
        <v>18</v>
      </c>
      <c r="E337" s="2" t="s">
        <v>316</v>
      </c>
      <c r="F337" s="2" t="str">
        <f>"2170672321 "</f>
        <v xml:space="preserve">2170672321 </v>
      </c>
      <c r="G337" s="2" t="str">
        <f t="shared" si="10"/>
        <v>ON1</v>
      </c>
      <c r="H337" s="2" t="s">
        <v>20</v>
      </c>
      <c r="I337" s="2" t="s">
        <v>272</v>
      </c>
      <c r="J337" s="2" t="str">
        <f>""</f>
        <v/>
      </c>
      <c r="K337" s="2" t="str">
        <f>"PFES1162670868_0001"</f>
        <v>PFES1162670868_0001</v>
      </c>
      <c r="L337" s="2">
        <v>1</v>
      </c>
      <c r="M337" s="2">
        <v>1</v>
      </c>
    </row>
    <row r="338" spans="1:13">
      <c r="A338" s="6">
        <v>43500</v>
      </c>
      <c r="B338" s="7">
        <v>0.44236111111111115</v>
      </c>
      <c r="C338" s="2" t="str">
        <f>"FES1162670739"</f>
        <v>FES1162670739</v>
      </c>
      <c r="D338" s="2" t="s">
        <v>18</v>
      </c>
      <c r="E338" s="2" t="s">
        <v>348</v>
      </c>
      <c r="F338" s="2" t="str">
        <f>"2170661072 "</f>
        <v xml:space="preserve">2170661072 </v>
      </c>
      <c r="G338" s="2" t="str">
        <f t="shared" si="10"/>
        <v>ON1</v>
      </c>
      <c r="H338" s="2" t="s">
        <v>20</v>
      </c>
      <c r="I338" s="2" t="s">
        <v>349</v>
      </c>
      <c r="J338" s="2" t="str">
        <f>""</f>
        <v/>
      </c>
      <c r="K338" s="2" t="str">
        <f>"PFES1162670739_0001"</f>
        <v>PFES1162670739_0001</v>
      </c>
      <c r="L338" s="2">
        <v>1</v>
      </c>
      <c r="M338" s="2">
        <v>1</v>
      </c>
    </row>
    <row r="339" spans="1:13">
      <c r="A339" s="6">
        <v>43500</v>
      </c>
      <c r="B339" s="7">
        <v>0.44166666666666665</v>
      </c>
      <c r="C339" s="2" t="str">
        <f>"FES1162670766"</f>
        <v>FES1162670766</v>
      </c>
      <c r="D339" s="2" t="s">
        <v>18</v>
      </c>
      <c r="E339" s="2" t="s">
        <v>350</v>
      </c>
      <c r="F339" s="2" t="str">
        <f>"2170669567 "</f>
        <v xml:space="preserve">2170669567 </v>
      </c>
      <c r="G339" s="2" t="str">
        <f t="shared" si="10"/>
        <v>ON1</v>
      </c>
      <c r="H339" s="2" t="s">
        <v>20</v>
      </c>
      <c r="I339" s="2" t="s">
        <v>351</v>
      </c>
      <c r="J339" s="2" t="str">
        <f>""</f>
        <v/>
      </c>
      <c r="K339" s="2" t="str">
        <f>"PFES1162670766_0001"</f>
        <v>PFES1162670766_0001</v>
      </c>
      <c r="L339" s="2">
        <v>1</v>
      </c>
      <c r="M339" s="2">
        <v>1</v>
      </c>
    </row>
    <row r="340" spans="1:13">
      <c r="A340" s="6">
        <v>43500</v>
      </c>
      <c r="B340" s="7">
        <v>0.44097222222222227</v>
      </c>
      <c r="C340" s="2" t="str">
        <f>"FES1162670871"</f>
        <v>FES1162670871</v>
      </c>
      <c r="D340" s="2" t="s">
        <v>18</v>
      </c>
      <c r="E340" s="2" t="s">
        <v>352</v>
      </c>
      <c r="F340" s="2" t="str">
        <f>"2170672326 "</f>
        <v xml:space="preserve">2170672326 </v>
      </c>
      <c r="G340" s="2" t="str">
        <f t="shared" si="10"/>
        <v>ON1</v>
      </c>
      <c r="H340" s="2" t="s">
        <v>20</v>
      </c>
      <c r="I340" s="2" t="s">
        <v>353</v>
      </c>
      <c r="J340" s="2" t="str">
        <f>""</f>
        <v/>
      </c>
      <c r="K340" s="2" t="str">
        <f>"PFES1162670871_0001"</f>
        <v>PFES1162670871_0001</v>
      </c>
      <c r="L340" s="2">
        <v>1</v>
      </c>
      <c r="M340" s="2">
        <v>1</v>
      </c>
    </row>
    <row r="341" spans="1:13">
      <c r="A341" s="6">
        <v>43500</v>
      </c>
      <c r="B341" s="7">
        <v>0.44097222222222227</v>
      </c>
      <c r="C341" s="2" t="str">
        <f>"FES1162670862"</f>
        <v>FES1162670862</v>
      </c>
      <c r="D341" s="2" t="s">
        <v>18</v>
      </c>
      <c r="E341" s="2" t="s">
        <v>344</v>
      </c>
      <c r="F341" s="2" t="str">
        <f>"2170672310 "</f>
        <v xml:space="preserve">2170672310 </v>
      </c>
      <c r="G341" s="2" t="str">
        <f t="shared" si="10"/>
        <v>ON1</v>
      </c>
      <c r="H341" s="2" t="s">
        <v>20</v>
      </c>
      <c r="I341" s="2" t="s">
        <v>345</v>
      </c>
      <c r="J341" s="2" t="str">
        <f>""</f>
        <v/>
      </c>
      <c r="K341" s="2" t="str">
        <f>"PFES1162670862_0001"</f>
        <v>PFES1162670862_0001</v>
      </c>
      <c r="L341" s="2">
        <v>1</v>
      </c>
      <c r="M341" s="2">
        <v>1</v>
      </c>
    </row>
    <row r="342" spans="1:13">
      <c r="A342" s="6">
        <v>43500</v>
      </c>
      <c r="B342" s="7">
        <v>0.44027777777777777</v>
      </c>
      <c r="C342" s="2" t="str">
        <f>"FES1162670853"</f>
        <v>FES1162670853</v>
      </c>
      <c r="D342" s="2" t="s">
        <v>18</v>
      </c>
      <c r="E342" s="2" t="s">
        <v>354</v>
      </c>
      <c r="F342" s="2" t="str">
        <f>"2170672290 "</f>
        <v xml:space="preserve">2170672290 </v>
      </c>
      <c r="G342" s="2" t="str">
        <f t="shared" si="10"/>
        <v>ON1</v>
      </c>
      <c r="H342" s="2" t="s">
        <v>20</v>
      </c>
      <c r="I342" s="2" t="s">
        <v>63</v>
      </c>
      <c r="J342" s="2" t="str">
        <f>""</f>
        <v/>
      </c>
      <c r="K342" s="2" t="str">
        <f>"PFES1162670853_0001"</f>
        <v>PFES1162670853_0001</v>
      </c>
      <c r="L342" s="2">
        <v>1</v>
      </c>
      <c r="M342" s="2">
        <v>1</v>
      </c>
    </row>
    <row r="343" spans="1:13">
      <c r="A343" s="6">
        <v>43500</v>
      </c>
      <c r="B343" s="7">
        <v>0.44027777777777777</v>
      </c>
      <c r="C343" s="2" t="str">
        <f>"FES1162670827"</f>
        <v>FES1162670827</v>
      </c>
      <c r="D343" s="2" t="s">
        <v>18</v>
      </c>
      <c r="E343" s="2" t="s">
        <v>166</v>
      </c>
      <c r="F343" s="2" t="str">
        <f>"2170671897 "</f>
        <v xml:space="preserve">2170671897 </v>
      </c>
      <c r="G343" s="2" t="str">
        <f t="shared" si="10"/>
        <v>ON1</v>
      </c>
      <c r="H343" s="2" t="s">
        <v>20</v>
      </c>
      <c r="I343" s="2" t="s">
        <v>167</v>
      </c>
      <c r="J343" s="2" t="str">
        <f>""</f>
        <v/>
      </c>
      <c r="K343" s="2" t="str">
        <f>"PFES1162670827_0001"</f>
        <v>PFES1162670827_0001</v>
      </c>
      <c r="L343" s="2">
        <v>1</v>
      </c>
      <c r="M343" s="2">
        <v>1</v>
      </c>
    </row>
    <row r="344" spans="1:13">
      <c r="A344" s="6">
        <v>43500</v>
      </c>
      <c r="B344" s="7">
        <v>0.43958333333333338</v>
      </c>
      <c r="C344" s="2" t="str">
        <f>"FES1162670775"</f>
        <v>FES1162670775</v>
      </c>
      <c r="D344" s="2" t="s">
        <v>18</v>
      </c>
      <c r="E344" s="2" t="s">
        <v>355</v>
      </c>
      <c r="F344" s="2" t="str">
        <f>"2170670408 "</f>
        <v xml:space="preserve">2170670408 </v>
      </c>
      <c r="G344" s="2" t="str">
        <f t="shared" si="10"/>
        <v>ON1</v>
      </c>
      <c r="H344" s="2" t="s">
        <v>20</v>
      </c>
      <c r="I344" s="2" t="s">
        <v>59</v>
      </c>
      <c r="J344" s="2" t="str">
        <f>""</f>
        <v/>
      </c>
      <c r="K344" s="2" t="str">
        <f>"PFES1162670775_0001"</f>
        <v>PFES1162670775_0001</v>
      </c>
      <c r="L344" s="2">
        <v>1</v>
      </c>
      <c r="M344" s="2">
        <v>1</v>
      </c>
    </row>
    <row r="345" spans="1:13">
      <c r="A345" s="6">
        <v>43500</v>
      </c>
      <c r="B345" s="7">
        <v>0.43958333333333338</v>
      </c>
      <c r="C345" s="2" t="str">
        <f>"FES1162670788"</f>
        <v>FES1162670788</v>
      </c>
      <c r="D345" s="2" t="s">
        <v>18</v>
      </c>
      <c r="E345" s="2" t="s">
        <v>120</v>
      </c>
      <c r="F345" s="2" t="str">
        <f>"2170670886 "</f>
        <v xml:space="preserve">2170670886 </v>
      </c>
      <c r="G345" s="2" t="str">
        <f t="shared" si="10"/>
        <v>ON1</v>
      </c>
      <c r="H345" s="2" t="s">
        <v>20</v>
      </c>
      <c r="I345" s="2" t="s">
        <v>121</v>
      </c>
      <c r="J345" s="2" t="str">
        <f>""</f>
        <v/>
      </c>
      <c r="K345" s="2" t="str">
        <f>"PFES1162670788_0001"</f>
        <v>PFES1162670788_0001</v>
      </c>
      <c r="L345" s="2">
        <v>1</v>
      </c>
      <c r="M345" s="2">
        <v>1</v>
      </c>
    </row>
    <row r="346" spans="1:13">
      <c r="A346" s="6">
        <v>43500</v>
      </c>
      <c r="B346" s="7">
        <v>0.43888888888888888</v>
      </c>
      <c r="C346" s="2" t="str">
        <f>"FES1162670849"</f>
        <v>FES1162670849</v>
      </c>
      <c r="D346" s="2" t="s">
        <v>18</v>
      </c>
      <c r="E346" s="2" t="s">
        <v>343</v>
      </c>
      <c r="F346" s="2" t="str">
        <f>"2170672283 "</f>
        <v xml:space="preserve">2170672283 </v>
      </c>
      <c r="G346" s="2" t="str">
        <f t="shared" si="10"/>
        <v>ON1</v>
      </c>
      <c r="H346" s="2" t="s">
        <v>20</v>
      </c>
      <c r="I346" s="2" t="s">
        <v>215</v>
      </c>
      <c r="J346" s="2" t="str">
        <f>""</f>
        <v/>
      </c>
      <c r="K346" s="2" t="str">
        <f>"PFES1162670849_0001"</f>
        <v>PFES1162670849_0001</v>
      </c>
      <c r="L346" s="2">
        <v>1</v>
      </c>
      <c r="M346" s="2">
        <v>1</v>
      </c>
    </row>
    <row r="347" spans="1:13">
      <c r="A347" s="6">
        <v>43500</v>
      </c>
      <c r="B347" s="7">
        <v>0.43888888888888888</v>
      </c>
      <c r="C347" s="2" t="str">
        <f>"FES1162670742"</f>
        <v>FES1162670742</v>
      </c>
      <c r="D347" s="2" t="s">
        <v>18</v>
      </c>
      <c r="E347" s="2" t="s">
        <v>356</v>
      </c>
      <c r="F347" s="2" t="str">
        <f>"217066077 "</f>
        <v xml:space="preserve">217066077 </v>
      </c>
      <c r="G347" s="2" t="str">
        <f t="shared" si="10"/>
        <v>ON1</v>
      </c>
      <c r="H347" s="2" t="s">
        <v>20</v>
      </c>
      <c r="I347" s="2" t="s">
        <v>357</v>
      </c>
      <c r="J347" s="2" t="str">
        <f>""</f>
        <v/>
      </c>
      <c r="K347" s="2" t="str">
        <f>"PFES1162670742_0001"</f>
        <v>PFES1162670742_0001</v>
      </c>
      <c r="L347" s="2">
        <v>1</v>
      </c>
      <c r="M347" s="2">
        <v>1</v>
      </c>
    </row>
    <row r="348" spans="1:13">
      <c r="A348" s="6">
        <v>43500</v>
      </c>
      <c r="B348" s="7">
        <v>0.43888888888888888</v>
      </c>
      <c r="C348" s="2" t="str">
        <f>"FES1162670861"</f>
        <v>FES1162670861</v>
      </c>
      <c r="D348" s="2" t="s">
        <v>18</v>
      </c>
      <c r="E348" s="2" t="s">
        <v>195</v>
      </c>
      <c r="F348" s="2" t="str">
        <f>"2170672308 "</f>
        <v xml:space="preserve">2170672308 </v>
      </c>
      <c r="G348" s="2" t="str">
        <f t="shared" si="10"/>
        <v>ON1</v>
      </c>
      <c r="H348" s="2" t="s">
        <v>20</v>
      </c>
      <c r="I348" s="2" t="s">
        <v>96</v>
      </c>
      <c r="J348" s="2" t="str">
        <f>""</f>
        <v/>
      </c>
      <c r="K348" s="2" t="str">
        <f>"PFES1162670861_0001"</f>
        <v>PFES1162670861_0001</v>
      </c>
      <c r="L348" s="2">
        <v>1</v>
      </c>
      <c r="M348" s="2">
        <v>1</v>
      </c>
    </row>
    <row r="349" spans="1:13">
      <c r="A349" s="6">
        <v>43500</v>
      </c>
      <c r="B349" s="7">
        <v>0.4381944444444445</v>
      </c>
      <c r="C349" s="2" t="str">
        <f>"FES1162670795"</f>
        <v>FES1162670795</v>
      </c>
      <c r="D349" s="2" t="s">
        <v>18</v>
      </c>
      <c r="E349" s="2" t="s">
        <v>339</v>
      </c>
      <c r="F349" s="2" t="str">
        <f>"2170671062 "</f>
        <v xml:space="preserve">2170671062 </v>
      </c>
      <c r="G349" s="2" t="str">
        <f t="shared" si="10"/>
        <v>ON1</v>
      </c>
      <c r="H349" s="2" t="s">
        <v>20</v>
      </c>
      <c r="I349" s="2" t="s">
        <v>37</v>
      </c>
      <c r="J349" s="2" t="str">
        <f>""</f>
        <v/>
      </c>
      <c r="K349" s="2" t="str">
        <f>"PFES1162670795_0001"</f>
        <v>PFES1162670795_0001</v>
      </c>
      <c r="L349" s="2">
        <v>1</v>
      </c>
      <c r="M349" s="2">
        <v>1</v>
      </c>
    </row>
    <row r="350" spans="1:13">
      <c r="A350" s="6">
        <v>43500</v>
      </c>
      <c r="B350" s="7">
        <v>0.4381944444444445</v>
      </c>
      <c r="C350" s="2" t="str">
        <f>"FES1162670790"</f>
        <v>FES1162670790</v>
      </c>
      <c r="D350" s="2" t="s">
        <v>18</v>
      </c>
      <c r="E350" s="2" t="s">
        <v>312</v>
      </c>
      <c r="F350" s="2" t="str">
        <f>"2170670942 "</f>
        <v xml:space="preserve">2170670942 </v>
      </c>
      <c r="G350" s="2" t="str">
        <f t="shared" si="10"/>
        <v>ON1</v>
      </c>
      <c r="H350" s="2" t="s">
        <v>20</v>
      </c>
      <c r="I350" s="2" t="s">
        <v>70</v>
      </c>
      <c r="J350" s="2" t="str">
        <f>""</f>
        <v/>
      </c>
      <c r="K350" s="2" t="str">
        <f>"PFES1162670790_0001"</f>
        <v>PFES1162670790_0001</v>
      </c>
      <c r="L350" s="2">
        <v>1</v>
      </c>
      <c r="M350" s="2">
        <v>1</v>
      </c>
    </row>
    <row r="351" spans="1:13">
      <c r="A351" s="6">
        <v>43500</v>
      </c>
      <c r="B351" s="7">
        <v>0.4375</v>
      </c>
      <c r="C351" s="2" t="str">
        <f>"FES1162670772"</f>
        <v>FES1162670772</v>
      </c>
      <c r="D351" s="2" t="s">
        <v>18</v>
      </c>
      <c r="E351" s="2" t="s">
        <v>358</v>
      </c>
      <c r="F351" s="2" t="str">
        <f>"2170670295 "</f>
        <v xml:space="preserve">2170670295 </v>
      </c>
      <c r="G351" s="2" t="str">
        <f t="shared" si="10"/>
        <v>ON1</v>
      </c>
      <c r="H351" s="2" t="s">
        <v>20</v>
      </c>
      <c r="I351" s="2" t="s">
        <v>359</v>
      </c>
      <c r="J351" s="2" t="str">
        <f>""</f>
        <v/>
      </c>
      <c r="K351" s="2" t="str">
        <f>"PFES1162670772_0001"</f>
        <v>PFES1162670772_0001</v>
      </c>
      <c r="L351" s="2">
        <v>1</v>
      </c>
      <c r="M351" s="2">
        <v>1</v>
      </c>
    </row>
    <row r="352" spans="1:13">
      <c r="A352" s="6">
        <v>43500</v>
      </c>
      <c r="B352" s="7">
        <v>0.4375</v>
      </c>
      <c r="C352" s="2" t="str">
        <f>"FES1162670847"</f>
        <v>FES1162670847</v>
      </c>
      <c r="D352" s="2" t="s">
        <v>18</v>
      </c>
      <c r="E352" s="2" t="s">
        <v>360</v>
      </c>
      <c r="F352" s="2" t="str">
        <f>"2170672266 "</f>
        <v xml:space="preserve">2170672266 </v>
      </c>
      <c r="G352" s="2" t="str">
        <f t="shared" si="10"/>
        <v>ON1</v>
      </c>
      <c r="H352" s="2" t="s">
        <v>20</v>
      </c>
      <c r="I352" s="2" t="s">
        <v>121</v>
      </c>
      <c r="J352" s="2" t="str">
        <f>""</f>
        <v/>
      </c>
      <c r="K352" s="2" t="str">
        <f>"PFES1162670847_0001"</f>
        <v>PFES1162670847_0001</v>
      </c>
      <c r="L352" s="2">
        <v>1</v>
      </c>
      <c r="M352" s="2">
        <v>1</v>
      </c>
    </row>
    <row r="353" spans="1:13">
      <c r="A353" s="6">
        <v>43500</v>
      </c>
      <c r="B353" s="7">
        <v>0.4368055555555555</v>
      </c>
      <c r="C353" s="2" t="str">
        <f>"FES1162670830"</f>
        <v>FES1162670830</v>
      </c>
      <c r="D353" s="2" t="s">
        <v>18</v>
      </c>
      <c r="E353" s="2" t="s">
        <v>136</v>
      </c>
      <c r="F353" s="2" t="str">
        <f>"2170671949 "</f>
        <v xml:space="preserve">2170671949 </v>
      </c>
      <c r="G353" s="2" t="str">
        <f t="shared" si="10"/>
        <v>ON1</v>
      </c>
      <c r="H353" s="2" t="s">
        <v>20</v>
      </c>
      <c r="I353" s="2" t="s">
        <v>137</v>
      </c>
      <c r="J353" s="2" t="str">
        <f>""</f>
        <v/>
      </c>
      <c r="K353" s="2" t="str">
        <f>"PFES1162670830_0001"</f>
        <v>PFES1162670830_0001</v>
      </c>
      <c r="L353" s="2">
        <v>1</v>
      </c>
      <c r="M353" s="2">
        <v>1</v>
      </c>
    </row>
    <row r="354" spans="1:13">
      <c r="A354" s="6">
        <v>43500</v>
      </c>
      <c r="B354" s="7">
        <v>0.4368055555555555</v>
      </c>
      <c r="C354" s="2" t="str">
        <f>"FES1162670812"</f>
        <v>FES1162670812</v>
      </c>
      <c r="D354" s="2" t="s">
        <v>18</v>
      </c>
      <c r="E354" s="2" t="s">
        <v>44</v>
      </c>
      <c r="F354" s="2" t="str">
        <f>"2170671624 "</f>
        <v xml:space="preserve">2170671624 </v>
      </c>
      <c r="G354" s="2" t="str">
        <f t="shared" si="10"/>
        <v>ON1</v>
      </c>
      <c r="H354" s="2" t="s">
        <v>20</v>
      </c>
      <c r="I354" s="2" t="s">
        <v>39</v>
      </c>
      <c r="J354" s="2" t="str">
        <f>""</f>
        <v/>
      </c>
      <c r="K354" s="2" t="str">
        <f>"PFES1162670812_0001"</f>
        <v>PFES1162670812_0001</v>
      </c>
      <c r="L354" s="2">
        <v>1</v>
      </c>
      <c r="M354" s="2">
        <v>1</v>
      </c>
    </row>
    <row r="355" spans="1:13">
      <c r="A355" s="6">
        <v>43500</v>
      </c>
      <c r="B355" s="7">
        <v>0.4368055555555555</v>
      </c>
      <c r="C355" s="2" t="str">
        <f>"FES1162670796"</f>
        <v>FES1162670796</v>
      </c>
      <c r="D355" s="2" t="s">
        <v>18</v>
      </c>
      <c r="E355" s="2" t="s">
        <v>361</v>
      </c>
      <c r="F355" s="2" t="str">
        <f>"2170671139 "</f>
        <v xml:space="preserve">2170671139 </v>
      </c>
      <c r="G355" s="2" t="str">
        <f t="shared" si="10"/>
        <v>ON1</v>
      </c>
      <c r="H355" s="2" t="s">
        <v>20</v>
      </c>
      <c r="I355" s="2" t="s">
        <v>362</v>
      </c>
      <c r="J355" s="2" t="str">
        <f>""</f>
        <v/>
      </c>
      <c r="K355" s="2" t="str">
        <f>"PFES1162670796_0001"</f>
        <v>PFES1162670796_0001</v>
      </c>
      <c r="L355" s="2">
        <v>1</v>
      </c>
      <c r="M355" s="2">
        <v>1</v>
      </c>
    </row>
    <row r="356" spans="1:13">
      <c r="A356" s="6">
        <v>43500</v>
      </c>
      <c r="B356" s="7">
        <v>0.43611111111111112</v>
      </c>
      <c r="C356" s="2" t="str">
        <f>"FES1162670858"</f>
        <v>FES1162670858</v>
      </c>
      <c r="D356" s="2" t="s">
        <v>18</v>
      </c>
      <c r="E356" s="2" t="s">
        <v>195</v>
      </c>
      <c r="F356" s="2" t="str">
        <f>"2170672305 "</f>
        <v xml:space="preserve">2170672305 </v>
      </c>
      <c r="G356" s="2" t="str">
        <f t="shared" si="10"/>
        <v>ON1</v>
      </c>
      <c r="H356" s="2" t="s">
        <v>20</v>
      </c>
      <c r="I356" s="2" t="s">
        <v>96</v>
      </c>
      <c r="J356" s="2" t="str">
        <f>""</f>
        <v/>
      </c>
      <c r="K356" s="2" t="str">
        <f>"PFES1162670858_0001"</f>
        <v>PFES1162670858_0001</v>
      </c>
      <c r="L356" s="2">
        <v>1</v>
      </c>
      <c r="M356" s="2">
        <v>1</v>
      </c>
    </row>
    <row r="357" spans="1:13">
      <c r="A357" s="6">
        <v>43500</v>
      </c>
      <c r="B357" s="7">
        <v>0.43611111111111112</v>
      </c>
      <c r="C357" s="2" t="str">
        <f>"FES1162670876"</f>
        <v>FES1162670876</v>
      </c>
      <c r="D357" s="2" t="s">
        <v>18</v>
      </c>
      <c r="E357" s="2" t="s">
        <v>363</v>
      </c>
      <c r="F357" s="2" t="str">
        <f>"2170672337 "</f>
        <v xml:space="preserve">2170672337 </v>
      </c>
      <c r="G357" s="2" t="str">
        <f t="shared" si="10"/>
        <v>ON1</v>
      </c>
      <c r="H357" s="2" t="s">
        <v>20</v>
      </c>
      <c r="I357" s="2" t="s">
        <v>364</v>
      </c>
      <c r="J357" s="2" t="str">
        <f>""</f>
        <v/>
      </c>
      <c r="K357" s="2" t="str">
        <f>"PFES1162670876_0001"</f>
        <v>PFES1162670876_0001</v>
      </c>
      <c r="L357" s="2">
        <v>1</v>
      </c>
      <c r="M357" s="2">
        <v>1</v>
      </c>
    </row>
    <row r="358" spans="1:13">
      <c r="A358" s="6">
        <v>43500</v>
      </c>
      <c r="B358" s="7">
        <v>0.43541666666666662</v>
      </c>
      <c r="C358" s="2" t="str">
        <f>"FES1162670879"</f>
        <v>FES1162670879</v>
      </c>
      <c r="D358" s="2" t="s">
        <v>18</v>
      </c>
      <c r="E358" s="2" t="s">
        <v>365</v>
      </c>
      <c r="F358" s="2" t="str">
        <f>"2170672342 "</f>
        <v xml:space="preserve">2170672342 </v>
      </c>
      <c r="G358" s="2" t="str">
        <f t="shared" si="10"/>
        <v>ON1</v>
      </c>
      <c r="H358" s="2" t="s">
        <v>20</v>
      </c>
      <c r="I358" s="2" t="s">
        <v>139</v>
      </c>
      <c r="J358" s="2" t="str">
        <f>""</f>
        <v/>
      </c>
      <c r="K358" s="2" t="str">
        <f>"PFES1162670879_0001"</f>
        <v>PFES1162670879_0001</v>
      </c>
      <c r="L358" s="2">
        <v>1</v>
      </c>
      <c r="M358" s="2">
        <v>1</v>
      </c>
    </row>
    <row r="359" spans="1:13">
      <c r="A359" s="6">
        <v>43500</v>
      </c>
      <c r="B359" s="7">
        <v>0.43541666666666662</v>
      </c>
      <c r="C359" s="2" t="str">
        <f>"FES1162670748"</f>
        <v>FES1162670748</v>
      </c>
      <c r="D359" s="2" t="s">
        <v>18</v>
      </c>
      <c r="E359" s="2" t="s">
        <v>366</v>
      </c>
      <c r="F359" s="2" t="str">
        <f>"2170667726 "</f>
        <v xml:space="preserve">2170667726 </v>
      </c>
      <c r="G359" s="2" t="str">
        <f t="shared" si="10"/>
        <v>ON1</v>
      </c>
      <c r="H359" s="2" t="s">
        <v>20</v>
      </c>
      <c r="I359" s="2" t="s">
        <v>367</v>
      </c>
      <c r="J359" s="2" t="str">
        <f>""</f>
        <v/>
      </c>
      <c r="K359" s="2" t="str">
        <f>"PFES1162670748_0001"</f>
        <v>PFES1162670748_0001</v>
      </c>
      <c r="L359" s="2">
        <v>1</v>
      </c>
      <c r="M359" s="2">
        <v>1</v>
      </c>
    </row>
    <row r="360" spans="1:13">
      <c r="A360" s="6">
        <v>43500</v>
      </c>
      <c r="B360" s="7">
        <v>0.43402777777777773</v>
      </c>
      <c r="C360" s="2" t="str">
        <f>"FES1162670822"</f>
        <v>FES1162670822</v>
      </c>
      <c r="D360" s="2" t="s">
        <v>18</v>
      </c>
      <c r="E360" s="2" t="s">
        <v>331</v>
      </c>
      <c r="F360" s="2" t="str">
        <f>"2170671793 "</f>
        <v xml:space="preserve">2170671793 </v>
      </c>
      <c r="G360" s="2" t="str">
        <f t="shared" si="10"/>
        <v>ON1</v>
      </c>
      <c r="H360" s="2" t="s">
        <v>20</v>
      </c>
      <c r="I360" s="2" t="s">
        <v>324</v>
      </c>
      <c r="J360" s="2" t="str">
        <f>""</f>
        <v/>
      </c>
      <c r="K360" s="2" t="str">
        <f>"PFES1162670822_0001"</f>
        <v>PFES1162670822_0001</v>
      </c>
      <c r="L360" s="2">
        <v>1</v>
      </c>
      <c r="M360" s="2">
        <v>1</v>
      </c>
    </row>
    <row r="361" spans="1:13">
      <c r="A361" s="6">
        <v>43500</v>
      </c>
      <c r="B361" s="7">
        <v>0.43402777777777773</v>
      </c>
      <c r="C361" s="2" t="str">
        <f>"FES1162670738"</f>
        <v>FES1162670738</v>
      </c>
      <c r="D361" s="2" t="s">
        <v>18</v>
      </c>
      <c r="E361" s="2" t="s">
        <v>331</v>
      </c>
      <c r="F361" s="2" t="str">
        <f>"217067865 "</f>
        <v xml:space="preserve">217067865 </v>
      </c>
      <c r="G361" s="2" t="str">
        <f t="shared" si="10"/>
        <v>ON1</v>
      </c>
      <c r="H361" s="2" t="s">
        <v>20</v>
      </c>
      <c r="I361" s="2" t="s">
        <v>324</v>
      </c>
      <c r="J361" s="2" t="str">
        <f>""</f>
        <v/>
      </c>
      <c r="K361" s="2" t="str">
        <f>"PFES1162670738_0001"</f>
        <v>PFES1162670738_0001</v>
      </c>
      <c r="L361" s="2">
        <v>1</v>
      </c>
      <c r="M361" s="2">
        <v>1</v>
      </c>
    </row>
    <row r="362" spans="1:13">
      <c r="A362" s="6">
        <v>43500</v>
      </c>
      <c r="B362" s="7">
        <v>0.43333333333333335</v>
      </c>
      <c r="C362" s="2" t="str">
        <f>"FES1162670848"</f>
        <v>FES1162670848</v>
      </c>
      <c r="D362" s="2" t="s">
        <v>18</v>
      </c>
      <c r="E362" s="2" t="s">
        <v>368</v>
      </c>
      <c r="F362" s="2" t="str">
        <f>"2170672267 "</f>
        <v xml:space="preserve">2170672267 </v>
      </c>
      <c r="G362" s="2" t="str">
        <f t="shared" si="10"/>
        <v>ON1</v>
      </c>
      <c r="H362" s="2" t="s">
        <v>20</v>
      </c>
      <c r="I362" s="2" t="s">
        <v>369</v>
      </c>
      <c r="J362" s="2" t="str">
        <f>""</f>
        <v/>
      </c>
      <c r="K362" s="2" t="str">
        <f>"PFES1162670848_0001"</f>
        <v>PFES1162670848_0001</v>
      </c>
      <c r="L362" s="2">
        <v>1</v>
      </c>
      <c r="M362" s="2">
        <v>1</v>
      </c>
    </row>
    <row r="363" spans="1:13">
      <c r="A363" s="6">
        <v>43500</v>
      </c>
      <c r="B363" s="7">
        <v>0.43263888888888885</v>
      </c>
      <c r="C363" s="2" t="str">
        <f>"FES1162670840"</f>
        <v>FES1162670840</v>
      </c>
      <c r="D363" s="2" t="s">
        <v>18</v>
      </c>
      <c r="E363" s="2" t="s">
        <v>305</v>
      </c>
      <c r="F363" s="2" t="str">
        <f>"2170672210 "</f>
        <v xml:space="preserve">2170672210 </v>
      </c>
      <c r="G363" s="2" t="str">
        <f t="shared" si="10"/>
        <v>ON1</v>
      </c>
      <c r="H363" s="2" t="s">
        <v>20</v>
      </c>
      <c r="I363" s="2" t="s">
        <v>197</v>
      </c>
      <c r="J363" s="2" t="str">
        <f>""</f>
        <v/>
      </c>
      <c r="K363" s="2" t="str">
        <f>"PFES1162670840_0001"</f>
        <v>PFES1162670840_0001</v>
      </c>
      <c r="L363" s="2">
        <v>1</v>
      </c>
      <c r="M363" s="2">
        <v>1</v>
      </c>
    </row>
    <row r="364" spans="1:13">
      <c r="A364" s="6">
        <v>43500</v>
      </c>
      <c r="B364" s="7">
        <v>0.43263888888888885</v>
      </c>
      <c r="C364" s="2" t="str">
        <f>"FES1162670774"</f>
        <v>FES1162670774</v>
      </c>
      <c r="D364" s="2" t="s">
        <v>18</v>
      </c>
      <c r="E364" s="2" t="s">
        <v>293</v>
      </c>
      <c r="F364" s="2" t="str">
        <f>"2170670404 "</f>
        <v xml:space="preserve">2170670404 </v>
      </c>
      <c r="G364" s="2" t="str">
        <f t="shared" si="10"/>
        <v>ON1</v>
      </c>
      <c r="H364" s="2" t="s">
        <v>20</v>
      </c>
      <c r="I364" s="2" t="s">
        <v>327</v>
      </c>
      <c r="J364" s="2" t="str">
        <f>""</f>
        <v/>
      </c>
      <c r="K364" s="2" t="str">
        <f>"PFES1162670774_0001"</f>
        <v>PFES1162670774_0001</v>
      </c>
      <c r="L364" s="2">
        <v>1</v>
      </c>
      <c r="M364" s="2">
        <v>1</v>
      </c>
    </row>
    <row r="365" spans="1:13">
      <c r="A365" s="6">
        <v>43500</v>
      </c>
      <c r="B365" s="7">
        <v>0.43194444444444446</v>
      </c>
      <c r="C365" s="2" t="str">
        <f>"FES1162670805"</f>
        <v>FES1162670805</v>
      </c>
      <c r="D365" s="2" t="s">
        <v>18</v>
      </c>
      <c r="E365" s="2" t="s">
        <v>323</v>
      </c>
      <c r="F365" s="2" t="str">
        <f>"2170671517 "</f>
        <v xml:space="preserve">2170671517 </v>
      </c>
      <c r="G365" s="2" t="str">
        <f t="shared" si="10"/>
        <v>ON1</v>
      </c>
      <c r="H365" s="2" t="s">
        <v>20</v>
      </c>
      <c r="I365" s="2" t="s">
        <v>324</v>
      </c>
      <c r="J365" s="2" t="str">
        <f>""</f>
        <v/>
      </c>
      <c r="K365" s="2" t="str">
        <f>"PFES1162670805_0001"</f>
        <v>PFES1162670805_0001</v>
      </c>
      <c r="L365" s="2">
        <v>1</v>
      </c>
      <c r="M365" s="2">
        <v>1</v>
      </c>
    </row>
    <row r="366" spans="1:13">
      <c r="A366" s="6">
        <v>43500</v>
      </c>
      <c r="B366" s="7">
        <v>0.43194444444444446</v>
      </c>
      <c r="C366" s="2" t="str">
        <f>"FES1162670792"</f>
        <v>FES1162670792</v>
      </c>
      <c r="D366" s="2" t="s">
        <v>18</v>
      </c>
      <c r="E366" s="2" t="s">
        <v>293</v>
      </c>
      <c r="F366" s="2" t="str">
        <f>"2170670963 "</f>
        <v xml:space="preserve">2170670963 </v>
      </c>
      <c r="G366" s="2" t="str">
        <f t="shared" si="10"/>
        <v>ON1</v>
      </c>
      <c r="H366" s="2" t="s">
        <v>20</v>
      </c>
      <c r="I366" s="2" t="s">
        <v>327</v>
      </c>
      <c r="J366" s="2" t="str">
        <f>""</f>
        <v/>
      </c>
      <c r="K366" s="2" t="str">
        <f>"PFES1162670792_0001"</f>
        <v>PFES1162670792_0001</v>
      </c>
      <c r="L366" s="2">
        <v>1</v>
      </c>
      <c r="M366" s="2">
        <v>1</v>
      </c>
    </row>
    <row r="367" spans="1:13">
      <c r="A367" s="6">
        <v>43500</v>
      </c>
      <c r="B367" s="7">
        <v>0.43124999999999997</v>
      </c>
      <c r="C367" s="2" t="str">
        <f>"FES1162670763"</f>
        <v>FES1162670763</v>
      </c>
      <c r="D367" s="2" t="s">
        <v>18</v>
      </c>
      <c r="E367" s="2" t="s">
        <v>32</v>
      </c>
      <c r="F367" s="2" t="str">
        <f>"2170669100 "</f>
        <v xml:space="preserve">2170669100 </v>
      </c>
      <c r="G367" s="2" t="str">
        <f t="shared" si="10"/>
        <v>ON1</v>
      </c>
      <c r="H367" s="2" t="s">
        <v>20</v>
      </c>
      <c r="I367" s="2" t="s">
        <v>33</v>
      </c>
      <c r="J367" s="2" t="str">
        <f>""</f>
        <v/>
      </c>
      <c r="K367" s="2" t="str">
        <f>"PFES1162670763_0001"</f>
        <v>PFES1162670763_0001</v>
      </c>
      <c r="L367" s="2">
        <v>1</v>
      </c>
      <c r="M367" s="2">
        <v>1</v>
      </c>
    </row>
    <row r="368" spans="1:13">
      <c r="A368" s="6">
        <v>43500</v>
      </c>
      <c r="B368" s="7">
        <v>0.43055555555555558</v>
      </c>
      <c r="C368" s="2" t="str">
        <f>"FES1162670845"</f>
        <v>FES1162670845</v>
      </c>
      <c r="D368" s="2" t="s">
        <v>18</v>
      </c>
      <c r="E368" s="2" t="s">
        <v>370</v>
      </c>
      <c r="F368" s="2" t="str">
        <f>"2170672260 "</f>
        <v xml:space="preserve">2170672260 </v>
      </c>
      <c r="G368" s="2" t="str">
        <f t="shared" si="10"/>
        <v>ON1</v>
      </c>
      <c r="H368" s="2" t="s">
        <v>20</v>
      </c>
      <c r="I368" s="2" t="s">
        <v>67</v>
      </c>
      <c r="J368" s="2" t="str">
        <f>""</f>
        <v/>
      </c>
      <c r="K368" s="2" t="str">
        <f>"PFES1162670845_0001"</f>
        <v>PFES1162670845_0001</v>
      </c>
      <c r="L368" s="2">
        <v>1</v>
      </c>
      <c r="M368" s="2">
        <v>1</v>
      </c>
    </row>
    <row r="369" spans="1:13">
      <c r="A369" s="6">
        <v>43500</v>
      </c>
      <c r="B369" s="7">
        <v>0.43055555555555558</v>
      </c>
      <c r="C369" s="2" t="str">
        <f>"FES1162670865"</f>
        <v>FES1162670865</v>
      </c>
      <c r="D369" s="2" t="s">
        <v>18</v>
      </c>
      <c r="E369" s="2" t="s">
        <v>315</v>
      </c>
      <c r="F369" s="2" t="str">
        <f>"2170672314 "</f>
        <v xml:space="preserve">2170672314 </v>
      </c>
      <c r="G369" s="2" t="str">
        <f t="shared" si="10"/>
        <v>ON1</v>
      </c>
      <c r="H369" s="2" t="s">
        <v>20</v>
      </c>
      <c r="I369" s="2" t="s">
        <v>239</v>
      </c>
      <c r="J369" s="2" t="str">
        <f>""</f>
        <v/>
      </c>
      <c r="K369" s="2" t="str">
        <f>"PFES1162670865_0001"</f>
        <v>PFES1162670865_0001</v>
      </c>
      <c r="L369" s="2">
        <v>1</v>
      </c>
      <c r="M369" s="2">
        <v>1</v>
      </c>
    </row>
    <row r="370" spans="1:13">
      <c r="A370" s="6">
        <v>43500</v>
      </c>
      <c r="B370" s="7">
        <v>0.42986111111111108</v>
      </c>
      <c r="C370" s="2" t="str">
        <f>"FES1162670844"</f>
        <v>FES1162670844</v>
      </c>
      <c r="D370" s="2" t="s">
        <v>18</v>
      </c>
      <c r="E370" s="2" t="s">
        <v>306</v>
      </c>
      <c r="F370" s="2" t="str">
        <f>"2170672259 "</f>
        <v xml:space="preserve">2170672259 </v>
      </c>
      <c r="G370" s="2" t="str">
        <f t="shared" si="10"/>
        <v>ON1</v>
      </c>
      <c r="H370" s="2" t="s">
        <v>20</v>
      </c>
      <c r="I370" s="2" t="s">
        <v>228</v>
      </c>
      <c r="J370" s="2" t="str">
        <f>""</f>
        <v/>
      </c>
      <c r="K370" s="2" t="str">
        <f>"PFES1162670844_0001"</f>
        <v>PFES1162670844_0001</v>
      </c>
      <c r="L370" s="2">
        <v>1</v>
      </c>
      <c r="M370" s="2">
        <v>1</v>
      </c>
    </row>
    <row r="371" spans="1:13">
      <c r="A371" s="6">
        <v>43500</v>
      </c>
      <c r="B371" s="7">
        <v>0.42986111111111108</v>
      </c>
      <c r="C371" s="2" t="str">
        <f>"FES1162670798"</f>
        <v>FES1162670798</v>
      </c>
      <c r="D371" s="2" t="s">
        <v>18</v>
      </c>
      <c r="E371" s="2" t="s">
        <v>371</v>
      </c>
      <c r="F371" s="2" t="str">
        <f>"2170671218 "</f>
        <v xml:space="preserve">2170671218 </v>
      </c>
      <c r="G371" s="2" t="str">
        <f t="shared" si="10"/>
        <v>ON1</v>
      </c>
      <c r="H371" s="2" t="s">
        <v>20</v>
      </c>
      <c r="I371" s="2" t="s">
        <v>61</v>
      </c>
      <c r="J371" s="2" t="str">
        <f>""</f>
        <v/>
      </c>
      <c r="K371" s="2" t="str">
        <f>"PFES1162670798_0001"</f>
        <v>PFES1162670798_0001</v>
      </c>
      <c r="L371" s="2">
        <v>1</v>
      </c>
      <c r="M371" s="2">
        <v>1</v>
      </c>
    </row>
    <row r="372" spans="1:13">
      <c r="A372" s="6">
        <v>43500</v>
      </c>
      <c r="B372" s="7">
        <v>0.42986111111111108</v>
      </c>
      <c r="C372" s="2" t="str">
        <f>"FES1162670837"</f>
        <v>FES1162670837</v>
      </c>
      <c r="D372" s="2" t="s">
        <v>18</v>
      </c>
      <c r="E372" s="2" t="s">
        <v>372</v>
      </c>
      <c r="F372" s="2" t="str">
        <f>"2170672080 "</f>
        <v xml:space="preserve">2170672080 </v>
      </c>
      <c r="G372" s="2" t="str">
        <f t="shared" si="10"/>
        <v>ON1</v>
      </c>
      <c r="H372" s="2" t="s">
        <v>20</v>
      </c>
      <c r="I372" s="2" t="s">
        <v>143</v>
      </c>
      <c r="J372" s="2" t="str">
        <f>""</f>
        <v/>
      </c>
      <c r="K372" s="2" t="str">
        <f>"PFES1162670837_0001"</f>
        <v>PFES1162670837_0001</v>
      </c>
      <c r="L372" s="2">
        <v>1</v>
      </c>
      <c r="M372" s="2">
        <v>1</v>
      </c>
    </row>
    <row r="373" spans="1:13">
      <c r="A373" s="6">
        <v>43500</v>
      </c>
      <c r="B373" s="7">
        <v>0.4291666666666667</v>
      </c>
      <c r="C373" s="2" t="str">
        <f>"FES1162670823"</f>
        <v>FES1162670823</v>
      </c>
      <c r="D373" s="2" t="s">
        <v>18</v>
      </c>
      <c r="E373" s="2" t="s">
        <v>373</v>
      </c>
      <c r="F373" s="2" t="str">
        <f>"2170671825 "</f>
        <v xml:space="preserve">2170671825 </v>
      </c>
      <c r="G373" s="2" t="str">
        <f t="shared" si="10"/>
        <v>ON1</v>
      </c>
      <c r="H373" s="2" t="s">
        <v>20</v>
      </c>
      <c r="I373" s="2" t="s">
        <v>237</v>
      </c>
      <c r="J373" s="2" t="str">
        <f>""</f>
        <v/>
      </c>
      <c r="K373" s="2" t="str">
        <f>"PFES1162670823_0001"</f>
        <v>PFES1162670823_0001</v>
      </c>
      <c r="L373" s="2">
        <v>1</v>
      </c>
      <c r="M373" s="2">
        <v>1</v>
      </c>
    </row>
    <row r="374" spans="1:13">
      <c r="A374" s="6">
        <v>43500</v>
      </c>
      <c r="B374" s="7">
        <v>0.4291666666666667</v>
      </c>
      <c r="C374" s="2" t="str">
        <f>"FES1162670836"</f>
        <v>FES1162670836</v>
      </c>
      <c r="D374" s="2" t="s">
        <v>18</v>
      </c>
      <c r="E374" s="2" t="s">
        <v>47</v>
      </c>
      <c r="F374" s="2" t="str">
        <f>"2170672063 "</f>
        <v xml:space="preserve">2170672063 </v>
      </c>
      <c r="G374" s="2" t="str">
        <f t="shared" si="10"/>
        <v>ON1</v>
      </c>
      <c r="H374" s="2" t="s">
        <v>20</v>
      </c>
      <c r="I374" s="2" t="s">
        <v>48</v>
      </c>
      <c r="J374" s="2" t="str">
        <f>""</f>
        <v/>
      </c>
      <c r="K374" s="2" t="str">
        <f>"PFES1162670836_0001"</f>
        <v>PFES1162670836_0001</v>
      </c>
      <c r="L374" s="2">
        <v>1</v>
      </c>
      <c r="M374" s="2">
        <v>1</v>
      </c>
    </row>
    <row r="375" spans="1:13">
      <c r="A375" s="6">
        <v>43500</v>
      </c>
      <c r="B375" s="7">
        <v>0.4284722222222222</v>
      </c>
      <c r="C375" s="2" t="str">
        <f>"FES1162670833"</f>
        <v>FES1162670833</v>
      </c>
      <c r="D375" s="2" t="s">
        <v>18</v>
      </c>
      <c r="E375" s="2" t="s">
        <v>374</v>
      </c>
      <c r="F375" s="2" t="str">
        <f>"2170671978 "</f>
        <v xml:space="preserve">2170671978 </v>
      </c>
      <c r="G375" s="2" t="str">
        <f t="shared" si="10"/>
        <v>ON1</v>
      </c>
      <c r="H375" s="2" t="s">
        <v>20</v>
      </c>
      <c r="I375" s="2" t="s">
        <v>130</v>
      </c>
      <c r="J375" s="2" t="str">
        <f>""</f>
        <v/>
      </c>
      <c r="K375" s="2" t="str">
        <f>"PFES1162670833_0001"</f>
        <v>PFES1162670833_0001</v>
      </c>
      <c r="L375" s="2">
        <v>1</v>
      </c>
      <c r="M375" s="2">
        <v>1</v>
      </c>
    </row>
    <row r="376" spans="1:13">
      <c r="A376" s="6">
        <v>43500</v>
      </c>
      <c r="B376" s="7">
        <v>0.4284722222222222</v>
      </c>
      <c r="C376" s="2" t="str">
        <f>"FES1162670762"</f>
        <v>FES1162670762</v>
      </c>
      <c r="D376" s="2" t="s">
        <v>18</v>
      </c>
      <c r="E376" s="2" t="s">
        <v>365</v>
      </c>
      <c r="F376" s="2" t="str">
        <f>"2170669047 "</f>
        <v xml:space="preserve">2170669047 </v>
      </c>
      <c r="G376" s="2" t="str">
        <f t="shared" si="10"/>
        <v>ON1</v>
      </c>
      <c r="H376" s="2" t="s">
        <v>20</v>
      </c>
      <c r="I376" s="2" t="s">
        <v>139</v>
      </c>
      <c r="J376" s="2" t="str">
        <f>""</f>
        <v/>
      </c>
      <c r="K376" s="2" t="str">
        <f>"PFES1162670762_0001"</f>
        <v>PFES1162670762_0001</v>
      </c>
      <c r="L376" s="2">
        <v>1</v>
      </c>
      <c r="M376" s="2">
        <v>1</v>
      </c>
    </row>
    <row r="377" spans="1:13">
      <c r="A377" s="6">
        <v>43500</v>
      </c>
      <c r="B377" s="7">
        <v>0.42777777777777781</v>
      </c>
      <c r="C377" s="2" t="str">
        <f>"FES1162670786"</f>
        <v>FES1162670786</v>
      </c>
      <c r="D377" s="2" t="s">
        <v>18</v>
      </c>
      <c r="E377" s="2" t="s">
        <v>366</v>
      </c>
      <c r="F377" s="2" t="str">
        <f>"2170670857 "</f>
        <v xml:space="preserve">2170670857 </v>
      </c>
      <c r="G377" s="2" t="str">
        <f t="shared" si="10"/>
        <v>ON1</v>
      </c>
      <c r="H377" s="2" t="s">
        <v>20</v>
      </c>
      <c r="I377" s="2" t="s">
        <v>367</v>
      </c>
      <c r="J377" s="2" t="str">
        <f>""</f>
        <v/>
      </c>
      <c r="K377" s="2" t="str">
        <f>"PFES1162670786_0001"</f>
        <v>PFES1162670786_0001</v>
      </c>
      <c r="L377" s="2">
        <v>1</v>
      </c>
      <c r="M377" s="2">
        <v>1</v>
      </c>
    </row>
    <row r="378" spans="1:13">
      <c r="A378" s="6">
        <v>43500</v>
      </c>
      <c r="B378" s="7">
        <v>0.42777777777777781</v>
      </c>
      <c r="C378" s="2" t="str">
        <f>"FES1162670813"</f>
        <v>FES1162670813</v>
      </c>
      <c r="D378" s="2" t="s">
        <v>18</v>
      </c>
      <c r="E378" s="2" t="s">
        <v>363</v>
      </c>
      <c r="F378" s="2" t="str">
        <f>"2170671632 "</f>
        <v xml:space="preserve">2170671632 </v>
      </c>
      <c r="G378" s="2" t="str">
        <f t="shared" si="10"/>
        <v>ON1</v>
      </c>
      <c r="H378" s="2" t="s">
        <v>20</v>
      </c>
      <c r="I378" s="2" t="s">
        <v>364</v>
      </c>
      <c r="J378" s="2" t="str">
        <f>""</f>
        <v/>
      </c>
      <c r="K378" s="2" t="str">
        <f>"PFES1162670813_0001"</f>
        <v>PFES1162670813_0001</v>
      </c>
      <c r="L378" s="2">
        <v>1</v>
      </c>
      <c r="M378" s="2">
        <v>1</v>
      </c>
    </row>
    <row r="379" spans="1:13">
      <c r="A379" s="6">
        <v>43500</v>
      </c>
      <c r="B379" s="7">
        <v>0.42777777777777781</v>
      </c>
      <c r="C379" s="2" t="str">
        <f>"FES1162670752"</f>
        <v>FES1162670752</v>
      </c>
      <c r="D379" s="2" t="s">
        <v>18</v>
      </c>
      <c r="E379" s="2" t="s">
        <v>375</v>
      </c>
      <c r="F379" s="2" t="str">
        <f>"2170668146 "</f>
        <v xml:space="preserve">2170668146 </v>
      </c>
      <c r="G379" s="2" t="str">
        <f t="shared" si="10"/>
        <v>ON1</v>
      </c>
      <c r="H379" s="2" t="s">
        <v>20</v>
      </c>
      <c r="I379" s="2" t="s">
        <v>99</v>
      </c>
      <c r="J379" s="2" t="str">
        <f>""</f>
        <v/>
      </c>
      <c r="K379" s="2" t="str">
        <f>"PFES1162670752_0001"</f>
        <v>PFES1162670752_0001</v>
      </c>
      <c r="L379" s="2">
        <v>1</v>
      </c>
      <c r="M379" s="2">
        <v>1</v>
      </c>
    </row>
    <row r="380" spans="1:13">
      <c r="A380" s="6">
        <v>43500</v>
      </c>
      <c r="B380" s="7">
        <v>0.42708333333333331</v>
      </c>
      <c r="C380" s="2" t="str">
        <f>"FES1162670874"</f>
        <v>FES1162670874</v>
      </c>
      <c r="D380" s="2" t="s">
        <v>18</v>
      </c>
      <c r="E380" s="2" t="s">
        <v>363</v>
      </c>
      <c r="F380" s="2" t="str">
        <f>"2170672335 "</f>
        <v xml:space="preserve">2170672335 </v>
      </c>
      <c r="G380" s="2" t="str">
        <f t="shared" si="10"/>
        <v>ON1</v>
      </c>
      <c r="H380" s="2" t="s">
        <v>20</v>
      </c>
      <c r="I380" s="2" t="s">
        <v>364</v>
      </c>
      <c r="J380" s="2" t="str">
        <f>""</f>
        <v/>
      </c>
      <c r="K380" s="2" t="str">
        <f>"PFES1162670874_0001"</f>
        <v>PFES1162670874_0001</v>
      </c>
      <c r="L380" s="2">
        <v>1</v>
      </c>
      <c r="M380" s="2">
        <v>1</v>
      </c>
    </row>
    <row r="381" spans="1:13">
      <c r="A381" s="6">
        <v>43501</v>
      </c>
      <c r="B381" s="7">
        <v>0.69027777777777777</v>
      </c>
      <c r="C381" s="2" t="str">
        <f>"FES1162671131"</f>
        <v>FES1162671131</v>
      </c>
      <c r="D381" s="2" t="s">
        <v>18</v>
      </c>
      <c r="E381" s="2" t="s">
        <v>376</v>
      </c>
      <c r="F381" s="2" t="str">
        <f>"2170672562 "</f>
        <v xml:space="preserve">2170672562 </v>
      </c>
      <c r="G381" s="2" t="str">
        <f t="shared" si="10"/>
        <v>ON1</v>
      </c>
      <c r="H381" s="2" t="s">
        <v>20</v>
      </c>
      <c r="I381" s="2" t="s">
        <v>228</v>
      </c>
      <c r="J381" s="2" t="str">
        <f>""</f>
        <v/>
      </c>
      <c r="K381" s="2" t="str">
        <f>"PFES1162671131_0001"</f>
        <v>PFES1162671131_0001</v>
      </c>
      <c r="L381" s="2">
        <v>1</v>
      </c>
      <c r="M381" s="2">
        <v>1</v>
      </c>
    </row>
    <row r="382" spans="1:13">
      <c r="A382" s="6">
        <v>43501</v>
      </c>
      <c r="B382" s="7">
        <v>0.68958333333333333</v>
      </c>
      <c r="C382" s="2" t="str">
        <f>"FES1162671388"</f>
        <v>FES1162671388</v>
      </c>
      <c r="D382" s="2" t="s">
        <v>18</v>
      </c>
      <c r="E382" s="2" t="s">
        <v>377</v>
      </c>
      <c r="F382" s="2" t="str">
        <f>"2170672750 "</f>
        <v xml:space="preserve">2170672750 </v>
      </c>
      <c r="G382" s="2" t="str">
        <f t="shared" si="10"/>
        <v>ON1</v>
      </c>
      <c r="H382" s="2" t="s">
        <v>20</v>
      </c>
      <c r="I382" s="2" t="s">
        <v>378</v>
      </c>
      <c r="J382" s="2" t="str">
        <f>""</f>
        <v/>
      </c>
      <c r="K382" s="2" t="str">
        <f>"PFES1162671388_0001"</f>
        <v>PFES1162671388_0001</v>
      </c>
      <c r="L382" s="2">
        <v>1</v>
      </c>
      <c r="M382" s="2">
        <v>1</v>
      </c>
    </row>
    <row r="383" spans="1:13">
      <c r="A383" s="6">
        <v>43501</v>
      </c>
      <c r="B383" s="7">
        <v>0.68958333333333333</v>
      </c>
      <c r="C383" s="2" t="str">
        <f>"FES1162671353"</f>
        <v>FES1162671353</v>
      </c>
      <c r="D383" s="2" t="s">
        <v>18</v>
      </c>
      <c r="E383" s="2" t="s">
        <v>178</v>
      </c>
      <c r="F383" s="2" t="str">
        <f>"21706727247 "</f>
        <v xml:space="preserve">21706727247 </v>
      </c>
      <c r="G383" s="2" t="str">
        <f t="shared" si="10"/>
        <v>ON1</v>
      </c>
      <c r="H383" s="2" t="s">
        <v>20</v>
      </c>
      <c r="I383" s="2" t="s">
        <v>103</v>
      </c>
      <c r="J383" s="2" t="str">
        <f>""</f>
        <v/>
      </c>
      <c r="K383" s="2" t="str">
        <f>"PFES1162671353_0001"</f>
        <v>PFES1162671353_0001</v>
      </c>
      <c r="L383" s="2">
        <v>1</v>
      </c>
      <c r="M383" s="2">
        <v>1</v>
      </c>
    </row>
    <row r="384" spans="1:13">
      <c r="A384" s="6">
        <v>43501</v>
      </c>
      <c r="B384" s="7">
        <v>0.68958333333333333</v>
      </c>
      <c r="C384" s="2" t="str">
        <f>"FES1162671317"</f>
        <v>FES1162671317</v>
      </c>
      <c r="D384" s="2" t="s">
        <v>18</v>
      </c>
      <c r="E384" s="2" t="s">
        <v>185</v>
      </c>
      <c r="F384" s="2" t="str">
        <f>"2170672671 "</f>
        <v xml:space="preserve">2170672671 </v>
      </c>
      <c r="G384" s="2" t="str">
        <f t="shared" si="10"/>
        <v>ON1</v>
      </c>
      <c r="H384" s="2" t="s">
        <v>20</v>
      </c>
      <c r="I384" s="2" t="s">
        <v>93</v>
      </c>
      <c r="J384" s="2" t="str">
        <f>""</f>
        <v/>
      </c>
      <c r="K384" s="2" t="str">
        <f>"PFES1162671317_0001"</f>
        <v>PFES1162671317_0001</v>
      </c>
      <c r="L384" s="2">
        <v>1</v>
      </c>
      <c r="M384" s="2">
        <v>4</v>
      </c>
    </row>
    <row r="385" spans="1:13">
      <c r="A385" s="6">
        <v>43501</v>
      </c>
      <c r="B385" s="7">
        <v>0.68958333333333333</v>
      </c>
      <c r="C385" s="2" t="str">
        <f>"FES1162671351"</f>
        <v>FES1162671351</v>
      </c>
      <c r="D385" s="2" t="s">
        <v>18</v>
      </c>
      <c r="E385" s="2" t="s">
        <v>90</v>
      </c>
      <c r="F385" s="2" t="str">
        <f>"2170672712 "</f>
        <v xml:space="preserve">2170672712 </v>
      </c>
      <c r="G385" s="2" t="str">
        <f t="shared" si="10"/>
        <v>ON1</v>
      </c>
      <c r="H385" s="2" t="s">
        <v>20</v>
      </c>
      <c r="I385" s="2" t="s">
        <v>89</v>
      </c>
      <c r="J385" s="2" t="str">
        <f>""</f>
        <v/>
      </c>
      <c r="K385" s="2" t="str">
        <f>"PFES1162671351_0001"</f>
        <v>PFES1162671351_0001</v>
      </c>
      <c r="L385" s="2">
        <v>1</v>
      </c>
      <c r="M385" s="2">
        <v>1</v>
      </c>
    </row>
    <row r="386" spans="1:13">
      <c r="A386" s="6">
        <v>43501</v>
      </c>
      <c r="B386" s="7">
        <v>0.68888888888888899</v>
      </c>
      <c r="C386" s="2" t="str">
        <f>"FES1162671346"</f>
        <v>FES1162671346</v>
      </c>
      <c r="D386" s="2" t="s">
        <v>18</v>
      </c>
      <c r="E386" s="2" t="s">
        <v>297</v>
      </c>
      <c r="F386" s="2" t="str">
        <f>"2170672702 "</f>
        <v xml:space="preserve">2170672702 </v>
      </c>
      <c r="G386" s="2" t="str">
        <f t="shared" si="10"/>
        <v>ON1</v>
      </c>
      <c r="H386" s="2" t="s">
        <v>20</v>
      </c>
      <c r="I386" s="2" t="s">
        <v>210</v>
      </c>
      <c r="J386" s="2" t="str">
        <f>""</f>
        <v/>
      </c>
      <c r="K386" s="2" t="str">
        <f>"PFES1162671346_0001"</f>
        <v>PFES1162671346_0001</v>
      </c>
      <c r="L386" s="2">
        <v>1</v>
      </c>
      <c r="M386" s="2">
        <v>1</v>
      </c>
    </row>
    <row r="387" spans="1:13">
      <c r="A387" s="6">
        <v>43501</v>
      </c>
      <c r="B387" s="7">
        <v>0.68888888888888899</v>
      </c>
      <c r="C387" s="2" t="str">
        <f>"FES1162671395"</f>
        <v>FES1162671395</v>
      </c>
      <c r="D387" s="2" t="s">
        <v>18</v>
      </c>
      <c r="E387" s="2" t="s">
        <v>19</v>
      </c>
      <c r="F387" s="2" t="str">
        <f>"2170672763 "</f>
        <v xml:space="preserve">2170672763 </v>
      </c>
      <c r="G387" s="2" t="str">
        <f t="shared" si="10"/>
        <v>ON1</v>
      </c>
      <c r="H387" s="2" t="s">
        <v>20</v>
      </c>
      <c r="I387" s="2" t="s">
        <v>21</v>
      </c>
      <c r="J387" s="2" t="str">
        <f>""</f>
        <v/>
      </c>
      <c r="K387" s="2" t="str">
        <f>"PFES1162671395_0001"</f>
        <v>PFES1162671395_0001</v>
      </c>
      <c r="L387" s="2">
        <v>1</v>
      </c>
      <c r="M387" s="2">
        <v>1</v>
      </c>
    </row>
    <row r="388" spans="1:13">
      <c r="A388" s="6">
        <v>43501</v>
      </c>
      <c r="B388" s="7">
        <v>0.68888888888888899</v>
      </c>
      <c r="C388" s="2" t="str">
        <f>"FES1162671391"</f>
        <v>FES1162671391</v>
      </c>
      <c r="D388" s="2" t="s">
        <v>18</v>
      </c>
      <c r="E388" s="2" t="s">
        <v>379</v>
      </c>
      <c r="F388" s="2" t="str">
        <f>"2170672754 "</f>
        <v xml:space="preserve">2170672754 </v>
      </c>
      <c r="G388" s="2" t="str">
        <f t="shared" si="10"/>
        <v>ON1</v>
      </c>
      <c r="H388" s="2" t="s">
        <v>20</v>
      </c>
      <c r="I388" s="2" t="s">
        <v>158</v>
      </c>
      <c r="J388" s="2" t="str">
        <f>""</f>
        <v/>
      </c>
      <c r="K388" s="2" t="str">
        <f>"PFES1162671391_0001"</f>
        <v>PFES1162671391_0001</v>
      </c>
      <c r="L388" s="2">
        <v>1</v>
      </c>
      <c r="M388" s="2">
        <v>2</v>
      </c>
    </row>
    <row r="389" spans="1:13">
      <c r="A389" s="6">
        <v>43501</v>
      </c>
      <c r="B389" s="7">
        <v>0.68888888888888899</v>
      </c>
      <c r="C389" s="2" t="str">
        <f>"FES1162671125"</f>
        <v>FES1162671125</v>
      </c>
      <c r="D389" s="2" t="s">
        <v>18</v>
      </c>
      <c r="E389" s="2" t="s">
        <v>380</v>
      </c>
      <c r="F389" s="2" t="str">
        <f>"2170672550 "</f>
        <v xml:space="preserve">2170672550 </v>
      </c>
      <c r="G389" s="2" t="str">
        <f t="shared" si="10"/>
        <v>ON1</v>
      </c>
      <c r="H389" s="2" t="s">
        <v>20</v>
      </c>
      <c r="I389" s="2" t="s">
        <v>213</v>
      </c>
      <c r="J389" s="2" t="str">
        <f>""</f>
        <v/>
      </c>
      <c r="K389" s="2" t="str">
        <f>"PFES1162671125_0001"</f>
        <v>PFES1162671125_0001</v>
      </c>
      <c r="L389" s="2">
        <v>1</v>
      </c>
      <c r="M389" s="2">
        <v>1</v>
      </c>
    </row>
    <row r="390" spans="1:13">
      <c r="A390" s="6">
        <v>43501</v>
      </c>
      <c r="B390" s="7">
        <v>0.68819444444444444</v>
      </c>
      <c r="C390" s="2" t="str">
        <f>"FES1162671401"</f>
        <v>FES1162671401</v>
      </c>
      <c r="D390" s="2" t="s">
        <v>18</v>
      </c>
      <c r="E390" s="2" t="s">
        <v>162</v>
      </c>
      <c r="F390" s="2" t="str">
        <f>"2170672771 "</f>
        <v xml:space="preserve">2170672771 </v>
      </c>
      <c r="G390" s="2" t="str">
        <f t="shared" si="10"/>
        <v>ON1</v>
      </c>
      <c r="H390" s="2" t="s">
        <v>20</v>
      </c>
      <c r="I390" s="2" t="s">
        <v>163</v>
      </c>
      <c r="J390" s="2" t="str">
        <f>""</f>
        <v/>
      </c>
      <c r="K390" s="2" t="str">
        <f>"PFES1162671401_0001"</f>
        <v>PFES1162671401_0001</v>
      </c>
      <c r="L390" s="2">
        <v>1</v>
      </c>
      <c r="M390" s="2">
        <v>1</v>
      </c>
    </row>
    <row r="391" spans="1:13">
      <c r="A391" s="6">
        <v>43501</v>
      </c>
      <c r="B391" s="7">
        <v>0.68819444444444444</v>
      </c>
      <c r="C391" s="2" t="str">
        <f>"FES1162671337"</f>
        <v>FES1162671337</v>
      </c>
      <c r="D391" s="2" t="s">
        <v>18</v>
      </c>
      <c r="E391" s="2" t="s">
        <v>297</v>
      </c>
      <c r="F391" s="2" t="str">
        <f>"21706726953 "</f>
        <v xml:space="preserve">21706726953 </v>
      </c>
      <c r="G391" s="2" t="str">
        <f t="shared" si="10"/>
        <v>ON1</v>
      </c>
      <c r="H391" s="2" t="s">
        <v>20</v>
      </c>
      <c r="I391" s="2" t="s">
        <v>210</v>
      </c>
      <c r="J391" s="2" t="str">
        <f>""</f>
        <v/>
      </c>
      <c r="K391" s="2" t="str">
        <f>"PFES1162671337_0001"</f>
        <v>PFES1162671337_0001</v>
      </c>
      <c r="L391" s="2">
        <v>1</v>
      </c>
      <c r="M391" s="2">
        <v>1</v>
      </c>
    </row>
    <row r="392" spans="1:13">
      <c r="A392" s="6">
        <v>43501</v>
      </c>
      <c r="B392" s="7">
        <v>0.6875</v>
      </c>
      <c r="C392" s="2" t="str">
        <f>"FES1162671386"</f>
        <v>FES1162671386</v>
      </c>
      <c r="D392" s="2" t="s">
        <v>18</v>
      </c>
      <c r="E392" s="2" t="s">
        <v>381</v>
      </c>
      <c r="F392" s="2" t="str">
        <f>"2170672748 "</f>
        <v xml:space="preserve">2170672748 </v>
      </c>
      <c r="G392" s="2" t="str">
        <f t="shared" si="10"/>
        <v>ON1</v>
      </c>
      <c r="H392" s="2" t="s">
        <v>20</v>
      </c>
      <c r="I392" s="2" t="s">
        <v>288</v>
      </c>
      <c r="J392" s="2" t="str">
        <f>""</f>
        <v/>
      </c>
      <c r="K392" s="2" t="str">
        <f>"PFES1162671386_0001"</f>
        <v>PFES1162671386_0001</v>
      </c>
      <c r="L392" s="2">
        <v>1</v>
      </c>
      <c r="M392" s="2">
        <v>6</v>
      </c>
    </row>
    <row r="393" spans="1:13">
      <c r="A393" s="6">
        <v>43501</v>
      </c>
      <c r="B393" s="7">
        <v>0.68680555555555556</v>
      </c>
      <c r="C393" s="2" t="str">
        <f>"FES1162671393"</f>
        <v>FES1162671393</v>
      </c>
      <c r="D393" s="2" t="s">
        <v>18</v>
      </c>
      <c r="E393" s="2" t="s">
        <v>382</v>
      </c>
      <c r="F393" s="2" t="str">
        <f>"2170672500 "</f>
        <v xml:space="preserve">2170672500 </v>
      </c>
      <c r="G393" s="2" t="str">
        <f t="shared" ref="G393:G422" si="11">"ON1"</f>
        <v>ON1</v>
      </c>
      <c r="H393" s="2" t="s">
        <v>20</v>
      </c>
      <c r="I393" s="2" t="s">
        <v>383</v>
      </c>
      <c r="J393" s="2" t="str">
        <f>""</f>
        <v/>
      </c>
      <c r="K393" s="2" t="str">
        <f>"PFES1162671393_0001"</f>
        <v>PFES1162671393_0001</v>
      </c>
      <c r="L393" s="2">
        <v>1</v>
      </c>
      <c r="M393" s="2">
        <v>2</v>
      </c>
    </row>
    <row r="394" spans="1:13">
      <c r="A394" s="6">
        <v>43501</v>
      </c>
      <c r="B394" s="7">
        <v>0.68680555555555556</v>
      </c>
      <c r="C394" s="2" t="str">
        <f>"FES1162671397"</f>
        <v>FES1162671397</v>
      </c>
      <c r="D394" s="2" t="s">
        <v>18</v>
      </c>
      <c r="E394" s="2" t="s">
        <v>44</v>
      </c>
      <c r="F394" s="2" t="str">
        <f>"2170672766 "</f>
        <v xml:space="preserve">2170672766 </v>
      </c>
      <c r="G394" s="2" t="str">
        <f t="shared" si="11"/>
        <v>ON1</v>
      </c>
      <c r="H394" s="2" t="s">
        <v>20</v>
      </c>
      <c r="I394" s="2" t="s">
        <v>39</v>
      </c>
      <c r="J394" s="2" t="str">
        <f>""</f>
        <v/>
      </c>
      <c r="K394" s="2" t="str">
        <f>"PFES1162671397_0001"</f>
        <v>PFES1162671397_0001</v>
      </c>
      <c r="L394" s="2">
        <v>1</v>
      </c>
      <c r="M394" s="2">
        <v>1</v>
      </c>
    </row>
    <row r="395" spans="1:13">
      <c r="A395" s="6">
        <v>43501</v>
      </c>
      <c r="B395" s="7">
        <v>0.68680555555555556</v>
      </c>
      <c r="C395" s="2" t="str">
        <f>"FES1162671398"</f>
        <v>FES1162671398</v>
      </c>
      <c r="D395" s="2" t="s">
        <v>18</v>
      </c>
      <c r="E395" s="2" t="s">
        <v>162</v>
      </c>
      <c r="F395" s="2" t="str">
        <f>"2170672768 "</f>
        <v xml:space="preserve">2170672768 </v>
      </c>
      <c r="G395" s="2" t="str">
        <f t="shared" si="11"/>
        <v>ON1</v>
      </c>
      <c r="H395" s="2" t="s">
        <v>20</v>
      </c>
      <c r="I395" s="2" t="s">
        <v>163</v>
      </c>
      <c r="J395" s="2" t="str">
        <f>""</f>
        <v/>
      </c>
      <c r="K395" s="2" t="str">
        <f>"PFES1162671398_0001"</f>
        <v>PFES1162671398_0001</v>
      </c>
      <c r="L395" s="2">
        <v>1</v>
      </c>
      <c r="M395" s="2">
        <v>1</v>
      </c>
    </row>
    <row r="396" spans="1:13">
      <c r="A396" s="6">
        <v>43501</v>
      </c>
      <c r="B396" s="7">
        <v>0.68611111111111101</v>
      </c>
      <c r="C396" s="2" t="str">
        <f>"FES1162671293"</f>
        <v>FES1162671293</v>
      </c>
      <c r="D396" s="2" t="s">
        <v>18</v>
      </c>
      <c r="E396" s="2" t="s">
        <v>384</v>
      </c>
      <c r="F396" s="2" t="str">
        <f>"2170672651 "</f>
        <v xml:space="preserve">2170672651 </v>
      </c>
      <c r="G396" s="2" t="str">
        <f t="shared" si="11"/>
        <v>ON1</v>
      </c>
      <c r="H396" s="2" t="s">
        <v>20</v>
      </c>
      <c r="I396" s="2" t="s">
        <v>29</v>
      </c>
      <c r="J396" s="2" t="str">
        <f>""</f>
        <v/>
      </c>
      <c r="K396" s="2" t="str">
        <f>"PFES1162671293_0001"</f>
        <v>PFES1162671293_0001</v>
      </c>
      <c r="L396" s="2">
        <v>1</v>
      </c>
      <c r="M396" s="2">
        <v>4</v>
      </c>
    </row>
    <row r="397" spans="1:13">
      <c r="A397" s="6">
        <v>43501</v>
      </c>
      <c r="B397" s="7">
        <v>0.68541666666666667</v>
      </c>
      <c r="C397" s="2" t="str">
        <f>"FES1162671383"</f>
        <v>FES1162671383</v>
      </c>
      <c r="D397" s="2" t="s">
        <v>18</v>
      </c>
      <c r="E397" s="2" t="s">
        <v>385</v>
      </c>
      <c r="F397" s="2" t="str">
        <f>"2170667500 "</f>
        <v xml:space="preserve">2170667500 </v>
      </c>
      <c r="G397" s="2" t="str">
        <f t="shared" si="11"/>
        <v>ON1</v>
      </c>
      <c r="H397" s="2" t="s">
        <v>20</v>
      </c>
      <c r="I397" s="2" t="s">
        <v>158</v>
      </c>
      <c r="J397" s="2" t="str">
        <f>""</f>
        <v/>
      </c>
      <c r="K397" s="2" t="str">
        <f>"PFES1162671383_0001"</f>
        <v>PFES1162671383_0001</v>
      </c>
      <c r="L397" s="2">
        <v>1</v>
      </c>
      <c r="M397" s="2">
        <v>9</v>
      </c>
    </row>
    <row r="398" spans="1:13">
      <c r="A398" s="6">
        <v>43501</v>
      </c>
      <c r="B398" s="7">
        <v>0.68402777777777779</v>
      </c>
      <c r="C398" s="2" t="str">
        <f>"FES1162671381"</f>
        <v>FES1162671381</v>
      </c>
      <c r="D398" s="2" t="s">
        <v>18</v>
      </c>
      <c r="E398" s="2" t="s">
        <v>372</v>
      </c>
      <c r="F398" s="2" t="str">
        <f>"2170672746 "</f>
        <v xml:space="preserve">2170672746 </v>
      </c>
      <c r="G398" s="2" t="str">
        <f t="shared" si="11"/>
        <v>ON1</v>
      </c>
      <c r="H398" s="2" t="s">
        <v>20</v>
      </c>
      <c r="I398" s="2" t="s">
        <v>143</v>
      </c>
      <c r="J398" s="2" t="str">
        <f>""</f>
        <v/>
      </c>
      <c r="K398" s="2" t="str">
        <f>"PFES1162671381_0001"</f>
        <v>PFES1162671381_0001</v>
      </c>
      <c r="L398" s="2">
        <v>1</v>
      </c>
      <c r="M398" s="2">
        <v>1</v>
      </c>
    </row>
    <row r="399" spans="1:13">
      <c r="A399" s="6">
        <v>43501</v>
      </c>
      <c r="B399" s="7">
        <v>0.68402777777777779</v>
      </c>
      <c r="C399" s="2" t="str">
        <f>"FES1162671362"</f>
        <v>FES1162671362</v>
      </c>
      <c r="D399" s="2" t="s">
        <v>18</v>
      </c>
      <c r="E399" s="2" t="s">
        <v>386</v>
      </c>
      <c r="F399" s="2" t="str">
        <f>"2170672579 "</f>
        <v xml:space="preserve">2170672579 </v>
      </c>
      <c r="G399" s="2" t="str">
        <f t="shared" si="11"/>
        <v>ON1</v>
      </c>
      <c r="H399" s="2" t="s">
        <v>20</v>
      </c>
      <c r="I399" s="2" t="s">
        <v>41</v>
      </c>
      <c r="J399" s="2" t="str">
        <f>""</f>
        <v/>
      </c>
      <c r="K399" s="2" t="str">
        <f>"PFES1162671362_0001"</f>
        <v>PFES1162671362_0001</v>
      </c>
      <c r="L399" s="2">
        <v>1</v>
      </c>
      <c r="M399" s="2">
        <v>1</v>
      </c>
    </row>
    <row r="400" spans="1:13">
      <c r="A400" s="6">
        <v>43501</v>
      </c>
      <c r="B400" s="7">
        <v>0.68333333333333324</v>
      </c>
      <c r="C400" s="2" t="str">
        <f>"FES1162671312"</f>
        <v>FES1162671312</v>
      </c>
      <c r="D400" s="2" t="s">
        <v>18</v>
      </c>
      <c r="E400" s="2" t="s">
        <v>387</v>
      </c>
      <c r="F400" s="2" t="str">
        <f>"2170672664 "</f>
        <v xml:space="preserve">2170672664 </v>
      </c>
      <c r="G400" s="2" t="str">
        <f t="shared" si="11"/>
        <v>ON1</v>
      </c>
      <c r="H400" s="2" t="s">
        <v>20</v>
      </c>
      <c r="I400" s="2" t="s">
        <v>388</v>
      </c>
      <c r="J400" s="2" t="str">
        <f>""</f>
        <v/>
      </c>
      <c r="K400" s="2" t="str">
        <f>"PFES1162671312_0001"</f>
        <v>PFES1162671312_0001</v>
      </c>
      <c r="L400" s="2">
        <v>1</v>
      </c>
      <c r="M400" s="2">
        <v>4</v>
      </c>
    </row>
    <row r="401" spans="1:13">
      <c r="A401" s="6">
        <v>43501</v>
      </c>
      <c r="B401" s="7">
        <v>0.68194444444444446</v>
      </c>
      <c r="C401" s="2" t="str">
        <f>"FES1162671370"</f>
        <v>FES1162671370</v>
      </c>
      <c r="D401" s="2" t="s">
        <v>18</v>
      </c>
      <c r="E401" s="2" t="s">
        <v>389</v>
      </c>
      <c r="F401" s="2" t="str">
        <f>"2170672734 "</f>
        <v xml:space="preserve">2170672734 </v>
      </c>
      <c r="G401" s="2" t="str">
        <f t="shared" si="11"/>
        <v>ON1</v>
      </c>
      <c r="H401" s="2" t="s">
        <v>20</v>
      </c>
      <c r="I401" s="2" t="s">
        <v>390</v>
      </c>
      <c r="J401" s="2" t="str">
        <f>""</f>
        <v/>
      </c>
      <c r="K401" s="2" t="str">
        <f>"PFES1162671370_0001"</f>
        <v>PFES1162671370_0001</v>
      </c>
      <c r="L401" s="2">
        <v>1</v>
      </c>
      <c r="M401" s="2">
        <v>3</v>
      </c>
    </row>
    <row r="402" spans="1:13">
      <c r="A402" s="6">
        <v>43501</v>
      </c>
      <c r="B402" s="7">
        <v>0.68055555555555547</v>
      </c>
      <c r="C402" s="2" t="str">
        <f>"FES1162671132"</f>
        <v>FES1162671132</v>
      </c>
      <c r="D402" s="2" t="s">
        <v>18</v>
      </c>
      <c r="E402" s="2" t="s">
        <v>391</v>
      </c>
      <c r="F402" s="2" t="str">
        <f>"2170672563 "</f>
        <v xml:space="preserve">2170672563 </v>
      </c>
      <c r="G402" s="2" t="str">
        <f t="shared" si="11"/>
        <v>ON1</v>
      </c>
      <c r="H402" s="2" t="s">
        <v>20</v>
      </c>
      <c r="I402" s="2" t="s">
        <v>392</v>
      </c>
      <c r="J402" s="2" t="str">
        <f>""</f>
        <v/>
      </c>
      <c r="K402" s="2" t="str">
        <f>"PFES1162671132_0001"</f>
        <v>PFES1162671132_0001</v>
      </c>
      <c r="L402" s="2">
        <v>1</v>
      </c>
      <c r="M402" s="2">
        <v>1</v>
      </c>
    </row>
    <row r="403" spans="1:13">
      <c r="A403" s="6">
        <v>43501</v>
      </c>
      <c r="B403" s="7">
        <v>0.68055555555555547</v>
      </c>
      <c r="C403" s="2" t="str">
        <f>"FES1162671361"</f>
        <v>FES1162671361</v>
      </c>
      <c r="D403" s="2" t="s">
        <v>18</v>
      </c>
      <c r="E403" s="2" t="s">
        <v>178</v>
      </c>
      <c r="F403" s="2" t="str">
        <f>"217067275 "</f>
        <v xml:space="preserve">217067275 </v>
      </c>
      <c r="G403" s="2" t="str">
        <f t="shared" si="11"/>
        <v>ON1</v>
      </c>
      <c r="H403" s="2" t="s">
        <v>20</v>
      </c>
      <c r="I403" s="2" t="s">
        <v>390</v>
      </c>
      <c r="J403" s="2" t="str">
        <f>""</f>
        <v/>
      </c>
      <c r="K403" s="2" t="str">
        <f>"PFES1162671361_0001"</f>
        <v>PFES1162671361_0001</v>
      </c>
      <c r="L403" s="2">
        <v>1</v>
      </c>
      <c r="M403" s="2">
        <v>1</v>
      </c>
    </row>
    <row r="404" spans="1:13">
      <c r="A404" s="6">
        <v>43501</v>
      </c>
      <c r="B404" s="7">
        <v>0.68055555555555547</v>
      </c>
      <c r="C404" s="2" t="str">
        <f>"FES1162671373"</f>
        <v>FES1162671373</v>
      </c>
      <c r="D404" s="2" t="s">
        <v>18</v>
      </c>
      <c r="E404" s="2" t="s">
        <v>386</v>
      </c>
      <c r="F404" s="2" t="str">
        <f>"2170672737 "</f>
        <v xml:space="preserve">2170672737 </v>
      </c>
      <c r="G404" s="2" t="str">
        <f t="shared" si="11"/>
        <v>ON1</v>
      </c>
      <c r="H404" s="2" t="s">
        <v>20</v>
      </c>
      <c r="I404" s="2" t="s">
        <v>41</v>
      </c>
      <c r="J404" s="2" t="str">
        <f>""</f>
        <v/>
      </c>
      <c r="K404" s="2" t="str">
        <f>"PFES1162671373_0001"</f>
        <v>PFES1162671373_0001</v>
      </c>
      <c r="L404" s="2">
        <v>1</v>
      </c>
      <c r="M404" s="2">
        <v>1</v>
      </c>
    </row>
    <row r="405" spans="1:13">
      <c r="A405" s="6">
        <v>43501</v>
      </c>
      <c r="B405" s="7">
        <v>0.67986111111111114</v>
      </c>
      <c r="C405" s="2" t="str">
        <f>"FES1162671372"</f>
        <v>FES1162671372</v>
      </c>
      <c r="D405" s="2" t="s">
        <v>18</v>
      </c>
      <c r="E405" s="2" t="s">
        <v>393</v>
      </c>
      <c r="F405" s="2" t="str">
        <f>"2170672736 "</f>
        <v xml:space="preserve">2170672736 </v>
      </c>
      <c r="G405" s="2" t="str">
        <f t="shared" si="11"/>
        <v>ON1</v>
      </c>
      <c r="H405" s="2" t="s">
        <v>20</v>
      </c>
      <c r="I405" s="2" t="s">
        <v>394</v>
      </c>
      <c r="J405" s="2" t="str">
        <f>""</f>
        <v/>
      </c>
      <c r="K405" s="2" t="str">
        <f>"PFES1162671372_0001"</f>
        <v>PFES1162671372_0001</v>
      </c>
      <c r="L405" s="2">
        <v>1</v>
      </c>
      <c r="M405" s="2">
        <v>1</v>
      </c>
    </row>
    <row r="406" spans="1:13">
      <c r="A406" s="6">
        <v>43501</v>
      </c>
      <c r="B406" s="7">
        <v>0.67986111111111114</v>
      </c>
      <c r="C406" s="2" t="str">
        <f>"FES1162671396"</f>
        <v>FES1162671396</v>
      </c>
      <c r="D406" s="2" t="s">
        <v>18</v>
      </c>
      <c r="E406" s="2" t="s">
        <v>19</v>
      </c>
      <c r="F406" s="2" t="str">
        <f>"2170672764 "</f>
        <v xml:space="preserve">2170672764 </v>
      </c>
      <c r="G406" s="2" t="str">
        <f t="shared" si="11"/>
        <v>ON1</v>
      </c>
      <c r="H406" s="2" t="s">
        <v>20</v>
      </c>
      <c r="I406" s="2" t="s">
        <v>21</v>
      </c>
      <c r="J406" s="2" t="str">
        <f>""</f>
        <v/>
      </c>
      <c r="K406" s="2" t="str">
        <f>"PFES1162671396_0001"</f>
        <v>PFES1162671396_0001</v>
      </c>
      <c r="L406" s="2">
        <v>1</v>
      </c>
      <c r="M406" s="2">
        <v>1</v>
      </c>
    </row>
    <row r="407" spans="1:13">
      <c r="A407" s="6">
        <v>43501</v>
      </c>
      <c r="B407" s="7">
        <v>0.67708333333333337</v>
      </c>
      <c r="C407" s="2" t="str">
        <f>"FES1162671106"</f>
        <v>FES1162671106</v>
      </c>
      <c r="D407" s="2" t="s">
        <v>18</v>
      </c>
      <c r="E407" s="2" t="s">
        <v>380</v>
      </c>
      <c r="F407" s="2" t="str">
        <f>"2170672001 "</f>
        <v xml:space="preserve">2170672001 </v>
      </c>
      <c r="G407" s="2" t="str">
        <f t="shared" si="11"/>
        <v>ON1</v>
      </c>
      <c r="H407" s="2" t="s">
        <v>20</v>
      </c>
      <c r="I407" s="2" t="s">
        <v>213</v>
      </c>
      <c r="J407" s="2" t="str">
        <f>""</f>
        <v/>
      </c>
      <c r="K407" s="2" t="str">
        <f>"PFES1162671106_0001"</f>
        <v>PFES1162671106_0001</v>
      </c>
      <c r="L407" s="2">
        <v>1</v>
      </c>
      <c r="M407" s="2">
        <v>1</v>
      </c>
    </row>
    <row r="408" spans="1:13">
      <c r="A408" s="6">
        <v>43501</v>
      </c>
      <c r="B408" s="7">
        <v>0.67708333333333337</v>
      </c>
      <c r="C408" s="2" t="str">
        <f>"FES1162671340"</f>
        <v>FES1162671340</v>
      </c>
      <c r="D408" s="2" t="s">
        <v>18</v>
      </c>
      <c r="E408" s="2" t="s">
        <v>395</v>
      </c>
      <c r="F408" s="2" t="str">
        <f>"2170672700 "</f>
        <v xml:space="preserve">2170672700 </v>
      </c>
      <c r="G408" s="2" t="str">
        <f t="shared" si="11"/>
        <v>ON1</v>
      </c>
      <c r="H408" s="2" t="s">
        <v>20</v>
      </c>
      <c r="I408" s="2" t="s">
        <v>396</v>
      </c>
      <c r="J408" s="2" t="str">
        <f>""</f>
        <v/>
      </c>
      <c r="K408" s="2" t="str">
        <f>"PFES1162671340_0001"</f>
        <v>PFES1162671340_0001</v>
      </c>
      <c r="L408" s="2">
        <v>1</v>
      </c>
      <c r="M408" s="2">
        <v>1</v>
      </c>
    </row>
    <row r="409" spans="1:13">
      <c r="A409" s="6">
        <v>43501</v>
      </c>
      <c r="B409" s="7">
        <v>0.67708333333333337</v>
      </c>
      <c r="C409" s="2" t="str">
        <f>"FES1162671278"</f>
        <v>FES1162671278</v>
      </c>
      <c r="D409" s="2" t="s">
        <v>18</v>
      </c>
      <c r="E409" s="2" t="s">
        <v>397</v>
      </c>
      <c r="F409" s="2" t="str">
        <f>"2170672639 "</f>
        <v xml:space="preserve">2170672639 </v>
      </c>
      <c r="G409" s="2" t="str">
        <f t="shared" si="11"/>
        <v>ON1</v>
      </c>
      <c r="H409" s="2" t="s">
        <v>20</v>
      </c>
      <c r="I409" s="2" t="s">
        <v>228</v>
      </c>
      <c r="J409" s="2" t="str">
        <f>""</f>
        <v/>
      </c>
      <c r="K409" s="2" t="str">
        <f>"PFES1162671278_0001"</f>
        <v>PFES1162671278_0001</v>
      </c>
      <c r="L409" s="2">
        <v>1</v>
      </c>
      <c r="M409" s="2">
        <v>2</v>
      </c>
    </row>
    <row r="410" spans="1:13">
      <c r="A410" s="6">
        <v>43501</v>
      </c>
      <c r="B410" s="7">
        <v>0.67638888888888893</v>
      </c>
      <c r="C410" s="2" t="str">
        <f>"FES1162671303"</f>
        <v>FES1162671303</v>
      </c>
      <c r="D410" s="2" t="s">
        <v>18</v>
      </c>
      <c r="E410" s="2" t="s">
        <v>398</v>
      </c>
      <c r="F410" s="2" t="str">
        <f>"2170671887 "</f>
        <v xml:space="preserve">2170671887 </v>
      </c>
      <c r="G410" s="2" t="str">
        <f t="shared" si="11"/>
        <v>ON1</v>
      </c>
      <c r="H410" s="2" t="s">
        <v>20</v>
      </c>
      <c r="I410" s="2" t="s">
        <v>226</v>
      </c>
      <c r="J410" s="2" t="str">
        <f>""</f>
        <v/>
      </c>
      <c r="K410" s="2" t="str">
        <f>"PFES1162671303_0001"</f>
        <v>PFES1162671303_0001</v>
      </c>
      <c r="L410" s="2">
        <v>1</v>
      </c>
      <c r="M410" s="2">
        <v>1</v>
      </c>
    </row>
    <row r="411" spans="1:13">
      <c r="A411" s="6">
        <v>43501</v>
      </c>
      <c r="B411" s="7">
        <v>0.67569444444444438</v>
      </c>
      <c r="C411" s="2" t="str">
        <f>"FES1162671341"</f>
        <v>FES1162671341</v>
      </c>
      <c r="D411" s="2" t="s">
        <v>18</v>
      </c>
      <c r="E411" s="2" t="s">
        <v>49</v>
      </c>
      <c r="F411" s="2" t="str">
        <f>"2170672701 "</f>
        <v xml:space="preserve">2170672701 </v>
      </c>
      <c r="G411" s="2" t="str">
        <f t="shared" si="11"/>
        <v>ON1</v>
      </c>
      <c r="H411" s="2" t="s">
        <v>20</v>
      </c>
      <c r="I411" s="2" t="s">
        <v>50</v>
      </c>
      <c r="J411" s="2" t="str">
        <f>""</f>
        <v/>
      </c>
      <c r="K411" s="2" t="str">
        <f>"PFES1162671341_0001"</f>
        <v>PFES1162671341_0001</v>
      </c>
      <c r="L411" s="2">
        <v>1</v>
      </c>
      <c r="M411" s="2">
        <v>4</v>
      </c>
    </row>
    <row r="412" spans="1:13">
      <c r="A412" s="6">
        <v>43501</v>
      </c>
      <c r="B412" s="7">
        <v>0.67569444444444438</v>
      </c>
      <c r="C412" s="2" t="str">
        <f>"FES1162671275"</f>
        <v>FES1162671275</v>
      </c>
      <c r="D412" s="2" t="s">
        <v>18</v>
      </c>
      <c r="E412" s="2" t="s">
        <v>399</v>
      </c>
      <c r="F412" s="2" t="str">
        <f>"2170672632 "</f>
        <v xml:space="preserve">2170672632 </v>
      </c>
      <c r="G412" s="2" t="str">
        <f t="shared" si="11"/>
        <v>ON1</v>
      </c>
      <c r="H412" s="2" t="s">
        <v>20</v>
      </c>
      <c r="I412" s="2" t="s">
        <v>29</v>
      </c>
      <c r="J412" s="2" t="str">
        <f>""</f>
        <v/>
      </c>
      <c r="K412" s="2" t="str">
        <f>"PFES1162671275_0001"</f>
        <v>PFES1162671275_0001</v>
      </c>
      <c r="L412" s="2">
        <v>1</v>
      </c>
      <c r="M412" s="2">
        <v>1</v>
      </c>
    </row>
    <row r="413" spans="1:13">
      <c r="A413" s="6">
        <v>43501</v>
      </c>
      <c r="B413" s="7">
        <v>0.67569444444444438</v>
      </c>
      <c r="C413" s="2" t="str">
        <f>"FES1162671076"</f>
        <v>FES1162671076</v>
      </c>
      <c r="D413" s="2" t="s">
        <v>18</v>
      </c>
      <c r="E413" s="2" t="s">
        <v>400</v>
      </c>
      <c r="F413" s="2" t="str">
        <f>"21706669024 "</f>
        <v xml:space="preserve">21706669024 </v>
      </c>
      <c r="G413" s="2" t="str">
        <f t="shared" si="11"/>
        <v>ON1</v>
      </c>
      <c r="H413" s="2" t="s">
        <v>20</v>
      </c>
      <c r="I413" s="2" t="s">
        <v>133</v>
      </c>
      <c r="J413" s="2" t="str">
        <f>""</f>
        <v/>
      </c>
      <c r="K413" s="2" t="str">
        <f>"PFES1162671076_0001"</f>
        <v>PFES1162671076_0001</v>
      </c>
      <c r="L413" s="2">
        <v>1</v>
      </c>
      <c r="M413" s="2">
        <v>1</v>
      </c>
    </row>
    <row r="414" spans="1:13">
      <c r="A414" s="6">
        <v>43501</v>
      </c>
      <c r="B414" s="7">
        <v>0.67499999999999993</v>
      </c>
      <c r="C414" s="2" t="str">
        <f>"FES1162671295"</f>
        <v>FES1162671295</v>
      </c>
      <c r="D414" s="2" t="s">
        <v>18</v>
      </c>
      <c r="E414" s="2" t="s">
        <v>185</v>
      </c>
      <c r="F414" s="2" t="str">
        <f>"2170672654 "</f>
        <v xml:space="preserve">2170672654 </v>
      </c>
      <c r="G414" s="2" t="str">
        <f t="shared" si="11"/>
        <v>ON1</v>
      </c>
      <c r="H414" s="2" t="s">
        <v>20</v>
      </c>
      <c r="I414" s="2" t="s">
        <v>93</v>
      </c>
      <c r="J414" s="2" t="str">
        <f>""</f>
        <v/>
      </c>
      <c r="K414" s="2" t="str">
        <f>"PFES1162671295_0001"</f>
        <v>PFES1162671295_0001</v>
      </c>
      <c r="L414" s="2">
        <v>1</v>
      </c>
      <c r="M414" s="2">
        <v>4</v>
      </c>
    </row>
    <row r="415" spans="1:13">
      <c r="A415" s="6">
        <v>43501</v>
      </c>
      <c r="B415" s="7">
        <v>0.67499999999999993</v>
      </c>
      <c r="C415" s="2" t="str">
        <f>"FES1162671296"</f>
        <v>FES1162671296</v>
      </c>
      <c r="D415" s="2" t="s">
        <v>18</v>
      </c>
      <c r="E415" s="2" t="s">
        <v>185</v>
      </c>
      <c r="F415" s="2" t="str">
        <f>"2170672657 "</f>
        <v xml:space="preserve">2170672657 </v>
      </c>
      <c r="G415" s="2" t="str">
        <f t="shared" si="11"/>
        <v>ON1</v>
      </c>
      <c r="H415" s="2" t="s">
        <v>20</v>
      </c>
      <c r="I415" s="2" t="s">
        <v>93</v>
      </c>
      <c r="J415" s="2" t="str">
        <f>""</f>
        <v/>
      </c>
      <c r="K415" s="2" t="str">
        <f>"PFES1162671296_0001"</f>
        <v>PFES1162671296_0001</v>
      </c>
      <c r="L415" s="2">
        <v>1</v>
      </c>
      <c r="M415" s="2">
        <v>4</v>
      </c>
    </row>
    <row r="416" spans="1:13">
      <c r="A416" s="6">
        <v>43501</v>
      </c>
      <c r="B416" s="7">
        <v>0.67291666666666661</v>
      </c>
      <c r="C416" s="2" t="str">
        <f>"FES1162671203"</f>
        <v>FES1162671203</v>
      </c>
      <c r="D416" s="2" t="s">
        <v>18</v>
      </c>
      <c r="E416" s="2" t="s">
        <v>212</v>
      </c>
      <c r="F416" s="2" t="str">
        <f>"2170667550 "</f>
        <v xml:space="preserve">2170667550 </v>
      </c>
      <c r="G416" s="2" t="str">
        <f t="shared" si="11"/>
        <v>ON1</v>
      </c>
      <c r="H416" s="2" t="s">
        <v>20</v>
      </c>
      <c r="I416" s="2" t="s">
        <v>213</v>
      </c>
      <c r="J416" s="2" t="str">
        <f>""</f>
        <v/>
      </c>
      <c r="K416" s="2" t="str">
        <f>"PFES1162671203_0001"</f>
        <v>PFES1162671203_0001</v>
      </c>
      <c r="L416" s="2">
        <v>1</v>
      </c>
      <c r="M416" s="2">
        <v>1</v>
      </c>
    </row>
    <row r="417" spans="1:13">
      <c r="A417" s="6">
        <v>43501</v>
      </c>
      <c r="B417" s="7">
        <v>0.67222222222222217</v>
      </c>
      <c r="C417" s="2" t="str">
        <f>"FES1162671249"</f>
        <v>FES1162671249</v>
      </c>
      <c r="D417" s="2" t="s">
        <v>18</v>
      </c>
      <c r="E417" s="2" t="s">
        <v>47</v>
      </c>
      <c r="F417" s="2" t="str">
        <f>"2170672603 "</f>
        <v xml:space="preserve">2170672603 </v>
      </c>
      <c r="G417" s="2" t="str">
        <f t="shared" si="11"/>
        <v>ON1</v>
      </c>
      <c r="H417" s="2" t="s">
        <v>20</v>
      </c>
      <c r="I417" s="2" t="s">
        <v>48</v>
      </c>
      <c r="J417" s="2" t="str">
        <f>""</f>
        <v/>
      </c>
      <c r="K417" s="2" t="str">
        <f>"PFES1162671249_0001"</f>
        <v>PFES1162671249_0001</v>
      </c>
      <c r="L417" s="2">
        <v>1</v>
      </c>
      <c r="M417" s="2">
        <v>1</v>
      </c>
    </row>
    <row r="418" spans="1:13">
      <c r="A418" s="6">
        <v>43501</v>
      </c>
      <c r="B418" s="7">
        <v>0.67222222222222217</v>
      </c>
      <c r="C418" s="2" t="str">
        <f>"FES1162671134"</f>
        <v>FES1162671134</v>
      </c>
      <c r="D418" s="2" t="s">
        <v>18</v>
      </c>
      <c r="E418" s="2" t="s">
        <v>391</v>
      </c>
      <c r="F418" s="2" t="str">
        <f>"2170672565 "</f>
        <v xml:space="preserve">2170672565 </v>
      </c>
      <c r="G418" s="2" t="str">
        <f t="shared" si="11"/>
        <v>ON1</v>
      </c>
      <c r="H418" s="2" t="s">
        <v>20</v>
      </c>
      <c r="I418" s="2" t="s">
        <v>392</v>
      </c>
      <c r="J418" s="2" t="str">
        <f>""</f>
        <v/>
      </c>
      <c r="K418" s="2" t="str">
        <f>"PFES1162671134_0001"</f>
        <v>PFES1162671134_0001</v>
      </c>
      <c r="L418" s="2">
        <v>1</v>
      </c>
      <c r="M418" s="2">
        <v>1</v>
      </c>
    </row>
    <row r="419" spans="1:13">
      <c r="A419" s="6">
        <v>43501</v>
      </c>
      <c r="B419" s="7">
        <v>0.67222222222222217</v>
      </c>
      <c r="C419" s="2" t="str">
        <f>"FES1162671333"</f>
        <v>FES1162671333</v>
      </c>
      <c r="D419" s="2" t="s">
        <v>18</v>
      </c>
      <c r="E419" s="2" t="s">
        <v>185</v>
      </c>
      <c r="F419" s="2" t="str">
        <f>"2170672690 "</f>
        <v xml:space="preserve">2170672690 </v>
      </c>
      <c r="G419" s="2" t="str">
        <f t="shared" si="11"/>
        <v>ON1</v>
      </c>
      <c r="H419" s="2" t="s">
        <v>20</v>
      </c>
      <c r="I419" s="2" t="s">
        <v>93</v>
      </c>
      <c r="J419" s="2" t="str">
        <f>""</f>
        <v/>
      </c>
      <c r="K419" s="2" t="str">
        <f>"PFES1162671333_0001"</f>
        <v>PFES1162671333_0001</v>
      </c>
      <c r="L419" s="2">
        <v>1</v>
      </c>
      <c r="M419" s="2">
        <v>1</v>
      </c>
    </row>
    <row r="420" spans="1:13">
      <c r="A420" s="6">
        <v>43501</v>
      </c>
      <c r="B420" s="7">
        <v>0.67222222222222217</v>
      </c>
      <c r="C420" s="2" t="str">
        <f>"FES1162671304"</f>
        <v>FES1162671304</v>
      </c>
      <c r="D420" s="2" t="s">
        <v>18</v>
      </c>
      <c r="E420" s="2" t="s">
        <v>401</v>
      </c>
      <c r="F420" s="2" t="str">
        <f>"2170670798 "</f>
        <v xml:space="preserve">2170670798 </v>
      </c>
      <c r="G420" s="2" t="str">
        <f t="shared" si="11"/>
        <v>ON1</v>
      </c>
      <c r="H420" s="2" t="s">
        <v>20</v>
      </c>
      <c r="I420" s="2" t="s">
        <v>402</v>
      </c>
      <c r="J420" s="2" t="str">
        <f>""</f>
        <v/>
      </c>
      <c r="K420" s="2" t="str">
        <f>"PFES1162671304_0001"</f>
        <v>PFES1162671304_0001</v>
      </c>
      <c r="L420" s="2">
        <v>1</v>
      </c>
      <c r="M420" s="2">
        <v>1</v>
      </c>
    </row>
    <row r="421" spans="1:13">
      <c r="A421" s="6">
        <v>43501</v>
      </c>
      <c r="B421" s="7">
        <v>0.67222222222222217</v>
      </c>
      <c r="C421" s="2" t="str">
        <f>"FES1162671322"</f>
        <v>FES1162671322</v>
      </c>
      <c r="D421" s="2" t="s">
        <v>18</v>
      </c>
      <c r="E421" s="2" t="s">
        <v>403</v>
      </c>
      <c r="F421" s="2" t="str">
        <f>"2170672589 "</f>
        <v xml:space="preserve">2170672589 </v>
      </c>
      <c r="G421" s="2" t="str">
        <f t="shared" si="11"/>
        <v>ON1</v>
      </c>
      <c r="H421" s="2" t="s">
        <v>20</v>
      </c>
      <c r="I421" s="2" t="s">
        <v>404</v>
      </c>
      <c r="J421" s="2" t="str">
        <f>""</f>
        <v/>
      </c>
      <c r="K421" s="2" t="str">
        <f>"PFES1162671322_0001"</f>
        <v>PFES1162671322_0001</v>
      </c>
      <c r="L421" s="2">
        <v>1</v>
      </c>
      <c r="M421" s="2">
        <v>11</v>
      </c>
    </row>
    <row r="422" spans="1:13">
      <c r="A422" s="6">
        <v>43501</v>
      </c>
      <c r="B422" s="7">
        <v>0.67152777777777783</v>
      </c>
      <c r="C422" s="2" t="str">
        <f>"FES1162671321"</f>
        <v>FES1162671321</v>
      </c>
      <c r="D422" s="2" t="s">
        <v>18</v>
      </c>
      <c r="E422" s="2" t="s">
        <v>403</v>
      </c>
      <c r="F422" s="2" t="str">
        <f>"2170672031 "</f>
        <v xml:space="preserve">2170672031 </v>
      </c>
      <c r="G422" s="2" t="str">
        <f t="shared" si="11"/>
        <v>ON1</v>
      </c>
      <c r="H422" s="2" t="s">
        <v>20</v>
      </c>
      <c r="I422" s="2" t="s">
        <v>404</v>
      </c>
      <c r="J422" s="2" t="str">
        <f>""</f>
        <v/>
      </c>
      <c r="K422" s="2" t="str">
        <f>"PFES1162671321_0001"</f>
        <v>PFES1162671321_0001</v>
      </c>
      <c r="L422" s="2">
        <v>1</v>
      </c>
      <c r="M422" s="2">
        <v>4</v>
      </c>
    </row>
    <row r="423" spans="1:13">
      <c r="A423" s="6">
        <v>43501</v>
      </c>
      <c r="B423" s="7">
        <v>0.67013888888888884</v>
      </c>
      <c r="C423" s="2" t="str">
        <f>"FES1162671281"</f>
        <v>FES1162671281</v>
      </c>
      <c r="D423" s="2" t="s">
        <v>18</v>
      </c>
      <c r="E423" s="2" t="s">
        <v>405</v>
      </c>
      <c r="F423" s="2" t="str">
        <f>"2170672645 "</f>
        <v xml:space="preserve">2170672645 </v>
      </c>
      <c r="G423" s="2" t="str">
        <f>"DBC"</f>
        <v>DBC</v>
      </c>
      <c r="H423" s="2" t="s">
        <v>20</v>
      </c>
      <c r="I423" s="2" t="s">
        <v>406</v>
      </c>
      <c r="J423" s="2" t="str">
        <f>"FRAGILE OIL"</f>
        <v>FRAGILE OIL</v>
      </c>
      <c r="K423" s="2" t="str">
        <f>"PFES1162671281_0001"</f>
        <v>PFES1162671281_0001</v>
      </c>
      <c r="L423" s="2">
        <v>1</v>
      </c>
      <c r="M423" s="2">
        <v>5</v>
      </c>
    </row>
    <row r="424" spans="1:13">
      <c r="A424" s="6">
        <v>43501</v>
      </c>
      <c r="B424" s="7">
        <v>0.6694444444444444</v>
      </c>
      <c r="C424" s="2" t="str">
        <f>"FES1162671318"</f>
        <v>FES1162671318</v>
      </c>
      <c r="D424" s="2" t="s">
        <v>18</v>
      </c>
      <c r="E424" s="2" t="s">
        <v>185</v>
      </c>
      <c r="F424" s="2" t="str">
        <f>"2170672672 "</f>
        <v xml:space="preserve">2170672672 </v>
      </c>
      <c r="G424" s="2" t="str">
        <f t="shared" ref="G424:G486" si="12">"ON1"</f>
        <v>ON1</v>
      </c>
      <c r="H424" s="2" t="s">
        <v>20</v>
      </c>
      <c r="I424" s="2" t="s">
        <v>93</v>
      </c>
      <c r="J424" s="2" t="str">
        <f>""</f>
        <v/>
      </c>
      <c r="K424" s="2" t="str">
        <f>"PFES1162671318_0001"</f>
        <v>PFES1162671318_0001</v>
      </c>
      <c r="L424" s="2">
        <v>1</v>
      </c>
      <c r="M424" s="2">
        <v>1</v>
      </c>
    </row>
    <row r="425" spans="1:13">
      <c r="A425" s="6">
        <v>43501</v>
      </c>
      <c r="B425" s="7">
        <v>0.6694444444444444</v>
      </c>
      <c r="C425" s="2" t="str">
        <f>"FES1162671307"</f>
        <v>FES1162671307</v>
      </c>
      <c r="D425" s="2" t="s">
        <v>18</v>
      </c>
      <c r="E425" s="2" t="s">
        <v>407</v>
      </c>
      <c r="F425" s="2" t="str">
        <f>"2170672644 "</f>
        <v xml:space="preserve">2170672644 </v>
      </c>
      <c r="G425" s="2" t="str">
        <f t="shared" si="12"/>
        <v>ON1</v>
      </c>
      <c r="H425" s="2" t="s">
        <v>20</v>
      </c>
      <c r="I425" s="2" t="s">
        <v>408</v>
      </c>
      <c r="J425" s="2" t="str">
        <f>""</f>
        <v/>
      </c>
      <c r="K425" s="2" t="str">
        <f>"PFES1162671307_0001"</f>
        <v>PFES1162671307_0001</v>
      </c>
      <c r="L425" s="2">
        <v>1</v>
      </c>
      <c r="M425" s="2">
        <v>1</v>
      </c>
    </row>
    <row r="426" spans="1:13">
      <c r="A426" s="6">
        <v>43501</v>
      </c>
      <c r="B426" s="7">
        <v>0.6694444444444444</v>
      </c>
      <c r="C426" s="2" t="str">
        <f>"FES1162671363"</f>
        <v>FES1162671363</v>
      </c>
      <c r="D426" s="2" t="s">
        <v>18</v>
      </c>
      <c r="E426" s="2" t="s">
        <v>214</v>
      </c>
      <c r="F426" s="2" t="str">
        <f>"2170672727 "</f>
        <v xml:space="preserve">2170672727 </v>
      </c>
      <c r="G426" s="2" t="str">
        <f t="shared" si="12"/>
        <v>ON1</v>
      </c>
      <c r="H426" s="2" t="s">
        <v>20</v>
      </c>
      <c r="I426" s="2" t="s">
        <v>215</v>
      </c>
      <c r="J426" s="2" t="str">
        <f>""</f>
        <v/>
      </c>
      <c r="K426" s="2" t="str">
        <f>"PFES1162671363_0001"</f>
        <v>PFES1162671363_0001</v>
      </c>
      <c r="L426" s="2">
        <v>1</v>
      </c>
      <c r="M426" s="2">
        <v>4</v>
      </c>
    </row>
    <row r="427" spans="1:13">
      <c r="A427" s="6">
        <v>43501</v>
      </c>
      <c r="B427" s="7">
        <v>0.66805555555555562</v>
      </c>
      <c r="C427" s="2" t="str">
        <f>"FES1162671364"</f>
        <v>FES1162671364</v>
      </c>
      <c r="D427" s="2" t="s">
        <v>18</v>
      </c>
      <c r="E427" s="2" t="s">
        <v>44</v>
      </c>
      <c r="F427" s="2" t="str">
        <f>"2170672728 "</f>
        <v xml:space="preserve">2170672728 </v>
      </c>
      <c r="G427" s="2" t="str">
        <f t="shared" si="12"/>
        <v>ON1</v>
      </c>
      <c r="H427" s="2" t="s">
        <v>20</v>
      </c>
      <c r="I427" s="2" t="s">
        <v>39</v>
      </c>
      <c r="J427" s="2" t="str">
        <f>""</f>
        <v/>
      </c>
      <c r="K427" s="2" t="str">
        <f>"PFES1162671364_0001"</f>
        <v>PFES1162671364_0001</v>
      </c>
      <c r="L427" s="2">
        <v>1</v>
      </c>
      <c r="M427" s="2">
        <v>3</v>
      </c>
    </row>
    <row r="428" spans="1:13">
      <c r="A428" s="6">
        <v>43501</v>
      </c>
      <c r="B428" s="7">
        <v>0.6645833333333333</v>
      </c>
      <c r="C428" s="2" t="str">
        <f>"FES1162671330"</f>
        <v>FES1162671330</v>
      </c>
      <c r="D428" s="2" t="s">
        <v>18</v>
      </c>
      <c r="E428" s="2" t="s">
        <v>409</v>
      </c>
      <c r="F428" s="2" t="str">
        <f>"2170672688 "</f>
        <v xml:space="preserve">2170672688 </v>
      </c>
      <c r="G428" s="2" t="str">
        <f t="shared" si="12"/>
        <v>ON1</v>
      </c>
      <c r="H428" s="2" t="s">
        <v>20</v>
      </c>
      <c r="I428" s="2" t="s">
        <v>410</v>
      </c>
      <c r="J428" s="2" t="str">
        <f>""</f>
        <v/>
      </c>
      <c r="K428" s="2" t="str">
        <f>"PFES1162671330_0001"</f>
        <v>PFES1162671330_0001</v>
      </c>
      <c r="L428" s="2">
        <v>1</v>
      </c>
      <c r="M428" s="2">
        <v>1</v>
      </c>
    </row>
    <row r="429" spans="1:13">
      <c r="A429" s="6">
        <v>43501</v>
      </c>
      <c r="B429" s="7">
        <v>0.6645833333333333</v>
      </c>
      <c r="C429" s="2" t="str">
        <f>"FES1162671328"</f>
        <v>FES1162671328</v>
      </c>
      <c r="D429" s="2" t="s">
        <v>18</v>
      </c>
      <c r="E429" s="2" t="s">
        <v>411</v>
      </c>
      <c r="F429" s="2" t="str">
        <f>"2170672683 "</f>
        <v xml:space="preserve">2170672683 </v>
      </c>
      <c r="G429" s="2" t="str">
        <f t="shared" si="12"/>
        <v>ON1</v>
      </c>
      <c r="H429" s="2" t="s">
        <v>20</v>
      </c>
      <c r="I429" s="2" t="s">
        <v>412</v>
      </c>
      <c r="J429" s="2" t="str">
        <f>""</f>
        <v/>
      </c>
      <c r="K429" s="2" t="str">
        <f>"PFES1162671328_0001"</f>
        <v>PFES1162671328_0001</v>
      </c>
      <c r="L429" s="2">
        <v>1</v>
      </c>
      <c r="M429" s="2">
        <v>7</v>
      </c>
    </row>
    <row r="430" spans="1:13">
      <c r="A430" s="6">
        <v>43501</v>
      </c>
      <c r="B430" s="7">
        <v>0.6645833333333333</v>
      </c>
      <c r="C430" s="2" t="str">
        <f>"FES1162671320"</f>
        <v>FES1162671320</v>
      </c>
      <c r="D430" s="2" t="s">
        <v>18</v>
      </c>
      <c r="E430" s="2" t="s">
        <v>185</v>
      </c>
      <c r="F430" s="2" t="str">
        <f>"2170672674 "</f>
        <v xml:space="preserve">2170672674 </v>
      </c>
      <c r="G430" s="2" t="str">
        <f t="shared" si="12"/>
        <v>ON1</v>
      </c>
      <c r="H430" s="2" t="s">
        <v>20</v>
      </c>
      <c r="I430" s="2" t="s">
        <v>93</v>
      </c>
      <c r="J430" s="2" t="str">
        <f>""</f>
        <v/>
      </c>
      <c r="K430" s="2" t="str">
        <f>"PFES1162671320_0001"</f>
        <v>PFES1162671320_0001</v>
      </c>
      <c r="L430" s="2">
        <v>1</v>
      </c>
      <c r="M430" s="2">
        <v>1</v>
      </c>
    </row>
    <row r="431" spans="1:13">
      <c r="A431" s="6">
        <v>43501</v>
      </c>
      <c r="B431" s="7">
        <v>0.6645833333333333</v>
      </c>
      <c r="C431" s="2" t="str">
        <f>"FES1162671274"</f>
        <v>FES1162671274</v>
      </c>
      <c r="D431" s="2" t="s">
        <v>18</v>
      </c>
      <c r="E431" s="2" t="s">
        <v>176</v>
      </c>
      <c r="F431" s="2" t="str">
        <f>"2170671073 "</f>
        <v xml:space="preserve">2170671073 </v>
      </c>
      <c r="G431" s="2" t="str">
        <f t="shared" si="12"/>
        <v>ON1</v>
      </c>
      <c r="H431" s="2" t="s">
        <v>20</v>
      </c>
      <c r="I431" s="2" t="s">
        <v>177</v>
      </c>
      <c r="J431" s="2" t="str">
        <f>""</f>
        <v/>
      </c>
      <c r="K431" s="2" t="str">
        <f>"PFES1162671274_0001"</f>
        <v>PFES1162671274_0001</v>
      </c>
      <c r="L431" s="2">
        <v>1</v>
      </c>
      <c r="M431" s="2">
        <v>1</v>
      </c>
    </row>
    <row r="432" spans="1:13">
      <c r="A432" s="6">
        <v>43501</v>
      </c>
      <c r="B432" s="7">
        <v>0.66388888888888886</v>
      </c>
      <c r="C432" s="2" t="str">
        <f>"FES1162671319"</f>
        <v>FES1162671319</v>
      </c>
      <c r="D432" s="2" t="s">
        <v>18</v>
      </c>
      <c r="E432" s="2" t="s">
        <v>185</v>
      </c>
      <c r="F432" s="2" t="str">
        <f>"2170676273 "</f>
        <v xml:space="preserve">2170676273 </v>
      </c>
      <c r="G432" s="2" t="str">
        <f t="shared" si="12"/>
        <v>ON1</v>
      </c>
      <c r="H432" s="2" t="s">
        <v>20</v>
      </c>
      <c r="I432" s="2" t="s">
        <v>93</v>
      </c>
      <c r="J432" s="2" t="str">
        <f>""</f>
        <v/>
      </c>
      <c r="K432" s="2" t="str">
        <f>"PFES1162671319_0001"</f>
        <v>PFES1162671319_0001</v>
      </c>
      <c r="L432" s="2">
        <v>1</v>
      </c>
      <c r="M432" s="2">
        <v>1</v>
      </c>
    </row>
    <row r="433" spans="1:13">
      <c r="A433" s="6">
        <v>43501</v>
      </c>
      <c r="B433" s="7">
        <v>0.66388888888888886</v>
      </c>
      <c r="C433" s="2" t="str">
        <f>"FES1162671375"</f>
        <v>FES1162671375</v>
      </c>
      <c r="D433" s="2" t="s">
        <v>18</v>
      </c>
      <c r="E433" s="2" t="s">
        <v>140</v>
      </c>
      <c r="F433" s="2" t="str">
        <f>"2170672740 "</f>
        <v xml:space="preserve">2170672740 </v>
      </c>
      <c r="G433" s="2" t="str">
        <f t="shared" si="12"/>
        <v>ON1</v>
      </c>
      <c r="H433" s="2" t="s">
        <v>20</v>
      </c>
      <c r="I433" s="2" t="s">
        <v>141</v>
      </c>
      <c r="J433" s="2" t="str">
        <f>""</f>
        <v/>
      </c>
      <c r="K433" s="2" t="str">
        <f>"PFES1162671375_0001"</f>
        <v>PFES1162671375_0001</v>
      </c>
      <c r="L433" s="2">
        <v>1</v>
      </c>
      <c r="M433" s="2">
        <v>2</v>
      </c>
    </row>
    <row r="434" spans="1:13">
      <c r="A434" s="6">
        <v>43501</v>
      </c>
      <c r="B434" s="7">
        <v>0.66388888888888886</v>
      </c>
      <c r="C434" s="2" t="str">
        <f>"FES1162671327"</f>
        <v>FES1162671327</v>
      </c>
      <c r="D434" s="2" t="s">
        <v>18</v>
      </c>
      <c r="E434" s="2" t="s">
        <v>297</v>
      </c>
      <c r="F434" s="2" t="str">
        <f>"217067268 "</f>
        <v xml:space="preserve">217067268 </v>
      </c>
      <c r="G434" s="2" t="str">
        <f t="shared" si="12"/>
        <v>ON1</v>
      </c>
      <c r="H434" s="2" t="s">
        <v>20</v>
      </c>
      <c r="I434" s="2" t="s">
        <v>210</v>
      </c>
      <c r="J434" s="2" t="str">
        <f>""</f>
        <v/>
      </c>
      <c r="K434" s="2" t="str">
        <f>"PFES1162671327_0001"</f>
        <v>PFES1162671327_0001</v>
      </c>
      <c r="L434" s="2">
        <v>1</v>
      </c>
      <c r="M434" s="2">
        <v>1</v>
      </c>
    </row>
    <row r="435" spans="1:13">
      <c r="A435" s="6">
        <v>43501</v>
      </c>
      <c r="B435" s="7">
        <v>0.66319444444444442</v>
      </c>
      <c r="C435" s="2" t="str">
        <f>"FES1162671287"</f>
        <v>FES1162671287</v>
      </c>
      <c r="D435" s="2" t="s">
        <v>18</v>
      </c>
      <c r="E435" s="2" t="s">
        <v>102</v>
      </c>
      <c r="F435" s="2" t="str">
        <f>"2170672392 "</f>
        <v xml:space="preserve">2170672392 </v>
      </c>
      <c r="G435" s="2" t="str">
        <f t="shared" si="12"/>
        <v>ON1</v>
      </c>
      <c r="H435" s="2" t="s">
        <v>20</v>
      </c>
      <c r="I435" s="2" t="s">
        <v>103</v>
      </c>
      <c r="J435" s="2" t="str">
        <f>""</f>
        <v/>
      </c>
      <c r="K435" s="2" t="str">
        <f>"PFES1162671287_0001"</f>
        <v>PFES1162671287_0001</v>
      </c>
      <c r="L435" s="2">
        <v>1</v>
      </c>
      <c r="M435" s="2">
        <v>9</v>
      </c>
    </row>
    <row r="436" spans="1:13">
      <c r="A436" s="6">
        <v>43501</v>
      </c>
      <c r="B436" s="7">
        <v>0.66249999999999998</v>
      </c>
      <c r="C436" s="2" t="str">
        <f>"FES1162671329"</f>
        <v>FES1162671329</v>
      </c>
      <c r="D436" s="2" t="s">
        <v>18</v>
      </c>
      <c r="E436" s="2" t="s">
        <v>413</v>
      </c>
      <c r="F436" s="2" t="str">
        <f>"2170672684 "</f>
        <v xml:space="preserve">2170672684 </v>
      </c>
      <c r="G436" s="2" t="str">
        <f t="shared" si="12"/>
        <v>ON1</v>
      </c>
      <c r="H436" s="2" t="s">
        <v>20</v>
      </c>
      <c r="I436" s="2" t="s">
        <v>29</v>
      </c>
      <c r="J436" s="2" t="str">
        <f>""</f>
        <v/>
      </c>
      <c r="K436" s="2" t="str">
        <f>"PFES1162671329_0001"</f>
        <v>PFES1162671329_0001</v>
      </c>
      <c r="L436" s="2">
        <v>1</v>
      </c>
      <c r="M436" s="2">
        <v>1</v>
      </c>
    </row>
    <row r="437" spans="1:13">
      <c r="A437" s="6">
        <v>43501</v>
      </c>
      <c r="B437" s="7">
        <v>0.66180555555555554</v>
      </c>
      <c r="C437" s="2" t="str">
        <f>"FES1162671097"</f>
        <v>FES1162671097</v>
      </c>
      <c r="D437" s="2" t="s">
        <v>18</v>
      </c>
      <c r="E437" s="2" t="s">
        <v>414</v>
      </c>
      <c r="F437" s="2" t="str">
        <f>"2170671530 "</f>
        <v xml:space="preserve">2170671530 </v>
      </c>
      <c r="G437" s="2" t="str">
        <f t="shared" si="12"/>
        <v>ON1</v>
      </c>
      <c r="H437" s="2" t="s">
        <v>20</v>
      </c>
      <c r="I437" s="2" t="s">
        <v>99</v>
      </c>
      <c r="J437" s="2" t="str">
        <f>""</f>
        <v/>
      </c>
      <c r="K437" s="2" t="str">
        <f>"PFES1162671097_0001"</f>
        <v>PFES1162671097_0001</v>
      </c>
      <c r="L437" s="2">
        <v>1</v>
      </c>
      <c r="M437" s="2">
        <v>1</v>
      </c>
    </row>
    <row r="438" spans="1:13">
      <c r="A438" s="6">
        <v>43501</v>
      </c>
      <c r="B438" s="7">
        <v>0.66180555555555554</v>
      </c>
      <c r="C438" s="2" t="str">
        <f>"FES1162671133"</f>
        <v>FES1162671133</v>
      </c>
      <c r="D438" s="2" t="s">
        <v>18</v>
      </c>
      <c r="E438" s="2" t="s">
        <v>391</v>
      </c>
      <c r="F438" s="2" t="str">
        <f>"2170672564 "</f>
        <v xml:space="preserve">2170672564 </v>
      </c>
      <c r="G438" s="2" t="str">
        <f t="shared" si="12"/>
        <v>ON1</v>
      </c>
      <c r="H438" s="2" t="s">
        <v>20</v>
      </c>
      <c r="I438" s="2" t="s">
        <v>392</v>
      </c>
      <c r="J438" s="2" t="str">
        <f>""</f>
        <v/>
      </c>
      <c r="K438" s="2" t="str">
        <f>"PFES1162671133_0001"</f>
        <v>PFES1162671133_0001</v>
      </c>
      <c r="L438" s="2">
        <v>1</v>
      </c>
      <c r="M438" s="2">
        <v>1</v>
      </c>
    </row>
    <row r="439" spans="1:13">
      <c r="A439" s="6">
        <v>43501</v>
      </c>
      <c r="B439" s="7">
        <v>0.66111111111111109</v>
      </c>
      <c r="C439" s="2" t="str">
        <f>"FES1162671096"</f>
        <v>FES1162671096</v>
      </c>
      <c r="D439" s="2" t="s">
        <v>18</v>
      </c>
      <c r="E439" s="2" t="s">
        <v>138</v>
      </c>
      <c r="F439" s="2" t="str">
        <f>"2170671522 "</f>
        <v xml:space="preserve">2170671522 </v>
      </c>
      <c r="G439" s="2" t="str">
        <f t="shared" si="12"/>
        <v>ON1</v>
      </c>
      <c r="H439" s="2" t="s">
        <v>20</v>
      </c>
      <c r="I439" s="2" t="s">
        <v>139</v>
      </c>
      <c r="J439" s="2" t="str">
        <f>""</f>
        <v/>
      </c>
      <c r="K439" s="2" t="str">
        <f>"PFES1162671096_0001"</f>
        <v>PFES1162671096_0001</v>
      </c>
      <c r="L439" s="2">
        <v>1</v>
      </c>
      <c r="M439" s="2">
        <v>1</v>
      </c>
    </row>
    <row r="440" spans="1:13">
      <c r="A440" s="6">
        <v>43501</v>
      </c>
      <c r="B440" s="7">
        <v>0.66111111111111109</v>
      </c>
      <c r="C440" s="2" t="str">
        <f>"FES1162671297"</f>
        <v>FES1162671297</v>
      </c>
      <c r="D440" s="2" t="s">
        <v>18</v>
      </c>
      <c r="E440" s="2" t="s">
        <v>185</v>
      </c>
      <c r="F440" s="2" t="str">
        <f>"2170372658 "</f>
        <v xml:space="preserve">2170372658 </v>
      </c>
      <c r="G440" s="2" t="str">
        <f t="shared" si="12"/>
        <v>ON1</v>
      </c>
      <c r="H440" s="2" t="s">
        <v>20</v>
      </c>
      <c r="I440" s="2" t="s">
        <v>93</v>
      </c>
      <c r="J440" s="2" t="str">
        <f>""</f>
        <v/>
      </c>
      <c r="K440" s="2" t="str">
        <f>"PFES1162671297_0001"</f>
        <v>PFES1162671297_0001</v>
      </c>
      <c r="L440" s="2">
        <v>3</v>
      </c>
      <c r="M440" s="2">
        <v>16</v>
      </c>
    </row>
    <row r="441" spans="1:13">
      <c r="A441" s="6">
        <v>43496</v>
      </c>
      <c r="B441" s="7">
        <v>0.625</v>
      </c>
      <c r="C441" s="2" t="str">
        <f>"FES1162671297"</f>
        <v>FES1162671297</v>
      </c>
      <c r="D441" s="2" t="s">
        <v>18</v>
      </c>
      <c r="E441" s="2" t="s">
        <v>415</v>
      </c>
      <c r="F441" s="2" t="str">
        <f>"2170671974 "</f>
        <v xml:space="preserve">2170671974 </v>
      </c>
      <c r="G441" s="2" t="str">
        <f t="shared" si="12"/>
        <v>ON1</v>
      </c>
      <c r="H441" s="2" t="s">
        <v>20</v>
      </c>
      <c r="I441" s="2" t="s">
        <v>416</v>
      </c>
      <c r="J441" s="2" t="str">
        <f>""</f>
        <v/>
      </c>
      <c r="K441" s="2" t="str">
        <f>"PFES1162671297_0002"</f>
        <v>PFES1162671297_0002</v>
      </c>
      <c r="L441" s="2">
        <v>1</v>
      </c>
      <c r="M441" s="2">
        <v>1</v>
      </c>
    </row>
    <row r="442" spans="1:13">
      <c r="A442" s="6">
        <v>43496</v>
      </c>
      <c r="B442" s="7">
        <v>0.62430555555555556</v>
      </c>
      <c r="C442" s="2" t="str">
        <f>"FES1162671297"</f>
        <v>FES1162671297</v>
      </c>
      <c r="D442" s="2" t="s">
        <v>18</v>
      </c>
      <c r="E442" s="2" t="s">
        <v>417</v>
      </c>
      <c r="F442" s="2" t="str">
        <f>"2170669892 "</f>
        <v xml:space="preserve">2170669892 </v>
      </c>
      <c r="G442" s="2" t="str">
        <f t="shared" si="12"/>
        <v>ON1</v>
      </c>
      <c r="H442" s="2" t="s">
        <v>20</v>
      </c>
      <c r="I442" s="2" t="s">
        <v>418</v>
      </c>
      <c r="J442" s="2" t="str">
        <f>""</f>
        <v/>
      </c>
      <c r="K442" s="2" t="str">
        <f>"PFES1162671297_0003"</f>
        <v>PFES1162671297_0003</v>
      </c>
      <c r="L442" s="2">
        <v>1</v>
      </c>
      <c r="M442" s="2">
        <v>1</v>
      </c>
    </row>
    <row r="443" spans="1:13">
      <c r="A443" s="6">
        <v>43501</v>
      </c>
      <c r="B443" s="7">
        <v>0.66111111111111109</v>
      </c>
      <c r="C443" s="2" t="str">
        <f>"FES1162671332"</f>
        <v>FES1162671332</v>
      </c>
      <c r="D443" s="2" t="s">
        <v>18</v>
      </c>
      <c r="E443" s="2" t="s">
        <v>419</v>
      </c>
      <c r="F443" s="2" t="str">
        <f>"2170672364 "</f>
        <v xml:space="preserve">2170672364 </v>
      </c>
      <c r="G443" s="2" t="str">
        <f t="shared" si="12"/>
        <v>ON1</v>
      </c>
      <c r="H443" s="2" t="s">
        <v>20</v>
      </c>
      <c r="I443" s="2" t="s">
        <v>420</v>
      </c>
      <c r="J443" s="2" t="str">
        <f>""</f>
        <v/>
      </c>
      <c r="K443" s="2" t="str">
        <f>"PFES1162671332_0001"</f>
        <v>PFES1162671332_0001</v>
      </c>
      <c r="L443" s="2">
        <v>1</v>
      </c>
      <c r="M443" s="2">
        <v>1</v>
      </c>
    </row>
    <row r="444" spans="1:13">
      <c r="A444" s="6">
        <v>43501</v>
      </c>
      <c r="B444" s="7">
        <v>0.66111111111111109</v>
      </c>
      <c r="C444" s="2" t="str">
        <f>"FES1162671367"</f>
        <v>FES1162671367</v>
      </c>
      <c r="D444" s="2" t="s">
        <v>18</v>
      </c>
      <c r="E444" s="2" t="s">
        <v>159</v>
      </c>
      <c r="F444" s="2" t="str">
        <f>"2170672731 "</f>
        <v xml:space="preserve">2170672731 </v>
      </c>
      <c r="G444" s="2" t="str">
        <f t="shared" si="12"/>
        <v>ON1</v>
      </c>
      <c r="H444" s="2" t="s">
        <v>20</v>
      </c>
      <c r="I444" s="2" t="s">
        <v>137</v>
      </c>
      <c r="J444" s="2" t="str">
        <f>""</f>
        <v/>
      </c>
      <c r="K444" s="2" t="str">
        <f>"PFES1162671367_0001"</f>
        <v>PFES1162671367_0001</v>
      </c>
      <c r="L444" s="2">
        <v>1</v>
      </c>
      <c r="M444" s="2">
        <v>1</v>
      </c>
    </row>
    <row r="445" spans="1:13">
      <c r="A445" s="6">
        <v>43501</v>
      </c>
      <c r="B445" s="7">
        <v>0.66041666666666665</v>
      </c>
      <c r="C445" s="2" t="str">
        <f>"FES1162671105"</f>
        <v>FES1162671105</v>
      </c>
      <c r="D445" s="2" t="s">
        <v>18</v>
      </c>
      <c r="E445" s="2" t="s">
        <v>421</v>
      </c>
      <c r="F445" s="2" t="str">
        <f>"2170671982 "</f>
        <v xml:space="preserve">2170671982 </v>
      </c>
      <c r="G445" s="2" t="str">
        <f t="shared" si="12"/>
        <v>ON1</v>
      </c>
      <c r="H445" s="2" t="s">
        <v>20</v>
      </c>
      <c r="I445" s="2" t="s">
        <v>99</v>
      </c>
      <c r="J445" s="2" t="str">
        <f>""</f>
        <v/>
      </c>
      <c r="K445" s="2" t="str">
        <f>"PFES1162671105_0001"</f>
        <v>PFES1162671105_0001</v>
      </c>
      <c r="L445" s="2">
        <v>1</v>
      </c>
      <c r="M445" s="2">
        <v>1</v>
      </c>
    </row>
    <row r="446" spans="1:13">
      <c r="A446" s="6">
        <v>43501</v>
      </c>
      <c r="B446" s="7">
        <v>0.66041666666666665</v>
      </c>
      <c r="C446" s="2" t="str">
        <f>"FES1162671081"</f>
        <v>FES1162671081</v>
      </c>
      <c r="D446" s="2" t="s">
        <v>18</v>
      </c>
      <c r="E446" s="2" t="s">
        <v>422</v>
      </c>
      <c r="F446" s="2" t="str">
        <f>"2170670142 "</f>
        <v xml:space="preserve">2170670142 </v>
      </c>
      <c r="G446" s="2" t="str">
        <f t="shared" si="12"/>
        <v>ON1</v>
      </c>
      <c r="H446" s="2" t="s">
        <v>20</v>
      </c>
      <c r="I446" s="2" t="s">
        <v>130</v>
      </c>
      <c r="J446" s="2" t="str">
        <f>""</f>
        <v/>
      </c>
      <c r="K446" s="2" t="str">
        <f>"PFES1162671081_0001"</f>
        <v>PFES1162671081_0001</v>
      </c>
      <c r="L446" s="2">
        <v>1</v>
      </c>
      <c r="M446" s="2">
        <v>1</v>
      </c>
    </row>
    <row r="447" spans="1:13">
      <c r="A447" s="6">
        <v>43501</v>
      </c>
      <c r="B447" s="7">
        <v>0.64861111111111114</v>
      </c>
      <c r="C447" s="2" t="str">
        <f>"FES1162671336"</f>
        <v>FES1162671336</v>
      </c>
      <c r="D447" s="2" t="s">
        <v>18</v>
      </c>
      <c r="E447" s="2" t="s">
        <v>195</v>
      </c>
      <c r="F447" s="2" t="str">
        <f>"2170672697 "</f>
        <v xml:space="preserve">2170672697 </v>
      </c>
      <c r="G447" s="2" t="str">
        <f t="shared" si="12"/>
        <v>ON1</v>
      </c>
      <c r="H447" s="2" t="s">
        <v>20</v>
      </c>
      <c r="I447" s="2" t="s">
        <v>96</v>
      </c>
      <c r="J447" s="2" t="str">
        <f>""</f>
        <v/>
      </c>
      <c r="K447" s="2" t="str">
        <f>"PFES1162671336_0001"</f>
        <v>PFES1162671336_0001</v>
      </c>
      <c r="L447" s="2">
        <v>1</v>
      </c>
      <c r="M447" s="2">
        <v>9</v>
      </c>
    </row>
    <row r="448" spans="1:13">
      <c r="A448" s="6">
        <v>43501</v>
      </c>
      <c r="B448" s="7">
        <v>0.64652777777777781</v>
      </c>
      <c r="C448" s="2" t="str">
        <f>"FES1162671050"</f>
        <v>FES1162671050</v>
      </c>
      <c r="D448" s="2" t="s">
        <v>18</v>
      </c>
      <c r="E448" s="2" t="s">
        <v>47</v>
      </c>
      <c r="F448" s="2" t="str">
        <f>"2170665298 "</f>
        <v xml:space="preserve">2170665298 </v>
      </c>
      <c r="G448" s="2" t="str">
        <f t="shared" si="12"/>
        <v>ON1</v>
      </c>
      <c r="H448" s="2" t="s">
        <v>20</v>
      </c>
      <c r="I448" s="2" t="s">
        <v>48</v>
      </c>
      <c r="J448" s="2" t="str">
        <f>""</f>
        <v/>
      </c>
      <c r="K448" s="2" t="str">
        <f>"PFES1162671050_0001"</f>
        <v>PFES1162671050_0001</v>
      </c>
      <c r="L448" s="2">
        <v>4</v>
      </c>
      <c r="M448" s="2">
        <v>12</v>
      </c>
    </row>
    <row r="449" spans="1:13">
      <c r="A449" s="6">
        <v>43501</v>
      </c>
      <c r="B449" s="7">
        <v>0.64652777777777781</v>
      </c>
      <c r="C449" s="2" t="str">
        <f>"FES1162671050"</f>
        <v>FES1162671050</v>
      </c>
      <c r="D449" s="2" t="s">
        <v>18</v>
      </c>
      <c r="E449" s="2" t="s">
        <v>47</v>
      </c>
      <c r="F449" s="2" t="str">
        <f t="shared" ref="F449:F451" si="13">"2170665298 "</f>
        <v xml:space="preserve">2170665298 </v>
      </c>
      <c r="G449" s="2" t="str">
        <f t="shared" si="12"/>
        <v>ON1</v>
      </c>
      <c r="H449" s="2" t="s">
        <v>20</v>
      </c>
      <c r="I449" s="2" t="s">
        <v>48</v>
      </c>
      <c r="J449" s="2"/>
      <c r="K449" s="2" t="str">
        <f>"PFES1162671050_0002"</f>
        <v>PFES1162671050_0002</v>
      </c>
      <c r="L449" s="2">
        <v>4</v>
      </c>
      <c r="M449" s="2">
        <v>12</v>
      </c>
    </row>
    <row r="450" spans="1:13">
      <c r="A450" s="6">
        <v>43501</v>
      </c>
      <c r="B450" s="7">
        <v>0.64652777777777781</v>
      </c>
      <c r="C450" s="2" t="str">
        <f>"FES1162671050"</f>
        <v>FES1162671050</v>
      </c>
      <c r="D450" s="2" t="s">
        <v>18</v>
      </c>
      <c r="E450" s="2" t="s">
        <v>47</v>
      </c>
      <c r="F450" s="2" t="str">
        <f t="shared" si="13"/>
        <v xml:space="preserve">2170665298 </v>
      </c>
      <c r="G450" s="2" t="str">
        <f t="shared" si="12"/>
        <v>ON1</v>
      </c>
      <c r="H450" s="2" t="s">
        <v>20</v>
      </c>
      <c r="I450" s="2" t="s">
        <v>48</v>
      </c>
      <c r="J450" s="2"/>
      <c r="K450" s="2" t="str">
        <f>"PFES1162671050_0003"</f>
        <v>PFES1162671050_0003</v>
      </c>
      <c r="L450" s="2">
        <v>4</v>
      </c>
      <c r="M450" s="2">
        <v>12</v>
      </c>
    </row>
    <row r="451" spans="1:13">
      <c r="A451" s="6">
        <v>43501</v>
      </c>
      <c r="B451" s="7">
        <v>0.64652777777777781</v>
      </c>
      <c r="C451" s="2" t="str">
        <f>"FES1162671050"</f>
        <v>FES1162671050</v>
      </c>
      <c r="D451" s="2" t="s">
        <v>18</v>
      </c>
      <c r="E451" s="2" t="s">
        <v>47</v>
      </c>
      <c r="F451" s="2" t="str">
        <f t="shared" si="13"/>
        <v xml:space="preserve">2170665298 </v>
      </c>
      <c r="G451" s="2" t="str">
        <f t="shared" si="12"/>
        <v>ON1</v>
      </c>
      <c r="H451" s="2" t="s">
        <v>20</v>
      </c>
      <c r="I451" s="2" t="s">
        <v>48</v>
      </c>
      <c r="J451" s="2"/>
      <c r="K451" s="2" t="str">
        <f>"PFES1162671050_0004"</f>
        <v>PFES1162671050_0004</v>
      </c>
      <c r="L451" s="2">
        <v>4</v>
      </c>
      <c r="M451" s="2">
        <v>12</v>
      </c>
    </row>
    <row r="452" spans="1:13">
      <c r="A452" s="6">
        <v>43501</v>
      </c>
      <c r="B452" s="7">
        <v>0.64583333333333337</v>
      </c>
      <c r="C452" s="2" t="str">
        <f>"FES1162671115"</f>
        <v>FES1162671115</v>
      </c>
      <c r="D452" s="2" t="s">
        <v>18</v>
      </c>
      <c r="E452" s="2" t="s">
        <v>423</v>
      </c>
      <c r="F452" s="2" t="str">
        <f>"2170637413 "</f>
        <v xml:space="preserve">2170637413 </v>
      </c>
      <c r="G452" s="2" t="str">
        <f t="shared" si="12"/>
        <v>ON1</v>
      </c>
      <c r="H452" s="2" t="s">
        <v>20</v>
      </c>
      <c r="I452" s="2" t="s">
        <v>424</v>
      </c>
      <c r="J452" s="2" t="str">
        <f>""</f>
        <v/>
      </c>
      <c r="K452" s="2" t="str">
        <f>"PFES1162671115_0001"</f>
        <v>PFES1162671115_0001</v>
      </c>
      <c r="L452" s="2">
        <v>1</v>
      </c>
      <c r="M452" s="2">
        <v>1</v>
      </c>
    </row>
    <row r="453" spans="1:13">
      <c r="A453" s="6">
        <v>43501</v>
      </c>
      <c r="B453" s="7">
        <v>0.64513888888888882</v>
      </c>
      <c r="C453" s="2" t="str">
        <f>"FES1162671074"</f>
        <v>FES1162671074</v>
      </c>
      <c r="D453" s="2" t="s">
        <v>18</v>
      </c>
      <c r="E453" s="2" t="s">
        <v>47</v>
      </c>
      <c r="F453" s="2" t="str">
        <f>"217067066 "</f>
        <v xml:space="preserve">217067066 </v>
      </c>
      <c r="G453" s="2" t="str">
        <f t="shared" si="12"/>
        <v>ON1</v>
      </c>
      <c r="H453" s="2" t="s">
        <v>20</v>
      </c>
      <c r="I453" s="2" t="s">
        <v>48</v>
      </c>
      <c r="J453" s="2" t="str">
        <f>""</f>
        <v/>
      </c>
      <c r="K453" s="2" t="str">
        <f>"PFES1162671074_0001"</f>
        <v>PFES1162671074_0001</v>
      </c>
      <c r="L453" s="2">
        <v>1</v>
      </c>
      <c r="M453" s="2">
        <v>1</v>
      </c>
    </row>
    <row r="454" spans="1:13">
      <c r="A454" s="6">
        <v>43501</v>
      </c>
      <c r="B454" s="7">
        <v>0.64513888888888882</v>
      </c>
      <c r="C454" s="2" t="str">
        <f>"FES1162671186"</f>
        <v>FES1162671186</v>
      </c>
      <c r="D454" s="2" t="s">
        <v>18</v>
      </c>
      <c r="E454" s="2" t="s">
        <v>212</v>
      </c>
      <c r="F454" s="2" t="str">
        <f>"2170671200 "</f>
        <v xml:space="preserve">2170671200 </v>
      </c>
      <c r="G454" s="2" t="str">
        <f t="shared" si="12"/>
        <v>ON1</v>
      </c>
      <c r="H454" s="2" t="s">
        <v>20</v>
      </c>
      <c r="I454" s="2" t="s">
        <v>213</v>
      </c>
      <c r="J454" s="2" t="str">
        <f>""</f>
        <v/>
      </c>
      <c r="K454" s="2" t="str">
        <f>"PFES1162671186_0001"</f>
        <v>PFES1162671186_0001</v>
      </c>
      <c r="L454" s="2">
        <v>1</v>
      </c>
      <c r="M454" s="2">
        <v>1</v>
      </c>
    </row>
    <row r="455" spans="1:13">
      <c r="A455" s="6">
        <v>43501</v>
      </c>
      <c r="B455" s="7">
        <v>0.64513888888888882</v>
      </c>
      <c r="C455" s="2" t="str">
        <f>"FES1162671049"</f>
        <v>FES1162671049</v>
      </c>
      <c r="D455" s="2" t="s">
        <v>18</v>
      </c>
      <c r="E455" s="2" t="s">
        <v>47</v>
      </c>
      <c r="F455" s="2" t="str">
        <f>"2170664923 "</f>
        <v xml:space="preserve">2170664923 </v>
      </c>
      <c r="G455" s="2" t="str">
        <f t="shared" si="12"/>
        <v>ON1</v>
      </c>
      <c r="H455" s="2" t="s">
        <v>20</v>
      </c>
      <c r="I455" s="2" t="s">
        <v>48</v>
      </c>
      <c r="J455" s="2" t="str">
        <f>""</f>
        <v/>
      </c>
      <c r="K455" s="2" t="str">
        <f>"PFES1162671049_0001"</f>
        <v>PFES1162671049_0001</v>
      </c>
      <c r="L455" s="2">
        <v>1</v>
      </c>
      <c r="M455" s="2">
        <v>18</v>
      </c>
    </row>
    <row r="456" spans="1:13">
      <c r="A456" s="6">
        <v>43501</v>
      </c>
      <c r="B456" s="7">
        <v>0.64513888888888882</v>
      </c>
      <c r="C456" s="2" t="str">
        <f>"FES1162671099"</f>
        <v>FES1162671099</v>
      </c>
      <c r="D456" s="2" t="s">
        <v>18</v>
      </c>
      <c r="E456" s="2" t="s">
        <v>425</v>
      </c>
      <c r="F456" s="2" t="str">
        <f>"2170671629 "</f>
        <v xml:space="preserve">2170671629 </v>
      </c>
      <c r="G456" s="2" t="str">
        <f t="shared" si="12"/>
        <v>ON1</v>
      </c>
      <c r="H456" s="2" t="s">
        <v>20</v>
      </c>
      <c r="I456" s="2" t="s">
        <v>213</v>
      </c>
      <c r="J456" s="2" t="str">
        <f>""</f>
        <v/>
      </c>
      <c r="K456" s="2" t="str">
        <f>"PFES1162671099_0001"</f>
        <v>PFES1162671099_0001</v>
      </c>
      <c r="L456" s="2">
        <v>1</v>
      </c>
      <c r="M456" s="2">
        <v>1</v>
      </c>
    </row>
    <row r="457" spans="1:13">
      <c r="A457" s="6">
        <v>43501</v>
      </c>
      <c r="B457" s="7">
        <v>0.64444444444444449</v>
      </c>
      <c r="C457" s="2" t="str">
        <f>"FES1162671348"</f>
        <v>FES1162671348</v>
      </c>
      <c r="D457" s="2" t="s">
        <v>18</v>
      </c>
      <c r="E457" s="2" t="s">
        <v>426</v>
      </c>
      <c r="F457" s="2" t="str">
        <f>"2170672706 "</f>
        <v xml:space="preserve">2170672706 </v>
      </c>
      <c r="G457" s="2" t="str">
        <f t="shared" si="12"/>
        <v>ON1</v>
      </c>
      <c r="H457" s="2" t="s">
        <v>20</v>
      </c>
      <c r="I457" s="2" t="s">
        <v>29</v>
      </c>
      <c r="J457" s="2" t="str">
        <f>""</f>
        <v/>
      </c>
      <c r="K457" s="2" t="str">
        <f>"PFES1162671348_0001"</f>
        <v>PFES1162671348_0001</v>
      </c>
      <c r="L457" s="2">
        <v>1</v>
      </c>
      <c r="M457" s="2">
        <v>1</v>
      </c>
    </row>
    <row r="458" spans="1:13">
      <c r="A458" s="6">
        <v>43501</v>
      </c>
      <c r="B458" s="7">
        <v>0.64374999999999993</v>
      </c>
      <c r="C458" s="2" t="str">
        <f>"FES1162671292"</f>
        <v>FES1162671292</v>
      </c>
      <c r="D458" s="2" t="s">
        <v>18</v>
      </c>
      <c r="E458" s="2" t="s">
        <v>166</v>
      </c>
      <c r="F458" s="2" t="str">
        <f>"2170672638 "</f>
        <v xml:space="preserve">2170672638 </v>
      </c>
      <c r="G458" s="2" t="str">
        <f t="shared" si="12"/>
        <v>ON1</v>
      </c>
      <c r="H458" s="2" t="s">
        <v>20</v>
      </c>
      <c r="I458" s="2" t="s">
        <v>167</v>
      </c>
      <c r="J458" s="2" t="str">
        <f>""</f>
        <v/>
      </c>
      <c r="K458" s="2" t="str">
        <f>"PFES1162671292_0001"</f>
        <v>PFES1162671292_0001</v>
      </c>
      <c r="L458" s="2">
        <v>1</v>
      </c>
      <c r="M458" s="2">
        <v>1</v>
      </c>
    </row>
    <row r="459" spans="1:13">
      <c r="A459" s="6">
        <v>43501</v>
      </c>
      <c r="B459" s="7">
        <v>0.64374999999999993</v>
      </c>
      <c r="C459" s="2" t="str">
        <f>"FES1162671286"</f>
        <v>FES1162671286</v>
      </c>
      <c r="D459" s="2" t="s">
        <v>18</v>
      </c>
      <c r="E459" s="2" t="s">
        <v>251</v>
      </c>
      <c r="F459" s="2" t="str">
        <f>"2170672362 "</f>
        <v xml:space="preserve">2170672362 </v>
      </c>
      <c r="G459" s="2" t="str">
        <f t="shared" si="12"/>
        <v>ON1</v>
      </c>
      <c r="H459" s="2" t="s">
        <v>20</v>
      </c>
      <c r="I459" s="2" t="s">
        <v>252</v>
      </c>
      <c r="J459" s="2" t="str">
        <f>""</f>
        <v/>
      </c>
      <c r="K459" s="2" t="str">
        <f>"PFES1162671286_0001"</f>
        <v>PFES1162671286_0001</v>
      </c>
      <c r="L459" s="2">
        <v>1</v>
      </c>
      <c r="M459" s="2">
        <v>5</v>
      </c>
    </row>
    <row r="460" spans="1:13">
      <c r="A460" s="6">
        <v>43501</v>
      </c>
      <c r="B460" s="7">
        <v>0.64374999999999993</v>
      </c>
      <c r="C460" s="2" t="str">
        <f>"FES1162671343"</f>
        <v>FES1162671343</v>
      </c>
      <c r="D460" s="2" t="s">
        <v>18</v>
      </c>
      <c r="E460" s="2" t="s">
        <v>427</v>
      </c>
      <c r="F460" s="2" t="str">
        <f>"2170670823 "</f>
        <v xml:space="preserve">2170670823 </v>
      </c>
      <c r="G460" s="2" t="str">
        <f t="shared" si="12"/>
        <v>ON1</v>
      </c>
      <c r="H460" s="2" t="s">
        <v>20</v>
      </c>
      <c r="I460" s="2" t="s">
        <v>226</v>
      </c>
      <c r="J460" s="2" t="str">
        <f>""</f>
        <v/>
      </c>
      <c r="K460" s="2" t="str">
        <f>"PFES1162671343_0001"</f>
        <v>PFES1162671343_0001</v>
      </c>
      <c r="L460" s="2">
        <v>1</v>
      </c>
      <c r="M460" s="2">
        <v>1</v>
      </c>
    </row>
    <row r="461" spans="1:13">
      <c r="A461" s="6">
        <v>43501</v>
      </c>
      <c r="B461" s="7">
        <v>0.6430555555555556</v>
      </c>
      <c r="C461" s="2" t="str">
        <f>"FES1162671267"</f>
        <v>FES1162671267</v>
      </c>
      <c r="D461" s="2" t="s">
        <v>18</v>
      </c>
      <c r="E461" s="2" t="s">
        <v>385</v>
      </c>
      <c r="F461" s="2" t="str">
        <f>"2170672023 "</f>
        <v xml:space="preserve">2170672023 </v>
      </c>
      <c r="G461" s="2" t="str">
        <f t="shared" si="12"/>
        <v>ON1</v>
      </c>
      <c r="H461" s="2" t="s">
        <v>20</v>
      </c>
      <c r="I461" s="2" t="s">
        <v>158</v>
      </c>
      <c r="J461" s="2" t="str">
        <f>""</f>
        <v/>
      </c>
      <c r="K461" s="2" t="str">
        <f>"PFES1162671267_0001"</f>
        <v>PFES1162671267_0001</v>
      </c>
      <c r="L461" s="2">
        <v>1</v>
      </c>
      <c r="M461" s="2">
        <v>1</v>
      </c>
    </row>
    <row r="462" spans="1:13">
      <c r="A462" s="6">
        <v>43501</v>
      </c>
      <c r="B462" s="7">
        <v>0.6430555555555556</v>
      </c>
      <c r="C462" s="2" t="str">
        <f>"FES1162671310"</f>
        <v>FES1162671310</v>
      </c>
      <c r="D462" s="2" t="s">
        <v>18</v>
      </c>
      <c r="E462" s="2" t="s">
        <v>428</v>
      </c>
      <c r="F462" s="2" t="str">
        <f>"2170672661 "</f>
        <v xml:space="preserve">2170672661 </v>
      </c>
      <c r="G462" s="2" t="str">
        <f t="shared" si="12"/>
        <v>ON1</v>
      </c>
      <c r="H462" s="2" t="s">
        <v>20</v>
      </c>
      <c r="I462" s="2" t="s">
        <v>429</v>
      </c>
      <c r="J462" s="2" t="str">
        <f>""</f>
        <v/>
      </c>
      <c r="K462" s="2" t="str">
        <f>"PFES1162671310_0001"</f>
        <v>PFES1162671310_0001</v>
      </c>
      <c r="L462" s="2">
        <v>1</v>
      </c>
      <c r="M462" s="2">
        <v>1</v>
      </c>
    </row>
    <row r="463" spans="1:13">
      <c r="A463" s="6">
        <v>43501</v>
      </c>
      <c r="B463" s="7">
        <v>0.64236111111111105</v>
      </c>
      <c r="C463" s="2" t="str">
        <f>"FES1162671291"</f>
        <v>FES1162671291</v>
      </c>
      <c r="D463" s="2" t="s">
        <v>18</v>
      </c>
      <c r="E463" s="2" t="s">
        <v>166</v>
      </c>
      <c r="F463" s="2" t="str">
        <f>"2170672636 "</f>
        <v xml:space="preserve">2170672636 </v>
      </c>
      <c r="G463" s="2" t="str">
        <f t="shared" si="12"/>
        <v>ON1</v>
      </c>
      <c r="H463" s="2" t="s">
        <v>20</v>
      </c>
      <c r="I463" s="2" t="s">
        <v>167</v>
      </c>
      <c r="J463" s="2" t="str">
        <f>""</f>
        <v/>
      </c>
      <c r="K463" s="2" t="str">
        <f>"PFES1162671291_0001"</f>
        <v>PFES1162671291_0001</v>
      </c>
      <c r="L463" s="2">
        <v>1</v>
      </c>
      <c r="M463" s="2">
        <v>1</v>
      </c>
    </row>
    <row r="464" spans="1:13">
      <c r="A464" s="6">
        <v>43501</v>
      </c>
      <c r="B464" s="7">
        <v>0.64236111111111105</v>
      </c>
      <c r="C464" s="2" t="str">
        <f>"FES1162671214"</f>
        <v>FES1162671214</v>
      </c>
      <c r="D464" s="2" t="s">
        <v>18</v>
      </c>
      <c r="E464" s="2" t="s">
        <v>430</v>
      </c>
      <c r="F464" s="2" t="str">
        <f>"2170670456 "</f>
        <v xml:space="preserve">2170670456 </v>
      </c>
      <c r="G464" s="2" t="str">
        <f t="shared" si="12"/>
        <v>ON1</v>
      </c>
      <c r="H464" s="2" t="s">
        <v>20</v>
      </c>
      <c r="I464" s="2" t="s">
        <v>43</v>
      </c>
      <c r="J464" s="2" t="str">
        <f>""</f>
        <v/>
      </c>
      <c r="K464" s="2" t="str">
        <f>"PFES1162671214_0001"</f>
        <v>PFES1162671214_0001</v>
      </c>
      <c r="L464" s="2">
        <v>1</v>
      </c>
      <c r="M464" s="2">
        <v>1</v>
      </c>
    </row>
    <row r="465" spans="1:13">
      <c r="A465" s="6">
        <v>43501</v>
      </c>
      <c r="B465" s="7">
        <v>0.64097222222222217</v>
      </c>
      <c r="C465" s="2" t="str">
        <f>"FES1162671290"</f>
        <v>FES1162671290</v>
      </c>
      <c r="D465" s="2" t="s">
        <v>18</v>
      </c>
      <c r="E465" s="2" t="s">
        <v>431</v>
      </c>
      <c r="F465" s="2" t="str">
        <f>"2170672625 "</f>
        <v xml:space="preserve">2170672625 </v>
      </c>
      <c r="G465" s="2" t="str">
        <f t="shared" si="12"/>
        <v>ON1</v>
      </c>
      <c r="H465" s="2" t="s">
        <v>20</v>
      </c>
      <c r="I465" s="2" t="s">
        <v>25</v>
      </c>
      <c r="J465" s="2" t="str">
        <f>""</f>
        <v/>
      </c>
      <c r="K465" s="2" t="str">
        <f>"PFES1162671290_0001"</f>
        <v>PFES1162671290_0001</v>
      </c>
      <c r="L465" s="2">
        <v>1</v>
      </c>
      <c r="M465" s="2">
        <v>1</v>
      </c>
    </row>
    <row r="466" spans="1:13">
      <c r="A466" s="6">
        <v>43501</v>
      </c>
      <c r="B466" s="7">
        <v>0.64027777777777783</v>
      </c>
      <c r="C466" s="2" t="str">
        <f>"FES1162671306"</f>
        <v>FES1162671306</v>
      </c>
      <c r="D466" s="2" t="s">
        <v>18</v>
      </c>
      <c r="E466" s="2" t="s">
        <v>432</v>
      </c>
      <c r="F466" s="2" t="str">
        <f>"2170672642 "</f>
        <v xml:space="preserve">2170672642 </v>
      </c>
      <c r="G466" s="2" t="str">
        <f t="shared" si="12"/>
        <v>ON1</v>
      </c>
      <c r="H466" s="2" t="s">
        <v>20</v>
      </c>
      <c r="I466" s="2" t="s">
        <v>433</v>
      </c>
      <c r="J466" s="2" t="str">
        <f>""</f>
        <v/>
      </c>
      <c r="K466" s="2" t="str">
        <f>"PFES1162671306_0001"</f>
        <v>PFES1162671306_0001</v>
      </c>
      <c r="L466" s="2">
        <v>1</v>
      </c>
      <c r="M466" s="2">
        <v>6</v>
      </c>
    </row>
    <row r="467" spans="1:13">
      <c r="A467" s="6">
        <v>43501</v>
      </c>
      <c r="B467" s="7">
        <v>0.63958333333333328</v>
      </c>
      <c r="C467" s="2" t="str">
        <f>"FES1162671282"</f>
        <v>FES1162671282</v>
      </c>
      <c r="D467" s="2" t="s">
        <v>18</v>
      </c>
      <c r="E467" s="2" t="s">
        <v>64</v>
      </c>
      <c r="F467" s="2" t="str">
        <f>"2170672647 "</f>
        <v xml:space="preserve">2170672647 </v>
      </c>
      <c r="G467" s="2" t="str">
        <f t="shared" si="12"/>
        <v>ON1</v>
      </c>
      <c r="H467" s="2" t="s">
        <v>20</v>
      </c>
      <c r="I467" s="2" t="s">
        <v>65</v>
      </c>
      <c r="J467" s="2" t="str">
        <f>""</f>
        <v/>
      </c>
      <c r="K467" s="2" t="str">
        <f>"PFES1162671282_0001"</f>
        <v>PFES1162671282_0001</v>
      </c>
      <c r="L467" s="2">
        <v>1</v>
      </c>
      <c r="M467" s="2">
        <v>2</v>
      </c>
    </row>
    <row r="468" spans="1:13">
      <c r="A468" s="6">
        <v>43501</v>
      </c>
      <c r="B468" s="7">
        <v>0.63888888888888895</v>
      </c>
      <c r="C468" s="2" t="str">
        <f>"FES1162671350"</f>
        <v>FES1162671350</v>
      </c>
      <c r="D468" s="2" t="s">
        <v>18</v>
      </c>
      <c r="E468" s="2" t="s">
        <v>214</v>
      </c>
      <c r="F468" s="2" t="str">
        <f>"2170672709 "</f>
        <v xml:space="preserve">2170672709 </v>
      </c>
      <c r="G468" s="2" t="str">
        <f t="shared" si="12"/>
        <v>ON1</v>
      </c>
      <c r="H468" s="2" t="s">
        <v>20</v>
      </c>
      <c r="I468" s="2" t="s">
        <v>215</v>
      </c>
      <c r="J468" s="2" t="str">
        <f>""</f>
        <v/>
      </c>
      <c r="K468" s="2" t="str">
        <f>"PFES1162671350_0001"</f>
        <v>PFES1162671350_0001</v>
      </c>
      <c r="L468" s="2">
        <v>1</v>
      </c>
      <c r="M468" s="2">
        <v>3</v>
      </c>
    </row>
    <row r="469" spans="1:13">
      <c r="A469" s="6">
        <v>43501</v>
      </c>
      <c r="B469" s="7">
        <v>0.63611111111111118</v>
      </c>
      <c r="C469" s="2" t="str">
        <f>"FES1162671289"</f>
        <v>FES1162671289</v>
      </c>
      <c r="D469" s="2" t="s">
        <v>18</v>
      </c>
      <c r="E469" s="2" t="s">
        <v>434</v>
      </c>
      <c r="F469" s="2" t="str">
        <f>"2170672566 "</f>
        <v xml:space="preserve">2170672566 </v>
      </c>
      <c r="G469" s="2" t="str">
        <f t="shared" si="12"/>
        <v>ON1</v>
      </c>
      <c r="H469" s="2" t="s">
        <v>20</v>
      </c>
      <c r="I469" s="2" t="s">
        <v>435</v>
      </c>
      <c r="J469" s="2" t="str">
        <f>""</f>
        <v/>
      </c>
      <c r="K469" s="2" t="str">
        <f>"PFES1162671289_0001"</f>
        <v>PFES1162671289_0001</v>
      </c>
      <c r="L469" s="2">
        <v>1</v>
      </c>
      <c r="M469" s="2">
        <v>2</v>
      </c>
    </row>
    <row r="470" spans="1:13">
      <c r="A470" s="6">
        <v>43501</v>
      </c>
      <c r="B470" s="7">
        <v>0.63541666666666663</v>
      </c>
      <c r="C470" s="2" t="str">
        <f>"FES1162671305"</f>
        <v>FES1162671305</v>
      </c>
      <c r="D470" s="2" t="s">
        <v>18</v>
      </c>
      <c r="E470" s="2" t="s">
        <v>436</v>
      </c>
      <c r="F470" s="2" t="str">
        <f>"2170672598 "</f>
        <v xml:space="preserve">2170672598 </v>
      </c>
      <c r="G470" s="2" t="str">
        <f t="shared" si="12"/>
        <v>ON1</v>
      </c>
      <c r="H470" s="2" t="s">
        <v>20</v>
      </c>
      <c r="I470" s="2" t="s">
        <v>437</v>
      </c>
      <c r="J470" s="2" t="str">
        <f>""</f>
        <v/>
      </c>
      <c r="K470" s="2" t="str">
        <f>"PFES1162671305_0001"</f>
        <v>PFES1162671305_0001</v>
      </c>
      <c r="L470" s="2">
        <v>1</v>
      </c>
      <c r="M470" s="2">
        <v>1</v>
      </c>
    </row>
    <row r="471" spans="1:13">
      <c r="A471" s="6">
        <v>43501</v>
      </c>
      <c r="B471" s="7">
        <v>0.63541666666666663</v>
      </c>
      <c r="C471" s="2" t="str">
        <f>"FES1162671298"</f>
        <v>FES1162671298</v>
      </c>
      <c r="D471" s="2" t="s">
        <v>18</v>
      </c>
      <c r="E471" s="2" t="s">
        <v>140</v>
      </c>
      <c r="F471" s="2" t="str">
        <f>"2170672662 "</f>
        <v xml:space="preserve">2170672662 </v>
      </c>
      <c r="G471" s="2" t="str">
        <f t="shared" si="12"/>
        <v>ON1</v>
      </c>
      <c r="H471" s="2" t="s">
        <v>20</v>
      </c>
      <c r="I471" s="2" t="s">
        <v>141</v>
      </c>
      <c r="J471" s="2" t="str">
        <f>""</f>
        <v/>
      </c>
      <c r="K471" s="2" t="str">
        <f>"PFES1162671298_0001"</f>
        <v>PFES1162671298_0001</v>
      </c>
      <c r="L471" s="2">
        <v>1</v>
      </c>
      <c r="M471" s="2">
        <v>1</v>
      </c>
    </row>
    <row r="472" spans="1:13">
      <c r="A472" s="6">
        <v>43501</v>
      </c>
      <c r="B472" s="7">
        <v>0.63472222222222219</v>
      </c>
      <c r="C472" s="2" t="str">
        <f>"FES1162671314"</f>
        <v>FES1162671314</v>
      </c>
      <c r="D472" s="2" t="s">
        <v>18</v>
      </c>
      <c r="E472" s="2" t="s">
        <v>438</v>
      </c>
      <c r="F472" s="2" t="str">
        <f>"2170672668 "</f>
        <v xml:space="preserve">2170672668 </v>
      </c>
      <c r="G472" s="2" t="str">
        <f t="shared" si="12"/>
        <v>ON1</v>
      </c>
      <c r="H472" s="2" t="s">
        <v>20</v>
      </c>
      <c r="I472" s="2" t="s">
        <v>390</v>
      </c>
      <c r="J472" s="2" t="str">
        <f>""</f>
        <v/>
      </c>
      <c r="K472" s="2" t="str">
        <f>"PFES1162671314_0001"</f>
        <v>PFES1162671314_0001</v>
      </c>
      <c r="L472" s="2">
        <v>1</v>
      </c>
      <c r="M472" s="2">
        <v>1</v>
      </c>
    </row>
    <row r="473" spans="1:13">
      <c r="A473" s="6">
        <v>43501</v>
      </c>
      <c r="B473" s="7">
        <v>0.63472222222222219</v>
      </c>
      <c r="C473" s="2" t="str">
        <f>"FES1162671283"</f>
        <v>FES1162671283</v>
      </c>
      <c r="D473" s="2" t="s">
        <v>18</v>
      </c>
      <c r="E473" s="2" t="s">
        <v>439</v>
      </c>
      <c r="F473" s="2" t="str">
        <f>"2170672648 "</f>
        <v xml:space="preserve">2170672648 </v>
      </c>
      <c r="G473" s="2" t="str">
        <f t="shared" si="12"/>
        <v>ON1</v>
      </c>
      <c r="H473" s="2" t="s">
        <v>20</v>
      </c>
      <c r="I473" s="2" t="s">
        <v>41</v>
      </c>
      <c r="J473" s="2" t="str">
        <f>""</f>
        <v/>
      </c>
      <c r="K473" s="2" t="str">
        <f>"PFES1162671283_0001"</f>
        <v>PFES1162671283_0001</v>
      </c>
      <c r="L473" s="2">
        <v>1</v>
      </c>
      <c r="M473" s="2">
        <v>1</v>
      </c>
    </row>
    <row r="474" spans="1:13">
      <c r="A474" s="6">
        <v>43501</v>
      </c>
      <c r="B474" s="7">
        <v>0.63472222222222219</v>
      </c>
      <c r="C474" s="2" t="str">
        <f>"FES1162671308"</f>
        <v>FES1162671308</v>
      </c>
      <c r="D474" s="2" t="s">
        <v>18</v>
      </c>
      <c r="E474" s="2" t="s">
        <v>249</v>
      </c>
      <c r="F474" s="2" t="str">
        <f>"2170672343 "</f>
        <v xml:space="preserve">2170672343 </v>
      </c>
      <c r="G474" s="2" t="str">
        <f t="shared" si="12"/>
        <v>ON1</v>
      </c>
      <c r="H474" s="2" t="s">
        <v>20</v>
      </c>
      <c r="I474" s="2" t="s">
        <v>29</v>
      </c>
      <c r="J474" s="2" t="str">
        <f>""</f>
        <v/>
      </c>
      <c r="K474" s="2" t="str">
        <f>"PFES1162671308_0001"</f>
        <v>PFES1162671308_0001</v>
      </c>
      <c r="L474" s="2">
        <v>1</v>
      </c>
      <c r="M474" s="2">
        <v>7</v>
      </c>
    </row>
    <row r="475" spans="1:13">
      <c r="A475" s="6">
        <v>43501</v>
      </c>
      <c r="B475" s="7">
        <v>0.63472222222222219</v>
      </c>
      <c r="C475" s="2" t="str">
        <f>"FES1162671083"</f>
        <v>FES1162671083</v>
      </c>
      <c r="D475" s="2" t="s">
        <v>18</v>
      </c>
      <c r="E475" s="2" t="s">
        <v>440</v>
      </c>
      <c r="F475" s="2" t="str">
        <f>"2170670424 "</f>
        <v xml:space="preserve">2170670424 </v>
      </c>
      <c r="G475" s="2" t="str">
        <f t="shared" si="12"/>
        <v>ON1</v>
      </c>
      <c r="H475" s="2" t="s">
        <v>20</v>
      </c>
      <c r="I475" s="2" t="s">
        <v>441</v>
      </c>
      <c r="J475" s="2" t="str">
        <f>""</f>
        <v/>
      </c>
      <c r="K475" s="2" t="str">
        <f>"PFES1162671083_0001"</f>
        <v>PFES1162671083_0001</v>
      </c>
      <c r="L475" s="2">
        <v>1</v>
      </c>
      <c r="M475" s="2">
        <v>1</v>
      </c>
    </row>
    <row r="476" spans="1:13">
      <c r="A476" s="6">
        <v>43501</v>
      </c>
      <c r="B476" s="7">
        <v>0.63402777777777775</v>
      </c>
      <c r="C476" s="2" t="str">
        <f>"FES1162671059"</f>
        <v>FES1162671059</v>
      </c>
      <c r="D476" s="2" t="s">
        <v>18</v>
      </c>
      <c r="E476" s="2" t="s">
        <v>47</v>
      </c>
      <c r="F476" s="2" t="str">
        <f>"2170668355 "</f>
        <v xml:space="preserve">2170668355 </v>
      </c>
      <c r="G476" s="2" t="str">
        <f t="shared" si="12"/>
        <v>ON1</v>
      </c>
      <c r="H476" s="2" t="s">
        <v>20</v>
      </c>
      <c r="I476" s="2" t="s">
        <v>48</v>
      </c>
      <c r="J476" s="2" t="str">
        <f>""</f>
        <v/>
      </c>
      <c r="K476" s="2" t="str">
        <f>"PFES1162671059_0001"</f>
        <v>PFES1162671059_0001</v>
      </c>
      <c r="L476" s="2">
        <v>1</v>
      </c>
      <c r="M476" s="2">
        <v>1</v>
      </c>
    </row>
    <row r="477" spans="1:13">
      <c r="A477" s="6">
        <v>43501</v>
      </c>
      <c r="B477" s="7">
        <v>0.63194444444444442</v>
      </c>
      <c r="C477" s="2" t="str">
        <f>"FES1162671055"</f>
        <v>FES1162671055</v>
      </c>
      <c r="D477" s="2" t="s">
        <v>18</v>
      </c>
      <c r="E477" s="2" t="s">
        <v>47</v>
      </c>
      <c r="F477" s="2" t="str">
        <f>"2170668076 "</f>
        <v xml:space="preserve">2170668076 </v>
      </c>
      <c r="G477" s="2" t="str">
        <f t="shared" si="12"/>
        <v>ON1</v>
      </c>
      <c r="H477" s="2" t="s">
        <v>20</v>
      </c>
      <c r="I477" s="2" t="s">
        <v>48</v>
      </c>
      <c r="J477" s="2" t="str">
        <f>""</f>
        <v/>
      </c>
      <c r="K477" s="2" t="str">
        <f>"PFES1162671055_0001"</f>
        <v>PFES1162671055_0001</v>
      </c>
      <c r="L477" s="2">
        <v>3</v>
      </c>
      <c r="M477" s="2">
        <v>11</v>
      </c>
    </row>
    <row r="478" spans="1:13">
      <c r="A478" s="6">
        <v>43501</v>
      </c>
      <c r="B478" s="7">
        <v>0.63194444444444442</v>
      </c>
      <c r="C478" s="2" t="str">
        <f>"FES1162671055"</f>
        <v>FES1162671055</v>
      </c>
      <c r="D478" s="2" t="s">
        <v>18</v>
      </c>
      <c r="E478" s="2" t="s">
        <v>47</v>
      </c>
      <c r="F478" s="2" t="str">
        <f t="shared" ref="F478:F479" si="14">"2170668076 "</f>
        <v xml:space="preserve">2170668076 </v>
      </c>
      <c r="G478" s="2" t="str">
        <f t="shared" si="12"/>
        <v>ON1</v>
      </c>
      <c r="H478" s="2" t="s">
        <v>20</v>
      </c>
      <c r="I478" s="2" t="s">
        <v>48</v>
      </c>
      <c r="J478" s="2"/>
      <c r="K478" s="2" t="str">
        <f>"PFES1162671055_0002"</f>
        <v>PFES1162671055_0002</v>
      </c>
      <c r="L478" s="2">
        <v>3</v>
      </c>
      <c r="M478" s="2">
        <v>11</v>
      </c>
    </row>
    <row r="479" spans="1:13">
      <c r="A479" s="6">
        <v>43501</v>
      </c>
      <c r="B479" s="7">
        <v>0.63194444444444442</v>
      </c>
      <c r="C479" s="2" t="str">
        <f>"FES1162671055"</f>
        <v>FES1162671055</v>
      </c>
      <c r="D479" s="2" t="s">
        <v>18</v>
      </c>
      <c r="E479" s="2" t="s">
        <v>47</v>
      </c>
      <c r="F479" s="2" t="str">
        <f t="shared" si="14"/>
        <v xml:space="preserve">2170668076 </v>
      </c>
      <c r="G479" s="2" t="str">
        <f t="shared" si="12"/>
        <v>ON1</v>
      </c>
      <c r="H479" s="2" t="s">
        <v>20</v>
      </c>
      <c r="I479" s="2" t="s">
        <v>48</v>
      </c>
      <c r="J479" s="2"/>
      <c r="K479" s="2" t="str">
        <f>"PFES1162671055_0003"</f>
        <v>PFES1162671055_0003</v>
      </c>
      <c r="L479" s="2">
        <v>3</v>
      </c>
      <c r="M479" s="2">
        <v>11</v>
      </c>
    </row>
    <row r="480" spans="1:13">
      <c r="A480" s="6">
        <v>43501</v>
      </c>
      <c r="B480" s="7">
        <v>0.63055555555555554</v>
      </c>
      <c r="C480" s="2" t="str">
        <f>"FES1162671048"</f>
        <v>FES1162671048</v>
      </c>
      <c r="D480" s="2" t="s">
        <v>18</v>
      </c>
      <c r="E480" s="2" t="s">
        <v>47</v>
      </c>
      <c r="F480" s="2" t="str">
        <f>"2170662402 "</f>
        <v xml:space="preserve">2170662402 </v>
      </c>
      <c r="G480" s="2" t="str">
        <f t="shared" si="12"/>
        <v>ON1</v>
      </c>
      <c r="H480" s="2" t="s">
        <v>20</v>
      </c>
      <c r="I480" s="2" t="s">
        <v>48</v>
      </c>
      <c r="J480" s="2" t="str">
        <f>""</f>
        <v/>
      </c>
      <c r="K480" s="2" t="str">
        <f>"PFES1162671048_0001"</f>
        <v>PFES1162671048_0001</v>
      </c>
      <c r="L480" s="2">
        <v>2</v>
      </c>
      <c r="M480" s="2">
        <v>4</v>
      </c>
    </row>
    <row r="481" spans="1:13">
      <c r="A481" s="6">
        <v>43501</v>
      </c>
      <c r="B481" s="7">
        <v>0.63055555555555554</v>
      </c>
      <c r="C481" s="2" t="str">
        <f>"FES1162671048"</f>
        <v>FES1162671048</v>
      </c>
      <c r="D481" s="2" t="s">
        <v>18</v>
      </c>
      <c r="E481" s="2" t="s">
        <v>47</v>
      </c>
      <c r="F481" s="2" t="str">
        <f>"2170662402 "</f>
        <v xml:space="preserve">2170662402 </v>
      </c>
      <c r="G481" s="2" t="str">
        <f t="shared" si="12"/>
        <v>ON1</v>
      </c>
      <c r="H481" s="2" t="s">
        <v>20</v>
      </c>
      <c r="I481" s="2" t="s">
        <v>48</v>
      </c>
      <c r="J481" s="2"/>
      <c r="K481" s="2" t="str">
        <f>"PFES1162671048_0002"</f>
        <v>PFES1162671048_0002</v>
      </c>
      <c r="L481" s="2">
        <v>2</v>
      </c>
      <c r="M481" s="2">
        <v>4</v>
      </c>
    </row>
    <row r="482" spans="1:13">
      <c r="A482" s="6">
        <v>43501</v>
      </c>
      <c r="B482" s="7">
        <v>0.62916666666666665</v>
      </c>
      <c r="C482" s="2" t="str">
        <f>"FES1162671053"</f>
        <v>FES1162671053</v>
      </c>
      <c r="D482" s="2" t="s">
        <v>18</v>
      </c>
      <c r="E482" s="2" t="s">
        <v>47</v>
      </c>
      <c r="F482" s="2" t="str">
        <f>"2170666551 "</f>
        <v xml:space="preserve">2170666551 </v>
      </c>
      <c r="G482" s="2" t="str">
        <f t="shared" si="12"/>
        <v>ON1</v>
      </c>
      <c r="H482" s="2" t="s">
        <v>20</v>
      </c>
      <c r="I482" s="2" t="s">
        <v>48</v>
      </c>
      <c r="J482" s="2" t="str">
        <f>""</f>
        <v/>
      </c>
      <c r="K482" s="2" t="str">
        <f>"PFES1162671053_0001"</f>
        <v>PFES1162671053_0001</v>
      </c>
      <c r="L482" s="2">
        <v>2</v>
      </c>
      <c r="M482" s="2">
        <v>6</v>
      </c>
    </row>
    <row r="483" spans="1:13">
      <c r="A483" s="6">
        <v>43501</v>
      </c>
      <c r="B483" s="7">
        <v>0.62916666666666665</v>
      </c>
      <c r="C483" s="2" t="str">
        <f>"FES1162671053"</f>
        <v>FES1162671053</v>
      </c>
      <c r="D483" s="2" t="s">
        <v>18</v>
      </c>
      <c r="E483" s="2" t="s">
        <v>47</v>
      </c>
      <c r="F483" s="2" t="str">
        <f>"2170666551 "</f>
        <v xml:space="preserve">2170666551 </v>
      </c>
      <c r="G483" s="2" t="str">
        <f t="shared" si="12"/>
        <v>ON1</v>
      </c>
      <c r="H483" s="2" t="s">
        <v>20</v>
      </c>
      <c r="I483" s="2" t="s">
        <v>48</v>
      </c>
      <c r="J483" s="2"/>
      <c r="K483" s="2" t="str">
        <f>"PFES1162671053_0002"</f>
        <v>PFES1162671053_0002</v>
      </c>
      <c r="L483" s="2">
        <v>2</v>
      </c>
      <c r="M483" s="2">
        <v>6</v>
      </c>
    </row>
    <row r="484" spans="1:13">
      <c r="A484" s="6">
        <v>43501</v>
      </c>
      <c r="B484" s="7">
        <v>0.62777777777777777</v>
      </c>
      <c r="C484" s="2" t="str">
        <f>"FES1162671057"</f>
        <v>FES1162671057</v>
      </c>
      <c r="D484" s="2" t="s">
        <v>18</v>
      </c>
      <c r="E484" s="2" t="s">
        <v>47</v>
      </c>
      <c r="F484" s="2" t="str">
        <f>"2170668210 "</f>
        <v xml:space="preserve">2170668210 </v>
      </c>
      <c r="G484" s="2" t="str">
        <f t="shared" si="12"/>
        <v>ON1</v>
      </c>
      <c r="H484" s="2" t="s">
        <v>20</v>
      </c>
      <c r="I484" s="2" t="s">
        <v>48</v>
      </c>
      <c r="J484" s="2" t="str">
        <f>""</f>
        <v/>
      </c>
      <c r="K484" s="2" t="str">
        <f>"PFES1162671057_0001"</f>
        <v>PFES1162671057_0001</v>
      </c>
      <c r="L484" s="2">
        <v>2</v>
      </c>
      <c r="M484" s="2">
        <v>11</v>
      </c>
    </row>
    <row r="485" spans="1:13">
      <c r="A485" s="6">
        <v>43501</v>
      </c>
      <c r="B485" s="7">
        <v>0.62777777777777777</v>
      </c>
      <c r="C485" s="2" t="str">
        <f>"FES1162671057"</f>
        <v>FES1162671057</v>
      </c>
      <c r="D485" s="2" t="s">
        <v>18</v>
      </c>
      <c r="E485" s="2" t="s">
        <v>47</v>
      </c>
      <c r="F485" s="2" t="str">
        <f>"2170668210 "</f>
        <v xml:space="preserve">2170668210 </v>
      </c>
      <c r="G485" s="2" t="str">
        <f t="shared" si="12"/>
        <v>ON1</v>
      </c>
      <c r="H485" s="2" t="s">
        <v>20</v>
      </c>
      <c r="I485" s="2" t="s">
        <v>48</v>
      </c>
      <c r="J485" s="2"/>
      <c r="K485" s="2" t="str">
        <f>"PFES1162671057_0002"</f>
        <v>PFES1162671057_0002</v>
      </c>
      <c r="L485" s="2">
        <v>2</v>
      </c>
      <c r="M485" s="2">
        <v>11</v>
      </c>
    </row>
    <row r="486" spans="1:13">
      <c r="A486" s="6">
        <v>43501</v>
      </c>
      <c r="B486" s="7">
        <v>0.62708333333333333</v>
      </c>
      <c r="C486" s="2" t="str">
        <f>"FES1162671311"</f>
        <v>FES1162671311</v>
      </c>
      <c r="D486" s="2" t="s">
        <v>18</v>
      </c>
      <c r="E486" s="2" t="s">
        <v>442</v>
      </c>
      <c r="F486" s="2" t="str">
        <f>"2170672663 "</f>
        <v xml:space="preserve">2170672663 </v>
      </c>
      <c r="G486" s="2" t="str">
        <f t="shared" si="12"/>
        <v>ON1</v>
      </c>
      <c r="H486" s="2" t="s">
        <v>20</v>
      </c>
      <c r="I486" s="2" t="s">
        <v>443</v>
      </c>
      <c r="J486" s="2" t="str">
        <f>""</f>
        <v/>
      </c>
      <c r="K486" s="2" t="str">
        <f>"PFES1162671311_0001"</f>
        <v>PFES1162671311_0001</v>
      </c>
      <c r="L486" s="2">
        <v>1</v>
      </c>
      <c r="M486" s="2">
        <v>4</v>
      </c>
    </row>
    <row r="487" spans="1:13">
      <c r="A487" s="6">
        <v>43501</v>
      </c>
      <c r="B487" s="7">
        <v>0.625</v>
      </c>
      <c r="C487" s="2" t="str">
        <f>"FES1162671232"</f>
        <v>FES1162671232</v>
      </c>
      <c r="D487" s="2" t="s">
        <v>18</v>
      </c>
      <c r="E487" s="2" t="s">
        <v>47</v>
      </c>
      <c r="F487" s="2" t="str">
        <f>"2170670756 "</f>
        <v xml:space="preserve">2170670756 </v>
      </c>
      <c r="G487" s="2" t="str">
        <f>"DBC"</f>
        <v>DBC</v>
      </c>
      <c r="H487" s="2" t="s">
        <v>20</v>
      </c>
      <c r="I487" s="2" t="s">
        <v>48</v>
      </c>
      <c r="J487" s="2" t="str">
        <f>""</f>
        <v/>
      </c>
      <c r="K487" s="2" t="str">
        <f>"PFES1162671232_0001"</f>
        <v>PFES1162671232_0001</v>
      </c>
      <c r="L487" s="2">
        <v>4</v>
      </c>
      <c r="M487" s="2">
        <v>29</v>
      </c>
    </row>
    <row r="488" spans="1:13">
      <c r="A488" s="6">
        <v>43501</v>
      </c>
      <c r="B488" s="7">
        <v>0.625</v>
      </c>
      <c r="C488" s="2" t="str">
        <f>"FES1162671232"</f>
        <v>FES1162671232</v>
      </c>
      <c r="D488" s="2" t="s">
        <v>18</v>
      </c>
      <c r="E488" s="2" t="s">
        <v>47</v>
      </c>
      <c r="F488" s="2" t="str">
        <f t="shared" ref="F488:F490" si="15">"2170670756 "</f>
        <v xml:space="preserve">2170670756 </v>
      </c>
      <c r="G488" s="2" t="str">
        <f t="shared" ref="G488:G490" si="16">"DBC"</f>
        <v>DBC</v>
      </c>
      <c r="H488" s="2" t="s">
        <v>20</v>
      </c>
      <c r="I488" s="2" t="s">
        <v>48</v>
      </c>
      <c r="J488" s="2"/>
      <c r="K488" s="2" t="str">
        <f>"PFES1162671232_0002"</f>
        <v>PFES1162671232_0002</v>
      </c>
      <c r="L488" s="2">
        <v>4</v>
      </c>
      <c r="M488" s="2">
        <v>29</v>
      </c>
    </row>
    <row r="489" spans="1:13">
      <c r="A489" s="6">
        <v>43501</v>
      </c>
      <c r="B489" s="7">
        <v>0.625</v>
      </c>
      <c r="C489" s="2" t="str">
        <f>"FES1162671232"</f>
        <v>FES1162671232</v>
      </c>
      <c r="D489" s="2" t="s">
        <v>18</v>
      </c>
      <c r="E489" s="2" t="s">
        <v>47</v>
      </c>
      <c r="F489" s="2" t="str">
        <f t="shared" si="15"/>
        <v xml:space="preserve">2170670756 </v>
      </c>
      <c r="G489" s="2" t="str">
        <f t="shared" si="16"/>
        <v>DBC</v>
      </c>
      <c r="H489" s="2" t="s">
        <v>20</v>
      </c>
      <c r="I489" s="2" t="s">
        <v>48</v>
      </c>
      <c r="J489" s="2"/>
      <c r="K489" s="2" t="str">
        <f>"PFES1162671232_0003"</f>
        <v>PFES1162671232_0003</v>
      </c>
      <c r="L489" s="2">
        <v>4</v>
      </c>
      <c r="M489" s="2">
        <v>29</v>
      </c>
    </row>
    <row r="490" spans="1:13">
      <c r="A490" s="6">
        <v>43501</v>
      </c>
      <c r="B490" s="7">
        <v>0.625</v>
      </c>
      <c r="C490" s="2" t="str">
        <f>"FES1162671232"</f>
        <v>FES1162671232</v>
      </c>
      <c r="D490" s="2" t="s">
        <v>18</v>
      </c>
      <c r="E490" s="2" t="s">
        <v>47</v>
      </c>
      <c r="F490" s="2" t="str">
        <f t="shared" si="15"/>
        <v xml:space="preserve">2170670756 </v>
      </c>
      <c r="G490" s="2" t="str">
        <f t="shared" si="16"/>
        <v>DBC</v>
      </c>
      <c r="H490" s="2" t="s">
        <v>20</v>
      </c>
      <c r="I490" s="2" t="s">
        <v>48</v>
      </c>
      <c r="J490" s="2"/>
      <c r="K490" s="2" t="str">
        <f>"PFES1162671232_0004"</f>
        <v>PFES1162671232_0004</v>
      </c>
      <c r="L490" s="2">
        <v>4</v>
      </c>
      <c r="M490" s="2">
        <v>29</v>
      </c>
    </row>
    <row r="491" spans="1:13">
      <c r="A491" s="6">
        <v>43501</v>
      </c>
      <c r="B491" s="7">
        <v>0.62361111111111112</v>
      </c>
      <c r="C491" s="2" t="str">
        <f>"FES116267113"</f>
        <v>FES116267113</v>
      </c>
      <c r="D491" s="2" t="s">
        <v>18</v>
      </c>
      <c r="E491" s="2" t="s">
        <v>275</v>
      </c>
      <c r="F491" s="2" t="str">
        <f>"2170672561 "</f>
        <v xml:space="preserve">2170672561 </v>
      </c>
      <c r="G491" s="2" t="str">
        <f>"ON1"</f>
        <v>ON1</v>
      </c>
      <c r="H491" s="2" t="s">
        <v>20</v>
      </c>
      <c r="I491" s="2" t="s">
        <v>276</v>
      </c>
      <c r="J491" s="2" t="str">
        <f>""</f>
        <v/>
      </c>
      <c r="K491" s="2" t="str">
        <f>"PFES116267113_0001"</f>
        <v>PFES116267113_0001</v>
      </c>
      <c r="L491" s="2">
        <v>1</v>
      </c>
      <c r="M491" s="2">
        <v>5</v>
      </c>
    </row>
    <row r="492" spans="1:13">
      <c r="A492" s="6">
        <v>43501</v>
      </c>
      <c r="B492" s="7">
        <v>0.62291666666666667</v>
      </c>
      <c r="C492" s="2" t="str">
        <f>"FES1162671145"</f>
        <v>FES1162671145</v>
      </c>
      <c r="D492" s="2" t="s">
        <v>18</v>
      </c>
      <c r="E492" s="2" t="s">
        <v>444</v>
      </c>
      <c r="F492" s="2" t="str">
        <f>"2170669354 "</f>
        <v xml:space="preserve">2170669354 </v>
      </c>
      <c r="G492" s="2" t="str">
        <f>"ON1"</f>
        <v>ON1</v>
      </c>
      <c r="H492" s="2" t="s">
        <v>20</v>
      </c>
      <c r="I492" s="2" t="s">
        <v>445</v>
      </c>
      <c r="J492" s="2" t="str">
        <f>""</f>
        <v/>
      </c>
      <c r="K492" s="2" t="str">
        <f>"PFES1162671145_0001"</f>
        <v>PFES1162671145_0001</v>
      </c>
      <c r="L492" s="2">
        <v>1</v>
      </c>
      <c r="M492" s="2">
        <v>2</v>
      </c>
    </row>
    <row r="493" spans="1:13">
      <c r="A493" s="6">
        <v>43501</v>
      </c>
      <c r="B493" s="7">
        <v>0.62222222222222223</v>
      </c>
      <c r="C493" s="2" t="str">
        <f>"FES1162671117"</f>
        <v>FES1162671117</v>
      </c>
      <c r="D493" s="2" t="s">
        <v>18</v>
      </c>
      <c r="E493" s="2" t="s">
        <v>446</v>
      </c>
      <c r="F493" s="2" t="str">
        <f>"2170672470 "</f>
        <v xml:space="preserve">2170672470 </v>
      </c>
      <c r="G493" s="2" t="str">
        <f>"ON1"</f>
        <v>ON1</v>
      </c>
      <c r="H493" s="2" t="s">
        <v>20</v>
      </c>
      <c r="I493" s="2" t="s">
        <v>294</v>
      </c>
      <c r="J493" s="2" t="str">
        <f>""</f>
        <v/>
      </c>
      <c r="K493" s="2" t="str">
        <f>"PFES1162671117_0001"</f>
        <v>PFES1162671117_0001</v>
      </c>
      <c r="L493" s="2">
        <v>1</v>
      </c>
      <c r="M493" s="2">
        <v>3</v>
      </c>
    </row>
    <row r="494" spans="1:13">
      <c r="A494" s="6">
        <v>43501</v>
      </c>
      <c r="B494" s="7">
        <v>0.59444444444444444</v>
      </c>
      <c r="C494" s="2" t="str">
        <f>"FES1162671041"</f>
        <v>FES1162671041</v>
      </c>
      <c r="D494" s="2" t="s">
        <v>18</v>
      </c>
      <c r="E494" s="2" t="s">
        <v>447</v>
      </c>
      <c r="F494" s="2" t="str">
        <f>"2170672534 "</f>
        <v xml:space="preserve">2170672534 </v>
      </c>
      <c r="G494" s="2" t="str">
        <f>"DBC"</f>
        <v>DBC</v>
      </c>
      <c r="H494" s="2" t="s">
        <v>20</v>
      </c>
      <c r="I494" s="2" t="s">
        <v>182</v>
      </c>
      <c r="J494" s="2" t="str">
        <f>""</f>
        <v/>
      </c>
      <c r="K494" s="2" t="str">
        <f>"PFES1162671041_0001"</f>
        <v>PFES1162671041_0001</v>
      </c>
      <c r="L494" s="2">
        <v>1</v>
      </c>
      <c r="M494" s="2">
        <v>24</v>
      </c>
    </row>
    <row r="495" spans="1:13">
      <c r="A495" s="6">
        <v>43501</v>
      </c>
      <c r="B495" s="7">
        <v>0.59375</v>
      </c>
      <c r="C495" s="2" t="str">
        <f>"FES1162671239"</f>
        <v>FES1162671239</v>
      </c>
      <c r="D495" s="2" t="s">
        <v>18</v>
      </c>
      <c r="E495" s="2" t="s">
        <v>448</v>
      </c>
      <c r="F495" s="2" t="str">
        <f>"2170672590 "</f>
        <v xml:space="preserve">2170672590 </v>
      </c>
      <c r="G495" s="2" t="str">
        <f t="shared" ref="G495:G547" si="17">"ON1"</f>
        <v>ON1</v>
      </c>
      <c r="H495" s="2" t="s">
        <v>20</v>
      </c>
      <c r="I495" s="2" t="s">
        <v>70</v>
      </c>
      <c r="J495" s="2" t="str">
        <f>""</f>
        <v/>
      </c>
      <c r="K495" s="2" t="str">
        <f>"PFES1162671239_0001"</f>
        <v>PFES1162671239_0001</v>
      </c>
      <c r="L495" s="2">
        <v>1</v>
      </c>
      <c r="M495" s="2">
        <v>1</v>
      </c>
    </row>
    <row r="496" spans="1:13">
      <c r="A496" s="6">
        <v>43501</v>
      </c>
      <c r="B496" s="7">
        <v>0.59375</v>
      </c>
      <c r="C496" s="2" t="str">
        <f>"FES1162671167"</f>
        <v>FES1162671167</v>
      </c>
      <c r="D496" s="2" t="s">
        <v>18</v>
      </c>
      <c r="E496" s="2" t="s">
        <v>449</v>
      </c>
      <c r="F496" s="2" t="str">
        <f>"2170670831 "</f>
        <v xml:space="preserve">2170670831 </v>
      </c>
      <c r="G496" s="2" t="str">
        <f t="shared" si="17"/>
        <v>ON1</v>
      </c>
      <c r="H496" s="2" t="s">
        <v>20</v>
      </c>
      <c r="I496" s="2" t="s">
        <v>390</v>
      </c>
      <c r="J496" s="2" t="str">
        <f>""</f>
        <v/>
      </c>
      <c r="K496" s="2" t="str">
        <f>"PFES1162671167_0001"</f>
        <v>PFES1162671167_0001</v>
      </c>
      <c r="L496" s="2">
        <v>1</v>
      </c>
      <c r="M496" s="2">
        <v>1</v>
      </c>
    </row>
    <row r="497" spans="1:13">
      <c r="A497" s="6">
        <v>43501</v>
      </c>
      <c r="B497" s="7">
        <v>0.59375</v>
      </c>
      <c r="C497" s="2" t="str">
        <f>"FES1162671135"</f>
        <v>FES1162671135</v>
      </c>
      <c r="D497" s="2" t="s">
        <v>18</v>
      </c>
      <c r="E497" s="2" t="s">
        <v>434</v>
      </c>
      <c r="F497" s="2" t="str">
        <f>"21706721566 "</f>
        <v xml:space="preserve">21706721566 </v>
      </c>
      <c r="G497" s="2" t="str">
        <f t="shared" si="17"/>
        <v>ON1</v>
      </c>
      <c r="H497" s="2" t="s">
        <v>20</v>
      </c>
      <c r="I497" s="2" t="s">
        <v>435</v>
      </c>
      <c r="J497" s="2" t="str">
        <f>""</f>
        <v/>
      </c>
      <c r="K497" s="2" t="str">
        <f>"PFES1162671135_0001"</f>
        <v>PFES1162671135_0001</v>
      </c>
      <c r="L497" s="2">
        <v>1</v>
      </c>
      <c r="M497" s="2">
        <v>1</v>
      </c>
    </row>
    <row r="498" spans="1:13">
      <c r="A498" s="6">
        <v>43501</v>
      </c>
      <c r="B498" s="7">
        <v>0.59305555555555556</v>
      </c>
      <c r="C498" s="2" t="str">
        <f>"FES1162671235"</f>
        <v>FES1162671235</v>
      </c>
      <c r="D498" s="2" t="s">
        <v>18</v>
      </c>
      <c r="E498" s="2" t="s">
        <v>120</v>
      </c>
      <c r="F498" s="2" t="str">
        <f>"2170670886 "</f>
        <v xml:space="preserve">2170670886 </v>
      </c>
      <c r="G498" s="2" t="str">
        <f t="shared" si="17"/>
        <v>ON1</v>
      </c>
      <c r="H498" s="2" t="s">
        <v>20</v>
      </c>
      <c r="I498" s="2" t="s">
        <v>121</v>
      </c>
      <c r="J498" s="2" t="str">
        <f>""</f>
        <v/>
      </c>
      <c r="K498" s="2" t="str">
        <f>"PFES1162671235_0001"</f>
        <v>PFES1162671235_0001</v>
      </c>
      <c r="L498" s="2">
        <v>1</v>
      </c>
      <c r="M498" s="2">
        <v>1</v>
      </c>
    </row>
    <row r="499" spans="1:13">
      <c r="A499" s="6">
        <v>43501</v>
      </c>
      <c r="B499" s="7">
        <v>0.59305555555555556</v>
      </c>
      <c r="C499" s="2" t="str">
        <f>"FES1162671177"</f>
        <v>FES1162671177</v>
      </c>
      <c r="D499" s="2" t="s">
        <v>18</v>
      </c>
      <c r="E499" s="2" t="s">
        <v>312</v>
      </c>
      <c r="F499" s="2" t="str">
        <f>"2170670903 "</f>
        <v xml:space="preserve">2170670903 </v>
      </c>
      <c r="G499" s="2" t="str">
        <f t="shared" si="17"/>
        <v>ON1</v>
      </c>
      <c r="H499" s="2" t="s">
        <v>20</v>
      </c>
      <c r="I499" s="2" t="s">
        <v>70</v>
      </c>
      <c r="J499" s="2" t="str">
        <f>""</f>
        <v/>
      </c>
      <c r="K499" s="2" t="str">
        <f>"PFES1162671177_0001"</f>
        <v>PFES1162671177_0001</v>
      </c>
      <c r="L499" s="2">
        <v>1</v>
      </c>
      <c r="M499" s="2">
        <v>1</v>
      </c>
    </row>
    <row r="500" spans="1:13">
      <c r="A500" s="6">
        <v>43501</v>
      </c>
      <c r="B500" s="7">
        <v>0.59236111111111112</v>
      </c>
      <c r="C500" s="2" t="str">
        <f>"FES1162671137"</f>
        <v>FES1162671137</v>
      </c>
      <c r="D500" s="2" t="s">
        <v>18</v>
      </c>
      <c r="E500" s="2" t="s">
        <v>178</v>
      </c>
      <c r="F500" s="2" t="str">
        <f>"2170672570 "</f>
        <v xml:space="preserve">2170672570 </v>
      </c>
      <c r="G500" s="2" t="str">
        <f t="shared" si="17"/>
        <v>ON1</v>
      </c>
      <c r="H500" s="2" t="s">
        <v>20</v>
      </c>
      <c r="I500" s="2" t="s">
        <v>390</v>
      </c>
      <c r="J500" s="2" t="str">
        <f>""</f>
        <v/>
      </c>
      <c r="K500" s="2" t="str">
        <f>"PFES1162671137_0001"</f>
        <v>PFES1162671137_0001</v>
      </c>
      <c r="L500" s="2">
        <v>1</v>
      </c>
      <c r="M500" s="2">
        <v>1</v>
      </c>
    </row>
    <row r="501" spans="1:13">
      <c r="A501" s="6">
        <v>43501</v>
      </c>
      <c r="B501" s="7">
        <v>0.59236111111111112</v>
      </c>
      <c r="C501" s="2" t="str">
        <f>"FES1162671144"</f>
        <v>FES1162671144</v>
      </c>
      <c r="D501" s="2" t="s">
        <v>18</v>
      </c>
      <c r="E501" s="2" t="s">
        <v>235</v>
      </c>
      <c r="F501" s="2" t="str">
        <f>"2170672582 "</f>
        <v xml:space="preserve">2170672582 </v>
      </c>
      <c r="G501" s="2" t="str">
        <f t="shared" si="17"/>
        <v>ON1</v>
      </c>
      <c r="H501" s="2" t="s">
        <v>20</v>
      </c>
      <c r="I501" s="2" t="s">
        <v>143</v>
      </c>
      <c r="J501" s="2" t="str">
        <f>""</f>
        <v/>
      </c>
      <c r="K501" s="2" t="str">
        <f>"PFES1162671144_0001"</f>
        <v>PFES1162671144_0001</v>
      </c>
      <c r="L501" s="2">
        <v>1</v>
      </c>
      <c r="M501" s="2">
        <v>1</v>
      </c>
    </row>
    <row r="502" spans="1:13">
      <c r="A502" s="6">
        <v>43501</v>
      </c>
      <c r="B502" s="7">
        <v>0.59236111111111112</v>
      </c>
      <c r="C502" s="2" t="str">
        <f>"FES1162671217"</f>
        <v>FES1162671217</v>
      </c>
      <c r="D502" s="2" t="s">
        <v>18</v>
      </c>
      <c r="E502" s="2" t="s">
        <v>450</v>
      </c>
      <c r="F502" s="2" t="str">
        <f>"2170670480 "</f>
        <v xml:space="preserve">2170670480 </v>
      </c>
      <c r="G502" s="2" t="str">
        <f t="shared" si="17"/>
        <v>ON1</v>
      </c>
      <c r="H502" s="2" t="s">
        <v>20</v>
      </c>
      <c r="I502" s="2" t="s">
        <v>75</v>
      </c>
      <c r="J502" s="2" t="str">
        <f>""</f>
        <v/>
      </c>
      <c r="K502" s="2" t="str">
        <f>"PFES1162671217_0001"</f>
        <v>PFES1162671217_0001</v>
      </c>
      <c r="L502" s="2">
        <v>1</v>
      </c>
      <c r="M502" s="2">
        <v>1</v>
      </c>
    </row>
    <row r="503" spans="1:13">
      <c r="A503" s="6">
        <v>43501</v>
      </c>
      <c r="B503" s="7">
        <v>0.59166666666666667</v>
      </c>
      <c r="C503" s="2" t="str">
        <f>"FES1162671271"</f>
        <v>FES1162671271</v>
      </c>
      <c r="D503" s="2" t="s">
        <v>18</v>
      </c>
      <c r="E503" s="2" t="s">
        <v>88</v>
      </c>
      <c r="F503" s="2" t="str">
        <f>"2170672627 "</f>
        <v xml:space="preserve">2170672627 </v>
      </c>
      <c r="G503" s="2" t="str">
        <f t="shared" si="17"/>
        <v>ON1</v>
      </c>
      <c r="H503" s="2" t="s">
        <v>20</v>
      </c>
      <c r="I503" s="2" t="s">
        <v>89</v>
      </c>
      <c r="J503" s="2" t="str">
        <f>""</f>
        <v/>
      </c>
      <c r="K503" s="2" t="str">
        <f>"PFES1162671271_0001"</f>
        <v>PFES1162671271_0001</v>
      </c>
      <c r="L503" s="2">
        <v>1</v>
      </c>
      <c r="M503" s="2">
        <v>1</v>
      </c>
    </row>
    <row r="504" spans="1:13">
      <c r="A504" s="6">
        <v>43501</v>
      </c>
      <c r="B504" s="7">
        <v>0.59166666666666667</v>
      </c>
      <c r="C504" s="2" t="str">
        <f>"FES1162671227"</f>
        <v>FES1162671227</v>
      </c>
      <c r="D504" s="2" t="s">
        <v>18</v>
      </c>
      <c r="E504" s="2" t="s">
        <v>339</v>
      </c>
      <c r="F504" s="2" t="str">
        <f>"2170670962 "</f>
        <v xml:space="preserve">2170670962 </v>
      </c>
      <c r="G504" s="2" t="str">
        <f t="shared" si="17"/>
        <v>ON1</v>
      </c>
      <c r="H504" s="2" t="s">
        <v>20</v>
      </c>
      <c r="I504" s="2" t="s">
        <v>37</v>
      </c>
      <c r="J504" s="2" t="str">
        <f>""</f>
        <v/>
      </c>
      <c r="K504" s="2" t="str">
        <f>"PFES1162671227_0001"</f>
        <v>PFES1162671227_0001</v>
      </c>
      <c r="L504" s="2">
        <v>1</v>
      </c>
      <c r="M504" s="2">
        <v>1</v>
      </c>
    </row>
    <row r="505" spans="1:13">
      <c r="A505" s="6">
        <v>43501</v>
      </c>
      <c r="B505" s="7">
        <v>0.59097222222222223</v>
      </c>
      <c r="C505" s="2" t="str">
        <f>"FES1162671204"</f>
        <v>FES1162671204</v>
      </c>
      <c r="D505" s="2" t="s">
        <v>18</v>
      </c>
      <c r="E505" s="2" t="s">
        <v>451</v>
      </c>
      <c r="F505" s="2" t="str">
        <f>"2170667597 "</f>
        <v xml:space="preserve">2170667597 </v>
      </c>
      <c r="G505" s="2" t="str">
        <f t="shared" si="17"/>
        <v>ON1</v>
      </c>
      <c r="H505" s="2" t="s">
        <v>20</v>
      </c>
      <c r="I505" s="2" t="s">
        <v>149</v>
      </c>
      <c r="J505" s="2" t="str">
        <f>""</f>
        <v/>
      </c>
      <c r="K505" s="2" t="str">
        <f>"PFES1162671204_0001"</f>
        <v>PFES1162671204_0001</v>
      </c>
      <c r="L505" s="2">
        <v>1</v>
      </c>
      <c r="M505" s="2">
        <v>1</v>
      </c>
    </row>
    <row r="506" spans="1:13">
      <c r="A506" s="6">
        <v>43501</v>
      </c>
      <c r="B506" s="7">
        <v>0.59097222222222223</v>
      </c>
      <c r="C506" s="2" t="str">
        <f>"FES1162671169"</f>
        <v>FES1162671169</v>
      </c>
      <c r="D506" s="2" t="s">
        <v>18</v>
      </c>
      <c r="E506" s="2" t="s">
        <v>150</v>
      </c>
      <c r="F506" s="2" t="str">
        <f>"217067846 "</f>
        <v xml:space="preserve">217067846 </v>
      </c>
      <c r="G506" s="2" t="str">
        <f t="shared" si="17"/>
        <v>ON1</v>
      </c>
      <c r="H506" s="2" t="s">
        <v>20</v>
      </c>
      <c r="I506" s="2" t="s">
        <v>137</v>
      </c>
      <c r="J506" s="2" t="str">
        <f>""</f>
        <v/>
      </c>
      <c r="K506" s="2" t="str">
        <f>"PFES1162671169_0001"</f>
        <v>PFES1162671169_0001</v>
      </c>
      <c r="L506" s="2">
        <v>1</v>
      </c>
      <c r="M506" s="2">
        <v>1</v>
      </c>
    </row>
    <row r="507" spans="1:13">
      <c r="A507" s="6">
        <v>43501</v>
      </c>
      <c r="B507" s="7">
        <v>0.59027777777777779</v>
      </c>
      <c r="C507" s="2" t="str">
        <f>"FES1162671182"</f>
        <v>FES1162671182</v>
      </c>
      <c r="D507" s="2" t="s">
        <v>18</v>
      </c>
      <c r="E507" s="2" t="s">
        <v>452</v>
      </c>
      <c r="F507" s="2" t="str">
        <f>"2170670972 "</f>
        <v xml:space="preserve">2170670972 </v>
      </c>
      <c r="G507" s="2" t="str">
        <f t="shared" si="17"/>
        <v>ON1</v>
      </c>
      <c r="H507" s="2" t="s">
        <v>20</v>
      </c>
      <c r="I507" s="2" t="s">
        <v>453</v>
      </c>
      <c r="J507" s="2" t="str">
        <f>""</f>
        <v/>
      </c>
      <c r="K507" s="2" t="str">
        <f>"PFES1162671182_0001"</f>
        <v>PFES1162671182_0001</v>
      </c>
      <c r="L507" s="2">
        <v>1</v>
      </c>
      <c r="M507" s="2">
        <v>1</v>
      </c>
    </row>
    <row r="508" spans="1:13">
      <c r="A508" s="6">
        <v>43501</v>
      </c>
      <c r="B508" s="7">
        <v>0.59027777777777779</v>
      </c>
      <c r="C508" s="2" t="str">
        <f>"FES1162671111"</f>
        <v>FES1162671111</v>
      </c>
      <c r="D508" s="2" t="s">
        <v>18</v>
      </c>
      <c r="E508" s="2" t="s">
        <v>454</v>
      </c>
      <c r="F508" s="2" t="str">
        <f>"21706723333 "</f>
        <v xml:space="preserve">21706723333 </v>
      </c>
      <c r="G508" s="2" t="str">
        <f t="shared" si="17"/>
        <v>ON1</v>
      </c>
      <c r="H508" s="2" t="s">
        <v>20</v>
      </c>
      <c r="I508" s="2" t="s">
        <v>455</v>
      </c>
      <c r="J508" s="2" t="str">
        <f>""</f>
        <v/>
      </c>
      <c r="K508" s="2" t="str">
        <f>"PFES1162671111_0001"</f>
        <v>PFES1162671111_0001</v>
      </c>
      <c r="L508" s="2">
        <v>1</v>
      </c>
      <c r="M508" s="2">
        <v>1</v>
      </c>
    </row>
    <row r="509" spans="1:13">
      <c r="A509" s="6">
        <v>43501</v>
      </c>
      <c r="B509" s="7">
        <v>0.59027777777777779</v>
      </c>
      <c r="C509" s="2" t="str">
        <f>"FES1162671272"</f>
        <v>FES1162671272</v>
      </c>
      <c r="D509" s="2" t="s">
        <v>18</v>
      </c>
      <c r="E509" s="2" t="s">
        <v>456</v>
      </c>
      <c r="F509" s="2" t="str">
        <f>"2170672629 "</f>
        <v xml:space="preserve">2170672629 </v>
      </c>
      <c r="G509" s="2" t="str">
        <f t="shared" si="17"/>
        <v>ON1</v>
      </c>
      <c r="H509" s="2" t="s">
        <v>20</v>
      </c>
      <c r="I509" s="2" t="s">
        <v>457</v>
      </c>
      <c r="J509" s="2" t="str">
        <f>""</f>
        <v/>
      </c>
      <c r="K509" s="2" t="str">
        <f>"PFES1162671272_0001"</f>
        <v>PFES1162671272_0001</v>
      </c>
      <c r="L509" s="2">
        <v>1</v>
      </c>
      <c r="M509" s="2">
        <v>4</v>
      </c>
    </row>
    <row r="510" spans="1:13">
      <c r="A510" s="6">
        <v>43501</v>
      </c>
      <c r="B510" s="7">
        <v>0.59027777777777779</v>
      </c>
      <c r="C510" s="2" t="str">
        <f>"FES1162671170"</f>
        <v>FES1162671170</v>
      </c>
      <c r="D510" s="2" t="s">
        <v>18</v>
      </c>
      <c r="E510" s="2" t="s">
        <v>452</v>
      </c>
      <c r="F510" s="2" t="str">
        <f>"2170670850 "</f>
        <v xml:space="preserve">2170670850 </v>
      </c>
      <c r="G510" s="2" t="str">
        <f t="shared" si="17"/>
        <v>ON1</v>
      </c>
      <c r="H510" s="2" t="s">
        <v>20</v>
      </c>
      <c r="I510" s="2" t="s">
        <v>453</v>
      </c>
      <c r="J510" s="2" t="str">
        <f>""</f>
        <v/>
      </c>
      <c r="K510" s="2" t="str">
        <f>"PFES1162671170_0001"</f>
        <v>PFES1162671170_0001</v>
      </c>
      <c r="L510" s="2">
        <v>1</v>
      </c>
      <c r="M510" s="2">
        <v>1</v>
      </c>
    </row>
    <row r="511" spans="1:13">
      <c r="A511" s="6">
        <v>43501</v>
      </c>
      <c r="B511" s="7">
        <v>0.58958333333333335</v>
      </c>
      <c r="C511" s="2" t="str">
        <f>"FES1162671213"</f>
        <v>FES1162671213</v>
      </c>
      <c r="D511" s="2" t="s">
        <v>18</v>
      </c>
      <c r="E511" s="2" t="s">
        <v>88</v>
      </c>
      <c r="F511" s="2" t="str">
        <f>"217066705450 "</f>
        <v xml:space="preserve">217066705450 </v>
      </c>
      <c r="G511" s="2" t="str">
        <f t="shared" si="17"/>
        <v>ON1</v>
      </c>
      <c r="H511" s="2" t="s">
        <v>20</v>
      </c>
      <c r="I511" s="2" t="s">
        <v>89</v>
      </c>
      <c r="J511" s="2" t="str">
        <f>""</f>
        <v/>
      </c>
      <c r="K511" s="2" t="str">
        <f>"PFES1162671213_0001"</f>
        <v>PFES1162671213_0001</v>
      </c>
      <c r="L511" s="2">
        <v>1</v>
      </c>
      <c r="M511" s="2">
        <v>1</v>
      </c>
    </row>
    <row r="512" spans="1:13">
      <c r="A512" s="6">
        <v>43501</v>
      </c>
      <c r="B512" s="7">
        <v>0.58958333333333335</v>
      </c>
      <c r="C512" s="2" t="str">
        <f>"FES1162671224"</f>
        <v>FES1162671224</v>
      </c>
      <c r="D512" s="2" t="s">
        <v>18</v>
      </c>
      <c r="E512" s="2" t="s">
        <v>458</v>
      </c>
      <c r="F512" s="2" t="str">
        <f>"2170670589 "</f>
        <v xml:space="preserve">2170670589 </v>
      </c>
      <c r="G512" s="2" t="str">
        <f t="shared" si="17"/>
        <v>ON1</v>
      </c>
      <c r="H512" s="2" t="s">
        <v>20</v>
      </c>
      <c r="I512" s="2" t="s">
        <v>53</v>
      </c>
      <c r="J512" s="2" t="str">
        <f>""</f>
        <v/>
      </c>
      <c r="K512" s="2" t="str">
        <f>"PFES1162671224_0001"</f>
        <v>PFES1162671224_0001</v>
      </c>
      <c r="L512" s="2">
        <v>1</v>
      </c>
      <c r="M512" s="2">
        <v>1</v>
      </c>
    </row>
    <row r="513" spans="1:13">
      <c r="A513" s="6">
        <v>43501</v>
      </c>
      <c r="B513" s="7">
        <v>0.58958333333333335</v>
      </c>
      <c r="C513" s="2" t="str">
        <f>"FES1162671124"</f>
        <v>FES1162671124</v>
      </c>
      <c r="D513" s="2" t="s">
        <v>18</v>
      </c>
      <c r="E513" s="2" t="s">
        <v>259</v>
      </c>
      <c r="F513" s="2" t="str">
        <f>"2170672549 "</f>
        <v xml:space="preserve">2170672549 </v>
      </c>
      <c r="G513" s="2" t="str">
        <f t="shared" si="17"/>
        <v>ON1</v>
      </c>
      <c r="H513" s="2" t="s">
        <v>20</v>
      </c>
      <c r="I513" s="2" t="s">
        <v>260</v>
      </c>
      <c r="J513" s="2" t="str">
        <f>""</f>
        <v/>
      </c>
      <c r="K513" s="2" t="str">
        <f>"PFES1162671124_0001"</f>
        <v>PFES1162671124_0001</v>
      </c>
      <c r="L513" s="2">
        <v>1</v>
      </c>
      <c r="M513" s="2">
        <v>5</v>
      </c>
    </row>
    <row r="514" spans="1:13">
      <c r="A514" s="6">
        <v>43501</v>
      </c>
      <c r="B514" s="7">
        <v>0.58958333333333335</v>
      </c>
      <c r="C514" s="2" t="str">
        <f>"FES1162671158"</f>
        <v>FES1162671158</v>
      </c>
      <c r="D514" s="2" t="s">
        <v>18</v>
      </c>
      <c r="E514" s="2" t="s">
        <v>459</v>
      </c>
      <c r="F514" s="2" t="str">
        <f>"2170668270 "</f>
        <v xml:space="preserve">2170668270 </v>
      </c>
      <c r="G514" s="2" t="str">
        <f t="shared" si="17"/>
        <v>ON1</v>
      </c>
      <c r="H514" s="2" t="s">
        <v>20</v>
      </c>
      <c r="I514" s="2" t="s">
        <v>37</v>
      </c>
      <c r="J514" s="2" t="str">
        <f>""</f>
        <v/>
      </c>
      <c r="K514" s="2" t="str">
        <f>"PFES1162671158_0001"</f>
        <v>PFES1162671158_0001</v>
      </c>
      <c r="L514" s="2">
        <v>1</v>
      </c>
      <c r="M514" s="2">
        <v>1</v>
      </c>
    </row>
    <row r="515" spans="1:13">
      <c r="A515" s="6">
        <v>43501</v>
      </c>
      <c r="B515" s="7">
        <v>0.58888888888888891</v>
      </c>
      <c r="C515" s="2" t="str">
        <f>"FES1162671210"</f>
        <v>FES1162671210</v>
      </c>
      <c r="D515" s="2" t="s">
        <v>18</v>
      </c>
      <c r="E515" s="2" t="s">
        <v>346</v>
      </c>
      <c r="F515" s="2" t="str">
        <f>"2170670395 "</f>
        <v xml:space="preserve">2170670395 </v>
      </c>
      <c r="G515" s="2" t="str">
        <f t="shared" si="17"/>
        <v>ON1</v>
      </c>
      <c r="H515" s="2" t="s">
        <v>20</v>
      </c>
      <c r="I515" s="2" t="s">
        <v>143</v>
      </c>
      <c r="J515" s="2" t="str">
        <f>""</f>
        <v/>
      </c>
      <c r="K515" s="2" t="str">
        <f>"PFES1162671210_0001"</f>
        <v>PFES1162671210_0001</v>
      </c>
      <c r="L515" s="2">
        <v>1</v>
      </c>
      <c r="M515" s="2">
        <v>1</v>
      </c>
    </row>
    <row r="516" spans="1:13">
      <c r="A516" s="6">
        <v>43501</v>
      </c>
      <c r="B516" s="7">
        <v>0.58888888888888891</v>
      </c>
      <c r="C516" s="2" t="str">
        <f>"FES1162671168"</f>
        <v>FES1162671168</v>
      </c>
      <c r="D516" s="2" t="s">
        <v>18</v>
      </c>
      <c r="E516" s="2" t="s">
        <v>460</v>
      </c>
      <c r="F516" s="2" t="str">
        <f>"2170670840 "</f>
        <v xml:space="preserve">2170670840 </v>
      </c>
      <c r="G516" s="2" t="str">
        <f t="shared" si="17"/>
        <v>ON1</v>
      </c>
      <c r="H516" s="2" t="s">
        <v>20</v>
      </c>
      <c r="I516" s="2" t="s">
        <v>239</v>
      </c>
      <c r="J516" s="2" t="str">
        <f>""</f>
        <v/>
      </c>
      <c r="K516" s="2" t="str">
        <f>"PFES1162671168_0001"</f>
        <v>PFES1162671168_0001</v>
      </c>
      <c r="L516" s="2">
        <v>1</v>
      </c>
      <c r="M516" s="2">
        <v>1</v>
      </c>
    </row>
    <row r="517" spans="1:13">
      <c r="A517" s="6">
        <v>43501</v>
      </c>
      <c r="B517" s="7">
        <v>0.58819444444444446</v>
      </c>
      <c r="C517" s="2" t="str">
        <f>"FES1162671163"</f>
        <v>FES1162671163</v>
      </c>
      <c r="D517" s="2" t="s">
        <v>18</v>
      </c>
      <c r="E517" s="2" t="s">
        <v>97</v>
      </c>
      <c r="F517" s="2" t="str">
        <f>"2170670734 "</f>
        <v xml:space="preserve">2170670734 </v>
      </c>
      <c r="G517" s="2" t="str">
        <f t="shared" si="17"/>
        <v>ON1</v>
      </c>
      <c r="H517" s="2" t="s">
        <v>20</v>
      </c>
      <c r="I517" s="2" t="s">
        <v>70</v>
      </c>
      <c r="J517" s="2" t="str">
        <f>""</f>
        <v/>
      </c>
      <c r="K517" s="2" t="str">
        <f>"PFES1162671163_0001"</f>
        <v>PFES1162671163_0001</v>
      </c>
      <c r="L517" s="2">
        <v>1</v>
      </c>
      <c r="M517" s="2">
        <v>1</v>
      </c>
    </row>
    <row r="518" spans="1:13">
      <c r="A518" s="6">
        <v>43501</v>
      </c>
      <c r="B518" s="7">
        <v>0.58819444444444446</v>
      </c>
      <c r="C518" s="2" t="str">
        <f>"FES1162671221"</f>
        <v>FES1162671221</v>
      </c>
      <c r="D518" s="2" t="s">
        <v>18</v>
      </c>
      <c r="E518" s="2" t="s">
        <v>461</v>
      </c>
      <c r="F518" s="2" t="str">
        <f>"2170670502 "</f>
        <v xml:space="preserve">2170670502 </v>
      </c>
      <c r="G518" s="2" t="str">
        <f t="shared" si="17"/>
        <v>ON1</v>
      </c>
      <c r="H518" s="2" t="s">
        <v>20</v>
      </c>
      <c r="I518" s="2" t="s">
        <v>406</v>
      </c>
      <c r="J518" s="2" t="str">
        <f>""</f>
        <v/>
      </c>
      <c r="K518" s="2" t="str">
        <f>"PFES1162671221_0001"</f>
        <v>PFES1162671221_0001</v>
      </c>
      <c r="L518" s="2">
        <v>1</v>
      </c>
      <c r="M518" s="2">
        <v>4</v>
      </c>
    </row>
    <row r="519" spans="1:13">
      <c r="A519" s="6">
        <v>43501</v>
      </c>
      <c r="B519" s="7">
        <v>0.58819444444444446</v>
      </c>
      <c r="C519" s="2" t="str">
        <f>"FES1162671230"</f>
        <v>FES1162671230</v>
      </c>
      <c r="D519" s="2" t="s">
        <v>18</v>
      </c>
      <c r="E519" s="2" t="s">
        <v>151</v>
      </c>
      <c r="F519" s="2" t="str">
        <f>"2170670726 "</f>
        <v xml:space="preserve">2170670726 </v>
      </c>
      <c r="G519" s="2" t="str">
        <f t="shared" si="17"/>
        <v>ON1</v>
      </c>
      <c r="H519" s="2" t="s">
        <v>20</v>
      </c>
      <c r="I519" s="2" t="s">
        <v>63</v>
      </c>
      <c r="J519" s="2" t="str">
        <f>""</f>
        <v/>
      </c>
      <c r="K519" s="2" t="str">
        <f>"PFES1162671230_0001"</f>
        <v>PFES1162671230_0001</v>
      </c>
      <c r="L519" s="2">
        <v>1</v>
      </c>
      <c r="M519" s="2">
        <v>1</v>
      </c>
    </row>
    <row r="520" spans="1:13">
      <c r="A520" s="6">
        <v>43501</v>
      </c>
      <c r="B520" s="7">
        <v>0.58819444444444446</v>
      </c>
      <c r="C520" s="2" t="str">
        <f>"FES1162671116"</f>
        <v>FES1162671116</v>
      </c>
      <c r="D520" s="2" t="s">
        <v>18</v>
      </c>
      <c r="E520" s="2" t="s">
        <v>38</v>
      </c>
      <c r="F520" s="2" t="str">
        <f>"2170672427 "</f>
        <v xml:space="preserve">2170672427 </v>
      </c>
      <c r="G520" s="2" t="str">
        <f t="shared" si="17"/>
        <v>ON1</v>
      </c>
      <c r="H520" s="2" t="s">
        <v>20</v>
      </c>
      <c r="I520" s="2" t="s">
        <v>39</v>
      </c>
      <c r="J520" s="2" t="str">
        <f>""</f>
        <v/>
      </c>
      <c r="K520" s="2" t="str">
        <f>"PFES1162671116_0001"</f>
        <v>PFES1162671116_0001</v>
      </c>
      <c r="L520" s="2">
        <v>1</v>
      </c>
      <c r="M520" s="2">
        <v>1</v>
      </c>
    </row>
    <row r="521" spans="1:13">
      <c r="A521" s="6">
        <v>43501</v>
      </c>
      <c r="B521" s="7">
        <v>0.58750000000000002</v>
      </c>
      <c r="C521" s="2" t="str">
        <f>"FES1162671200"</f>
        <v>FES1162671200</v>
      </c>
      <c r="D521" s="2" t="s">
        <v>18</v>
      </c>
      <c r="E521" s="2" t="s">
        <v>115</v>
      </c>
      <c r="F521" s="2" t="str">
        <f>"2170664668 "</f>
        <v xml:space="preserve">2170664668 </v>
      </c>
      <c r="G521" s="2" t="str">
        <f t="shared" si="17"/>
        <v>ON1</v>
      </c>
      <c r="H521" s="2" t="s">
        <v>20</v>
      </c>
      <c r="I521" s="2" t="s">
        <v>93</v>
      </c>
      <c r="J521" s="2" t="str">
        <f>""</f>
        <v/>
      </c>
      <c r="K521" s="2" t="str">
        <f>"PFES1162671200_0001"</f>
        <v>PFES1162671200_0001</v>
      </c>
      <c r="L521" s="2">
        <v>1</v>
      </c>
      <c r="M521" s="2">
        <v>9</v>
      </c>
    </row>
    <row r="522" spans="1:13">
      <c r="A522" s="6">
        <v>43501</v>
      </c>
      <c r="B522" s="7">
        <v>0.58472222222222225</v>
      </c>
      <c r="C522" s="2" t="str">
        <f>"FES1162671240"</f>
        <v>FES1162671240</v>
      </c>
      <c r="D522" s="2" t="s">
        <v>18</v>
      </c>
      <c r="E522" s="2" t="s">
        <v>198</v>
      </c>
      <c r="F522" s="2" t="str">
        <f>"2170672592 "</f>
        <v xml:space="preserve">2170672592 </v>
      </c>
      <c r="G522" s="2" t="str">
        <f t="shared" si="17"/>
        <v>ON1</v>
      </c>
      <c r="H522" s="2" t="s">
        <v>20</v>
      </c>
      <c r="I522" s="2" t="s">
        <v>199</v>
      </c>
      <c r="J522" s="2" t="str">
        <f>""</f>
        <v/>
      </c>
      <c r="K522" s="2" t="str">
        <f>"PFES1162671240_0001"</f>
        <v>PFES1162671240_0001</v>
      </c>
      <c r="L522" s="2">
        <v>1</v>
      </c>
      <c r="M522" s="2">
        <v>4</v>
      </c>
    </row>
    <row r="523" spans="1:13">
      <c r="A523" s="6">
        <v>43501</v>
      </c>
      <c r="B523" s="7">
        <v>0.58333333333333337</v>
      </c>
      <c r="C523" s="2" t="str">
        <f>"FES1162671190"</f>
        <v>FES1162671190</v>
      </c>
      <c r="D523" s="2" t="s">
        <v>18</v>
      </c>
      <c r="E523" s="2" t="s">
        <v>462</v>
      </c>
      <c r="F523" s="2" t="str">
        <f>"2170672577 "</f>
        <v xml:space="preserve">2170672577 </v>
      </c>
      <c r="G523" s="2" t="str">
        <f t="shared" si="17"/>
        <v>ON1</v>
      </c>
      <c r="H523" s="2" t="s">
        <v>20</v>
      </c>
      <c r="I523" s="2" t="s">
        <v>463</v>
      </c>
      <c r="J523" s="2" t="str">
        <f>""</f>
        <v/>
      </c>
      <c r="K523" s="2" t="str">
        <f>"PFES1162671190_0001"</f>
        <v>PFES1162671190_0001</v>
      </c>
      <c r="L523" s="2">
        <v>1</v>
      </c>
      <c r="M523" s="2">
        <v>9</v>
      </c>
    </row>
    <row r="524" spans="1:13">
      <c r="A524" s="6">
        <v>43501</v>
      </c>
      <c r="B524" s="7">
        <v>0.58333333333333337</v>
      </c>
      <c r="C524" s="2" t="str">
        <f>"FES1162671166"</f>
        <v>FES1162671166</v>
      </c>
      <c r="D524" s="2" t="s">
        <v>18</v>
      </c>
      <c r="E524" s="2" t="s">
        <v>401</v>
      </c>
      <c r="F524" s="2" t="str">
        <f>"2170670798 "</f>
        <v xml:space="preserve">2170670798 </v>
      </c>
      <c r="G524" s="2" t="str">
        <f t="shared" si="17"/>
        <v>ON1</v>
      </c>
      <c r="H524" s="2" t="s">
        <v>20</v>
      </c>
      <c r="I524" s="2" t="s">
        <v>402</v>
      </c>
      <c r="J524" s="2" t="str">
        <f>""</f>
        <v/>
      </c>
      <c r="K524" s="2" t="str">
        <f>"PFES1162671166_0001"</f>
        <v>PFES1162671166_0001</v>
      </c>
      <c r="L524" s="2">
        <v>1</v>
      </c>
      <c r="M524" s="2">
        <v>1</v>
      </c>
    </row>
    <row r="525" spans="1:13">
      <c r="A525" s="6">
        <v>43501</v>
      </c>
      <c r="B525" s="7">
        <v>0.58194444444444449</v>
      </c>
      <c r="C525" s="2" t="str">
        <f>"FES1162671129"</f>
        <v>FES1162671129</v>
      </c>
      <c r="D525" s="2" t="s">
        <v>18</v>
      </c>
      <c r="E525" s="2" t="s">
        <v>299</v>
      </c>
      <c r="F525" s="2" t="str">
        <f>"2170672560 "</f>
        <v xml:space="preserve">2170672560 </v>
      </c>
      <c r="G525" s="2" t="str">
        <f t="shared" si="17"/>
        <v>ON1</v>
      </c>
      <c r="H525" s="2" t="s">
        <v>20</v>
      </c>
      <c r="I525" s="2" t="s">
        <v>43</v>
      </c>
      <c r="J525" s="2" t="str">
        <f>""</f>
        <v/>
      </c>
      <c r="K525" s="2" t="str">
        <f>"PFES1162671129_0001"</f>
        <v>PFES1162671129_0001</v>
      </c>
      <c r="L525" s="2">
        <v>1</v>
      </c>
      <c r="M525" s="2">
        <v>15</v>
      </c>
    </row>
    <row r="526" spans="1:13">
      <c r="A526" s="6">
        <v>43501</v>
      </c>
      <c r="B526" s="7">
        <v>0.55138888888888882</v>
      </c>
      <c r="C526" s="2" t="str">
        <f>"FES1162671146"</f>
        <v>FES1162671146</v>
      </c>
      <c r="D526" s="2" t="s">
        <v>18</v>
      </c>
      <c r="E526" s="2" t="s">
        <v>305</v>
      </c>
      <c r="F526" s="2" t="str">
        <f>"2170669571 "</f>
        <v xml:space="preserve">2170669571 </v>
      </c>
      <c r="G526" s="2" t="str">
        <f t="shared" si="17"/>
        <v>ON1</v>
      </c>
      <c r="H526" s="2" t="s">
        <v>20</v>
      </c>
      <c r="I526" s="2" t="s">
        <v>197</v>
      </c>
      <c r="J526" s="2" t="str">
        <f>""</f>
        <v/>
      </c>
      <c r="K526" s="2" t="str">
        <f>"PFES1162671146_0001"</f>
        <v>PFES1162671146_0001</v>
      </c>
      <c r="L526" s="2">
        <v>1</v>
      </c>
      <c r="M526" s="2">
        <v>1</v>
      </c>
    </row>
    <row r="527" spans="1:13">
      <c r="A527" s="6">
        <v>43501</v>
      </c>
      <c r="B527" s="7">
        <v>0.55138888888888882</v>
      </c>
      <c r="C527" s="2" t="str">
        <f>"FES1162671085"</f>
        <v>FES1162671085</v>
      </c>
      <c r="D527" s="2" t="s">
        <v>18</v>
      </c>
      <c r="E527" s="2" t="s">
        <v>376</v>
      </c>
      <c r="F527" s="2" t="str">
        <f>"2170670892 "</f>
        <v xml:space="preserve">2170670892 </v>
      </c>
      <c r="G527" s="2" t="str">
        <f t="shared" si="17"/>
        <v>ON1</v>
      </c>
      <c r="H527" s="2" t="s">
        <v>20</v>
      </c>
      <c r="I527" s="2" t="s">
        <v>228</v>
      </c>
      <c r="J527" s="2" t="str">
        <f>""</f>
        <v/>
      </c>
      <c r="K527" s="2" t="str">
        <f>"PFES1162671085_0001"</f>
        <v>PFES1162671085_0001</v>
      </c>
      <c r="L527" s="2">
        <v>1</v>
      </c>
      <c r="M527" s="2">
        <v>1</v>
      </c>
    </row>
    <row r="528" spans="1:13">
      <c r="A528" s="6">
        <v>43501</v>
      </c>
      <c r="B528" s="7">
        <v>0.55069444444444449</v>
      </c>
      <c r="C528" s="2" t="str">
        <f>"FES1162671179"</f>
        <v>FES1162671179</v>
      </c>
      <c r="D528" s="2" t="s">
        <v>18</v>
      </c>
      <c r="E528" s="2" t="s">
        <v>464</v>
      </c>
      <c r="F528" s="2" t="str">
        <f>"2170670945 "</f>
        <v xml:space="preserve">2170670945 </v>
      </c>
      <c r="G528" s="2" t="str">
        <f t="shared" si="17"/>
        <v>ON1</v>
      </c>
      <c r="H528" s="2" t="s">
        <v>20</v>
      </c>
      <c r="I528" s="2" t="s">
        <v>465</v>
      </c>
      <c r="J528" s="2" t="str">
        <f>""</f>
        <v/>
      </c>
      <c r="K528" s="2" t="str">
        <f>"PFES1162671179_0001"</f>
        <v>PFES1162671179_0001</v>
      </c>
      <c r="L528" s="2">
        <v>1</v>
      </c>
      <c r="M528" s="2">
        <v>1</v>
      </c>
    </row>
    <row r="529" spans="1:13">
      <c r="A529" s="6">
        <v>43501</v>
      </c>
      <c r="B529" s="7">
        <v>0.55069444444444449</v>
      </c>
      <c r="C529" s="2" t="str">
        <f>"FES1162671154"</f>
        <v>FES1162671154</v>
      </c>
      <c r="D529" s="2" t="s">
        <v>18</v>
      </c>
      <c r="E529" s="2" t="s">
        <v>395</v>
      </c>
      <c r="F529" s="2" t="str">
        <f>"2170672585 "</f>
        <v xml:space="preserve">2170672585 </v>
      </c>
      <c r="G529" s="2" t="str">
        <f t="shared" si="17"/>
        <v>ON1</v>
      </c>
      <c r="H529" s="2" t="s">
        <v>20</v>
      </c>
      <c r="I529" s="2" t="s">
        <v>396</v>
      </c>
      <c r="J529" s="2" t="str">
        <f>""</f>
        <v/>
      </c>
      <c r="K529" s="2" t="str">
        <f>"PFES1162671154_0001"</f>
        <v>PFES1162671154_0001</v>
      </c>
      <c r="L529" s="2">
        <v>1</v>
      </c>
      <c r="M529" s="2">
        <v>1</v>
      </c>
    </row>
    <row r="530" spans="1:13">
      <c r="A530" s="6">
        <v>43501</v>
      </c>
      <c r="B530" s="7">
        <v>0.54999999999999993</v>
      </c>
      <c r="C530" s="2" t="str">
        <f>"FES1162671113"</f>
        <v>FES1162671113</v>
      </c>
      <c r="D530" s="2" t="s">
        <v>18</v>
      </c>
      <c r="E530" s="2" t="s">
        <v>419</v>
      </c>
      <c r="F530" s="2" t="str">
        <f>"2170672367 "</f>
        <v xml:space="preserve">2170672367 </v>
      </c>
      <c r="G530" s="2" t="str">
        <f t="shared" si="17"/>
        <v>ON1</v>
      </c>
      <c r="H530" s="2" t="s">
        <v>20</v>
      </c>
      <c r="I530" s="2" t="s">
        <v>420</v>
      </c>
      <c r="J530" s="2" t="str">
        <f>""</f>
        <v/>
      </c>
      <c r="K530" s="2" t="str">
        <f>"PFES1162671113_0001"</f>
        <v>PFES1162671113_0001</v>
      </c>
      <c r="L530" s="2">
        <v>1</v>
      </c>
      <c r="M530" s="2">
        <v>1</v>
      </c>
    </row>
    <row r="531" spans="1:13">
      <c r="A531" s="6">
        <v>43501</v>
      </c>
      <c r="B531" s="7">
        <v>0.54999999999999993</v>
      </c>
      <c r="C531" s="2" t="str">
        <f>"FES1162671114"</f>
        <v>FES1162671114</v>
      </c>
      <c r="D531" s="2" t="s">
        <v>18</v>
      </c>
      <c r="E531" s="2" t="s">
        <v>289</v>
      </c>
      <c r="F531" s="2" t="str">
        <f>"2170672393 "</f>
        <v xml:space="preserve">2170672393 </v>
      </c>
      <c r="G531" s="2" t="str">
        <f t="shared" si="17"/>
        <v>ON1</v>
      </c>
      <c r="H531" s="2" t="s">
        <v>20</v>
      </c>
      <c r="I531" s="2" t="s">
        <v>290</v>
      </c>
      <c r="J531" s="2" t="str">
        <f>""</f>
        <v/>
      </c>
      <c r="K531" s="2" t="str">
        <f>"PFES1162671114_0001"</f>
        <v>PFES1162671114_0001</v>
      </c>
      <c r="L531" s="2">
        <v>1</v>
      </c>
      <c r="M531" s="2">
        <v>10</v>
      </c>
    </row>
    <row r="532" spans="1:13">
      <c r="A532" s="6">
        <v>43501</v>
      </c>
      <c r="B532" s="7">
        <v>0.54999999999999993</v>
      </c>
      <c r="C532" s="2" t="str">
        <f>"FES1162671241"</f>
        <v>FES1162671241</v>
      </c>
      <c r="D532" s="2" t="s">
        <v>18</v>
      </c>
      <c r="E532" s="2" t="s">
        <v>466</v>
      </c>
      <c r="F532" s="2" t="str">
        <f>"2170672593 "</f>
        <v xml:space="preserve">2170672593 </v>
      </c>
      <c r="G532" s="2" t="str">
        <f t="shared" si="17"/>
        <v>ON1</v>
      </c>
      <c r="H532" s="2" t="s">
        <v>20</v>
      </c>
      <c r="I532" s="2" t="s">
        <v>117</v>
      </c>
      <c r="J532" s="2" t="str">
        <f>""</f>
        <v/>
      </c>
      <c r="K532" s="2" t="str">
        <f>"PFES1162671241_0001"</f>
        <v>PFES1162671241_0001</v>
      </c>
      <c r="L532" s="2">
        <v>1</v>
      </c>
      <c r="M532" s="2">
        <v>1</v>
      </c>
    </row>
    <row r="533" spans="1:13">
      <c r="A533" s="6">
        <v>43501</v>
      </c>
      <c r="B533" s="7">
        <v>0.5493055555555556</v>
      </c>
      <c r="C533" s="2" t="str">
        <f>"FES1162671123"</f>
        <v>FES1162671123</v>
      </c>
      <c r="D533" s="2" t="s">
        <v>18</v>
      </c>
      <c r="E533" s="2" t="s">
        <v>467</v>
      </c>
      <c r="F533" s="2" t="str">
        <f>"2170672525 "</f>
        <v xml:space="preserve">2170672525 </v>
      </c>
      <c r="G533" s="2" t="str">
        <f t="shared" si="17"/>
        <v>ON1</v>
      </c>
      <c r="H533" s="2" t="s">
        <v>20</v>
      </c>
      <c r="I533" s="2" t="s">
        <v>29</v>
      </c>
      <c r="J533" s="2" t="str">
        <f>""</f>
        <v/>
      </c>
      <c r="K533" s="2" t="str">
        <f>"PFES1162671123_0001"</f>
        <v>PFES1162671123_0001</v>
      </c>
      <c r="L533" s="2">
        <v>1</v>
      </c>
      <c r="M533" s="2">
        <v>1</v>
      </c>
    </row>
    <row r="534" spans="1:13">
      <c r="A534" s="6">
        <v>43501</v>
      </c>
      <c r="B534" s="7">
        <v>0.5493055555555556</v>
      </c>
      <c r="C534" s="2" t="str">
        <f>"FES1162671161"</f>
        <v>FES1162671161</v>
      </c>
      <c r="D534" s="2" t="s">
        <v>18</v>
      </c>
      <c r="E534" s="2" t="s">
        <v>468</v>
      </c>
      <c r="F534" s="2" t="str">
        <f>"2170670672 "</f>
        <v xml:space="preserve">2170670672 </v>
      </c>
      <c r="G534" s="2" t="str">
        <f t="shared" si="17"/>
        <v>ON1</v>
      </c>
      <c r="H534" s="2" t="s">
        <v>20</v>
      </c>
      <c r="I534" s="2" t="s">
        <v>188</v>
      </c>
      <c r="J534" s="2" t="str">
        <f>""</f>
        <v/>
      </c>
      <c r="K534" s="2" t="str">
        <f>"PFES1162671161_0001"</f>
        <v>PFES1162671161_0001</v>
      </c>
      <c r="L534" s="2">
        <v>1</v>
      </c>
      <c r="M534" s="2">
        <v>1</v>
      </c>
    </row>
    <row r="535" spans="1:13">
      <c r="A535" s="6">
        <v>43501</v>
      </c>
      <c r="B535" s="7">
        <v>0.54861111111111105</v>
      </c>
      <c r="C535" s="2" t="str">
        <f>"FES1162671128"</f>
        <v>FES1162671128</v>
      </c>
      <c r="D535" s="2" t="s">
        <v>18</v>
      </c>
      <c r="E535" s="2" t="s">
        <v>469</v>
      </c>
      <c r="F535" s="2" t="str">
        <f>"2170672559 "</f>
        <v xml:space="preserve">2170672559 </v>
      </c>
      <c r="G535" s="2" t="str">
        <f t="shared" si="17"/>
        <v>ON1</v>
      </c>
      <c r="H535" s="2" t="s">
        <v>20</v>
      </c>
      <c r="I535" s="2" t="s">
        <v>143</v>
      </c>
      <c r="J535" s="2" t="str">
        <f>""</f>
        <v/>
      </c>
      <c r="K535" s="2" t="str">
        <f>"PFES1162671128_0001"</f>
        <v>PFES1162671128_0001</v>
      </c>
      <c r="L535" s="2">
        <v>1</v>
      </c>
      <c r="M535" s="2">
        <v>5</v>
      </c>
    </row>
    <row r="536" spans="1:13">
      <c r="A536" s="6">
        <v>43501</v>
      </c>
      <c r="B536" s="7">
        <v>0.54861111111111105</v>
      </c>
      <c r="C536" s="2" t="str">
        <f>"FES1162671079"</f>
        <v>FES1162671079</v>
      </c>
      <c r="D536" s="2" t="s">
        <v>18</v>
      </c>
      <c r="E536" s="2" t="s">
        <v>152</v>
      </c>
      <c r="F536" s="2" t="str">
        <f>"2170669912 "</f>
        <v xml:space="preserve">2170669912 </v>
      </c>
      <c r="G536" s="2" t="str">
        <f t="shared" si="17"/>
        <v>ON1</v>
      </c>
      <c r="H536" s="2" t="s">
        <v>20</v>
      </c>
      <c r="I536" s="2" t="s">
        <v>153</v>
      </c>
      <c r="J536" s="2" t="str">
        <f>""</f>
        <v/>
      </c>
      <c r="K536" s="2" t="str">
        <f>"PFES1162671079_0001"</f>
        <v>PFES1162671079_0001</v>
      </c>
      <c r="L536" s="2">
        <v>1</v>
      </c>
      <c r="M536" s="2">
        <v>1</v>
      </c>
    </row>
    <row r="537" spans="1:13">
      <c r="A537" s="6">
        <v>43501</v>
      </c>
      <c r="B537" s="7">
        <v>0.54861111111111105</v>
      </c>
      <c r="C537" s="2" t="str">
        <f>"FES1162671157"</f>
        <v>FES1162671157</v>
      </c>
      <c r="D537" s="2" t="s">
        <v>18</v>
      </c>
      <c r="E537" s="2" t="s">
        <v>405</v>
      </c>
      <c r="F537" s="2" t="str">
        <f>"2170675129 "</f>
        <v xml:space="preserve">2170675129 </v>
      </c>
      <c r="G537" s="2" t="str">
        <f t="shared" si="17"/>
        <v>ON1</v>
      </c>
      <c r="H537" s="2" t="s">
        <v>20</v>
      </c>
      <c r="I537" s="2" t="s">
        <v>239</v>
      </c>
      <c r="J537" s="2" t="str">
        <f>""</f>
        <v/>
      </c>
      <c r="K537" s="2" t="str">
        <f>"PFES1162671157_0001"</f>
        <v>PFES1162671157_0001</v>
      </c>
      <c r="L537" s="2">
        <v>1</v>
      </c>
      <c r="M537" s="2">
        <v>1</v>
      </c>
    </row>
    <row r="538" spans="1:13">
      <c r="A538" s="6">
        <v>43501</v>
      </c>
      <c r="B538" s="7">
        <v>0.54791666666666672</v>
      </c>
      <c r="C538" s="2" t="str">
        <f>"FES1162671102"</f>
        <v>FES1162671102</v>
      </c>
      <c r="D538" s="2" t="s">
        <v>18</v>
      </c>
      <c r="E538" s="2" t="s">
        <v>470</v>
      </c>
      <c r="F538" s="2" t="str">
        <f>"2170671677 "</f>
        <v xml:space="preserve">2170671677 </v>
      </c>
      <c r="G538" s="2" t="str">
        <f t="shared" si="17"/>
        <v>ON1</v>
      </c>
      <c r="H538" s="2" t="s">
        <v>20</v>
      </c>
      <c r="I538" s="2" t="s">
        <v>471</v>
      </c>
      <c r="J538" s="2" t="str">
        <f>""</f>
        <v/>
      </c>
      <c r="K538" s="2" t="str">
        <f>"PFES1162671102_0001"</f>
        <v>PFES1162671102_0001</v>
      </c>
      <c r="L538" s="2">
        <v>1</v>
      </c>
      <c r="M538" s="2">
        <v>1</v>
      </c>
    </row>
    <row r="539" spans="1:13">
      <c r="A539" s="6">
        <v>43501</v>
      </c>
      <c r="B539" s="7">
        <v>0.54791666666666672</v>
      </c>
      <c r="C539" s="2" t="str">
        <f>"FES1162671211"</f>
        <v>FES1162671211</v>
      </c>
      <c r="D539" s="2" t="s">
        <v>18</v>
      </c>
      <c r="E539" s="2" t="s">
        <v>472</v>
      </c>
      <c r="F539" s="2" t="str">
        <f>"2170670396 "</f>
        <v xml:space="preserve">2170670396 </v>
      </c>
      <c r="G539" s="2" t="str">
        <f t="shared" si="17"/>
        <v>ON1</v>
      </c>
      <c r="H539" s="2" t="s">
        <v>20</v>
      </c>
      <c r="I539" s="2" t="s">
        <v>473</v>
      </c>
      <c r="J539" s="2" t="str">
        <f>""</f>
        <v/>
      </c>
      <c r="K539" s="2" t="str">
        <f>"PFES1162671211_0001"</f>
        <v>PFES1162671211_0001</v>
      </c>
      <c r="L539" s="2">
        <v>1</v>
      </c>
      <c r="M539" s="2">
        <v>1</v>
      </c>
    </row>
    <row r="540" spans="1:13">
      <c r="A540" s="6">
        <v>43501</v>
      </c>
      <c r="B540" s="7">
        <v>0.54722222222222217</v>
      </c>
      <c r="C540" s="2" t="str">
        <f>"FES1162671165"</f>
        <v>FES1162671165</v>
      </c>
      <c r="D540" s="2" t="s">
        <v>18</v>
      </c>
      <c r="E540" s="2" t="s">
        <v>386</v>
      </c>
      <c r="F540" s="2" t="str">
        <f>"2170670759 "</f>
        <v xml:space="preserve">2170670759 </v>
      </c>
      <c r="G540" s="2" t="str">
        <f t="shared" si="17"/>
        <v>ON1</v>
      </c>
      <c r="H540" s="2" t="s">
        <v>20</v>
      </c>
      <c r="I540" s="2" t="s">
        <v>41</v>
      </c>
      <c r="J540" s="2" t="str">
        <f>""</f>
        <v/>
      </c>
      <c r="K540" s="2" t="str">
        <f>"PFES1162671165_0001"</f>
        <v>PFES1162671165_0001</v>
      </c>
      <c r="L540" s="2">
        <v>1</v>
      </c>
      <c r="M540" s="2">
        <v>1</v>
      </c>
    </row>
    <row r="541" spans="1:13">
      <c r="A541" s="6">
        <v>43501</v>
      </c>
      <c r="B541" s="7">
        <v>0.54722222222222217</v>
      </c>
      <c r="C541" s="2" t="str">
        <f>"FES1162671183"</f>
        <v>FES1162671183</v>
      </c>
      <c r="D541" s="2" t="s">
        <v>18</v>
      </c>
      <c r="E541" s="2" t="s">
        <v>474</v>
      </c>
      <c r="F541" s="2" t="str">
        <f>"21706711118 "</f>
        <v xml:space="preserve">21706711118 </v>
      </c>
      <c r="G541" s="2" t="str">
        <f t="shared" si="17"/>
        <v>ON1</v>
      </c>
      <c r="H541" s="2" t="s">
        <v>20</v>
      </c>
      <c r="I541" s="2" t="s">
        <v>475</v>
      </c>
      <c r="J541" s="2" t="str">
        <f>""</f>
        <v/>
      </c>
      <c r="K541" s="2" t="str">
        <f>"PFES1162671183_0001"</f>
        <v>PFES1162671183_0001</v>
      </c>
      <c r="L541" s="2">
        <v>1</v>
      </c>
      <c r="M541" s="2">
        <v>1</v>
      </c>
    </row>
    <row r="542" spans="1:13">
      <c r="A542" s="6">
        <v>43501</v>
      </c>
      <c r="B542" s="7">
        <v>0.54652777777777783</v>
      </c>
      <c r="C542" s="2" t="str">
        <f>"FES1162671238"</f>
        <v>FES1162671238</v>
      </c>
      <c r="D542" s="2" t="s">
        <v>18</v>
      </c>
      <c r="E542" s="2" t="s">
        <v>476</v>
      </c>
      <c r="F542" s="2" t="str">
        <f>"2170671842 "</f>
        <v xml:space="preserve">2170671842 </v>
      </c>
      <c r="G542" s="2" t="str">
        <f t="shared" si="17"/>
        <v>ON1</v>
      </c>
      <c r="H542" s="2" t="s">
        <v>20</v>
      </c>
      <c r="I542" s="2" t="s">
        <v>25</v>
      </c>
      <c r="J542" s="2" t="str">
        <f>""</f>
        <v/>
      </c>
      <c r="K542" s="2" t="str">
        <f>"PFES1162671238_0001"</f>
        <v>PFES1162671238_0001</v>
      </c>
      <c r="L542" s="2">
        <v>1</v>
      </c>
      <c r="M542" s="2">
        <v>1</v>
      </c>
    </row>
    <row r="543" spans="1:13">
      <c r="A543" s="6">
        <v>43501</v>
      </c>
      <c r="B543" s="7">
        <v>0.54652777777777783</v>
      </c>
      <c r="C543" s="2" t="str">
        <f>"FES1162671171"</f>
        <v>FES1162671171</v>
      </c>
      <c r="D543" s="2" t="s">
        <v>18</v>
      </c>
      <c r="E543" s="2" t="s">
        <v>477</v>
      </c>
      <c r="F543" s="2" t="str">
        <f>"2170670855 "</f>
        <v xml:space="preserve">2170670855 </v>
      </c>
      <c r="G543" s="2" t="str">
        <f t="shared" si="17"/>
        <v>ON1</v>
      </c>
      <c r="H543" s="2" t="s">
        <v>20</v>
      </c>
      <c r="I543" s="2" t="s">
        <v>478</v>
      </c>
      <c r="J543" s="2" t="str">
        <f>""</f>
        <v/>
      </c>
      <c r="K543" s="2" t="str">
        <f>"PFES1162671171_0001"</f>
        <v>PFES1162671171_0001</v>
      </c>
      <c r="L543" s="2">
        <v>1</v>
      </c>
      <c r="M543" s="2">
        <v>1</v>
      </c>
    </row>
    <row r="544" spans="1:13">
      <c r="A544" s="6">
        <v>43501</v>
      </c>
      <c r="B544" s="7">
        <v>0.54652777777777783</v>
      </c>
      <c r="C544" s="2" t="str">
        <f>"FES1162671206"</f>
        <v>FES1162671206</v>
      </c>
      <c r="D544" s="2" t="s">
        <v>18</v>
      </c>
      <c r="E544" s="2" t="s">
        <v>144</v>
      </c>
      <c r="F544" s="2" t="str">
        <f>"2170669038 "</f>
        <v xml:space="preserve">2170669038 </v>
      </c>
      <c r="G544" s="2" t="str">
        <f t="shared" si="17"/>
        <v>ON1</v>
      </c>
      <c r="H544" s="2" t="s">
        <v>20</v>
      </c>
      <c r="I544" s="2" t="s">
        <v>145</v>
      </c>
      <c r="J544" s="2" t="str">
        <f>""</f>
        <v/>
      </c>
      <c r="K544" s="2" t="str">
        <f>"PFES1162671206_0001"</f>
        <v>PFES1162671206_0001</v>
      </c>
      <c r="L544" s="2">
        <v>1</v>
      </c>
      <c r="M544" s="2">
        <v>1</v>
      </c>
    </row>
    <row r="545" spans="1:13">
      <c r="A545" s="6">
        <v>43501</v>
      </c>
      <c r="B545" s="7">
        <v>0.5444444444444444</v>
      </c>
      <c r="C545" s="2" t="str">
        <f>"FES1162671228"</f>
        <v>FES1162671228</v>
      </c>
      <c r="D545" s="2" t="s">
        <v>18</v>
      </c>
      <c r="E545" s="2" t="s">
        <v>337</v>
      </c>
      <c r="F545" s="2" t="str">
        <f>"2170670701 "</f>
        <v xml:space="preserve">2170670701 </v>
      </c>
      <c r="G545" s="2" t="str">
        <f t="shared" si="17"/>
        <v>ON1</v>
      </c>
      <c r="H545" s="2" t="s">
        <v>20</v>
      </c>
      <c r="I545" s="2" t="s">
        <v>338</v>
      </c>
      <c r="J545" s="2" t="str">
        <f>""</f>
        <v/>
      </c>
      <c r="K545" s="2" t="str">
        <f>"PFES1162671228_0001"</f>
        <v>PFES1162671228_0001</v>
      </c>
      <c r="L545" s="2">
        <v>3</v>
      </c>
      <c r="M545" s="2">
        <v>12</v>
      </c>
    </row>
    <row r="546" spans="1:13">
      <c r="A546" s="6">
        <v>43501</v>
      </c>
      <c r="B546" s="7">
        <v>0.5444444444444444</v>
      </c>
      <c r="C546" s="2" t="str">
        <f>"FES1162671228"</f>
        <v>FES1162671228</v>
      </c>
      <c r="D546" s="2" t="s">
        <v>18</v>
      </c>
      <c r="E546" s="2" t="s">
        <v>337</v>
      </c>
      <c r="F546" s="2" t="str">
        <f t="shared" ref="F546:F547" si="18">"2170670701 "</f>
        <v xml:space="preserve">2170670701 </v>
      </c>
      <c r="G546" s="2" t="str">
        <f t="shared" si="17"/>
        <v>ON1</v>
      </c>
      <c r="H546" s="2" t="s">
        <v>20</v>
      </c>
      <c r="I546" s="2" t="s">
        <v>338</v>
      </c>
      <c r="J546" s="2"/>
      <c r="K546" s="2" t="str">
        <f>"PFES1162671228_0002"</f>
        <v>PFES1162671228_0002</v>
      </c>
      <c r="L546" s="2">
        <v>3</v>
      </c>
      <c r="M546" s="2">
        <v>12</v>
      </c>
    </row>
    <row r="547" spans="1:13">
      <c r="A547" s="6">
        <v>43501</v>
      </c>
      <c r="B547" s="7">
        <v>0.5444444444444444</v>
      </c>
      <c r="C547" s="2" t="str">
        <f>"FES1162671228"</f>
        <v>FES1162671228</v>
      </c>
      <c r="D547" s="2" t="s">
        <v>18</v>
      </c>
      <c r="E547" s="2" t="s">
        <v>337</v>
      </c>
      <c r="F547" s="2" t="str">
        <f t="shared" si="18"/>
        <v xml:space="preserve">2170670701 </v>
      </c>
      <c r="G547" s="2" t="str">
        <f t="shared" si="17"/>
        <v>ON1</v>
      </c>
      <c r="H547" s="2" t="s">
        <v>20</v>
      </c>
      <c r="I547" s="2" t="s">
        <v>338</v>
      </c>
      <c r="J547" s="2"/>
      <c r="K547" s="2" t="str">
        <f>"PFES1162671228_0003"</f>
        <v>PFES1162671228_0003</v>
      </c>
      <c r="L547" s="2">
        <v>3</v>
      </c>
      <c r="M547" s="2">
        <v>12</v>
      </c>
    </row>
    <row r="548" spans="1:13">
      <c r="A548" s="6">
        <v>43501</v>
      </c>
      <c r="B548" s="7">
        <v>0.54375000000000007</v>
      </c>
      <c r="C548" s="2" t="str">
        <f>"FES1162671147"</f>
        <v>FES1162671147</v>
      </c>
      <c r="D548" s="2" t="s">
        <v>18</v>
      </c>
      <c r="E548" s="2" t="s">
        <v>104</v>
      </c>
      <c r="F548" s="2" t="str">
        <f>"2170669955 "</f>
        <v xml:space="preserve">2170669955 </v>
      </c>
      <c r="G548" s="2" t="str">
        <f>"DBC"</f>
        <v>DBC</v>
      </c>
      <c r="H548" s="2" t="s">
        <v>20</v>
      </c>
      <c r="I548" s="2" t="s">
        <v>105</v>
      </c>
      <c r="J548" s="2" t="str">
        <f>""</f>
        <v/>
      </c>
      <c r="K548" s="2" t="str">
        <f>"PFES1162671147_0001"</f>
        <v>PFES1162671147_0001</v>
      </c>
      <c r="L548" s="2">
        <v>1</v>
      </c>
      <c r="M548" s="2">
        <v>26</v>
      </c>
    </row>
    <row r="549" spans="1:13">
      <c r="A549" s="6">
        <v>43501</v>
      </c>
      <c r="B549" s="7">
        <v>0.54236111111111118</v>
      </c>
      <c r="C549" s="2" t="str">
        <f>"FES1162671222"</f>
        <v>FES1162671222</v>
      </c>
      <c r="D549" s="2" t="s">
        <v>18</v>
      </c>
      <c r="E549" s="2" t="s">
        <v>209</v>
      </c>
      <c r="F549" s="2" t="str">
        <f>"2170670530 "</f>
        <v xml:space="preserve">2170670530 </v>
      </c>
      <c r="G549" s="2" t="str">
        <f t="shared" ref="G549:G612" si="19">"ON1"</f>
        <v>ON1</v>
      </c>
      <c r="H549" s="2" t="s">
        <v>20</v>
      </c>
      <c r="I549" s="2" t="s">
        <v>210</v>
      </c>
      <c r="J549" s="2" t="str">
        <f>""</f>
        <v/>
      </c>
      <c r="K549" s="2" t="str">
        <f>"PFES1162671222_0001"</f>
        <v>PFES1162671222_0001</v>
      </c>
      <c r="L549" s="2">
        <v>1</v>
      </c>
      <c r="M549" s="2">
        <v>8</v>
      </c>
    </row>
    <row r="550" spans="1:13">
      <c r="A550" s="6">
        <v>43501</v>
      </c>
      <c r="B550" s="7">
        <v>0.54097222222222219</v>
      </c>
      <c r="C550" s="2" t="str">
        <f>"FES1162671090"</f>
        <v>FES1162671090</v>
      </c>
      <c r="D550" s="2" t="s">
        <v>18</v>
      </c>
      <c r="E550" s="2" t="s">
        <v>229</v>
      </c>
      <c r="F550" s="2" t="str">
        <f>"2170671191 "</f>
        <v xml:space="preserve">2170671191 </v>
      </c>
      <c r="G550" s="2" t="str">
        <f t="shared" si="19"/>
        <v>ON1</v>
      </c>
      <c r="H550" s="2" t="s">
        <v>20</v>
      </c>
      <c r="I550" s="2" t="s">
        <v>111</v>
      </c>
      <c r="J550" s="2" t="str">
        <f>""</f>
        <v/>
      </c>
      <c r="K550" s="2" t="str">
        <f>"PFES1162671090_0001"</f>
        <v>PFES1162671090_0001</v>
      </c>
      <c r="L550" s="2">
        <v>1</v>
      </c>
      <c r="M550" s="2">
        <v>3</v>
      </c>
    </row>
    <row r="551" spans="1:13">
      <c r="A551" s="6">
        <v>43501</v>
      </c>
      <c r="B551" s="7">
        <v>0.5395833333333333</v>
      </c>
      <c r="C551" s="2" t="str">
        <f>"FES1162671112"</f>
        <v>FES1162671112</v>
      </c>
      <c r="D551" s="2" t="s">
        <v>18</v>
      </c>
      <c r="E551" s="2" t="s">
        <v>479</v>
      </c>
      <c r="F551" s="2" t="str">
        <f>"2170672347 "</f>
        <v xml:space="preserve">2170672347 </v>
      </c>
      <c r="G551" s="2" t="str">
        <f t="shared" si="19"/>
        <v>ON1</v>
      </c>
      <c r="H551" s="2" t="s">
        <v>20</v>
      </c>
      <c r="I551" s="2" t="s">
        <v>233</v>
      </c>
      <c r="J551" s="2" t="str">
        <f>""</f>
        <v/>
      </c>
      <c r="K551" s="2" t="str">
        <f>"PFES1162671112_0001"</f>
        <v>PFES1162671112_0001</v>
      </c>
      <c r="L551" s="2">
        <v>1</v>
      </c>
      <c r="M551" s="2">
        <v>6</v>
      </c>
    </row>
    <row r="552" spans="1:13">
      <c r="A552" s="6">
        <v>43501</v>
      </c>
      <c r="B552" s="7">
        <v>0.62083333333333335</v>
      </c>
      <c r="C552" s="2" t="str">
        <f>"FES1162671259"</f>
        <v>FES1162671259</v>
      </c>
      <c r="D552" s="2" t="s">
        <v>18</v>
      </c>
      <c r="E552" s="2" t="s">
        <v>88</v>
      </c>
      <c r="F552" s="2" t="str">
        <f>"2170672618 "</f>
        <v xml:space="preserve">2170672618 </v>
      </c>
      <c r="G552" s="2" t="str">
        <f t="shared" si="19"/>
        <v>ON1</v>
      </c>
      <c r="H552" s="2" t="s">
        <v>20</v>
      </c>
      <c r="I552" s="2" t="s">
        <v>89</v>
      </c>
      <c r="J552" s="2" t="str">
        <f>""</f>
        <v/>
      </c>
      <c r="K552" s="2" t="str">
        <f>"PFES1162671259_0001"</f>
        <v>PFES1162671259_0001</v>
      </c>
      <c r="L552" s="2">
        <v>1</v>
      </c>
      <c r="M552" s="2">
        <v>4</v>
      </c>
    </row>
    <row r="553" spans="1:13">
      <c r="A553" s="6">
        <v>43501</v>
      </c>
      <c r="B553" s="7">
        <v>0.62013888888888891</v>
      </c>
      <c r="C553" s="2" t="str">
        <f>"FES1162671251"</f>
        <v>FES1162671251</v>
      </c>
      <c r="D553" s="2" t="s">
        <v>18</v>
      </c>
      <c r="E553" s="2" t="s">
        <v>480</v>
      </c>
      <c r="F553" s="2" t="str">
        <f>"2170672606 "</f>
        <v xml:space="preserve">2170672606 </v>
      </c>
      <c r="G553" s="2" t="str">
        <f t="shared" si="19"/>
        <v>ON1</v>
      </c>
      <c r="H553" s="2" t="s">
        <v>20</v>
      </c>
      <c r="I553" s="2" t="s">
        <v>481</v>
      </c>
      <c r="J553" s="2" t="str">
        <f>""</f>
        <v/>
      </c>
      <c r="K553" s="2" t="str">
        <f>"PFES1162671251_0001"</f>
        <v>PFES1162671251_0001</v>
      </c>
      <c r="L553" s="2">
        <v>1</v>
      </c>
      <c r="M553" s="2">
        <v>3</v>
      </c>
    </row>
    <row r="554" spans="1:13">
      <c r="A554" s="6">
        <v>43501</v>
      </c>
      <c r="B554" s="7">
        <v>0.61875000000000002</v>
      </c>
      <c r="C554" s="2" t="str">
        <f>"FES1162671180"</f>
        <v>FES1162671180</v>
      </c>
      <c r="D554" s="2" t="s">
        <v>18</v>
      </c>
      <c r="E554" s="2" t="s">
        <v>482</v>
      </c>
      <c r="F554" s="2" t="str">
        <f>"2170670961 "</f>
        <v xml:space="preserve">2170670961 </v>
      </c>
      <c r="G554" s="2" t="str">
        <f t="shared" si="19"/>
        <v>ON1</v>
      </c>
      <c r="H554" s="2" t="s">
        <v>20</v>
      </c>
      <c r="I554" s="2" t="s">
        <v>272</v>
      </c>
      <c r="J554" s="2" t="str">
        <f>""</f>
        <v/>
      </c>
      <c r="K554" s="2" t="str">
        <f>"PFES1162671180_0001"</f>
        <v>PFES1162671180_0001</v>
      </c>
      <c r="L554" s="2">
        <v>1</v>
      </c>
      <c r="M554" s="2">
        <v>13</v>
      </c>
    </row>
    <row r="555" spans="1:13">
      <c r="A555" s="6">
        <v>43501</v>
      </c>
      <c r="B555" s="7">
        <v>0.6166666666666667</v>
      </c>
      <c r="C555" s="2" t="str">
        <f>"FES1162671058"</f>
        <v>FES1162671058</v>
      </c>
      <c r="D555" s="2" t="s">
        <v>18</v>
      </c>
      <c r="E555" s="2" t="s">
        <v>483</v>
      </c>
      <c r="F555" s="2" t="str">
        <f>"2170668223 "</f>
        <v xml:space="preserve">2170668223 </v>
      </c>
      <c r="G555" s="2" t="str">
        <f t="shared" si="19"/>
        <v>ON1</v>
      </c>
      <c r="H555" s="2" t="s">
        <v>20</v>
      </c>
      <c r="I555" s="2" t="s">
        <v>484</v>
      </c>
      <c r="J555" s="2" t="str">
        <f>""</f>
        <v/>
      </c>
      <c r="K555" s="2" t="str">
        <f>"PFES1162671058_0001"</f>
        <v>PFES1162671058_0001</v>
      </c>
      <c r="L555" s="2">
        <v>2</v>
      </c>
      <c r="M555" s="2">
        <v>4</v>
      </c>
    </row>
    <row r="556" spans="1:13">
      <c r="A556" s="6">
        <v>43501</v>
      </c>
      <c r="B556" s="7">
        <v>0.6166666666666667</v>
      </c>
      <c r="C556" s="2" t="str">
        <f>"FES1162671058"</f>
        <v>FES1162671058</v>
      </c>
      <c r="D556" s="2" t="s">
        <v>18</v>
      </c>
      <c r="E556" s="2" t="s">
        <v>483</v>
      </c>
      <c r="F556" s="2" t="str">
        <f>"2170668223 "</f>
        <v xml:space="preserve">2170668223 </v>
      </c>
      <c r="G556" s="2" t="str">
        <f t="shared" si="19"/>
        <v>ON1</v>
      </c>
      <c r="H556" s="2" t="s">
        <v>20</v>
      </c>
      <c r="I556" s="2" t="s">
        <v>484</v>
      </c>
      <c r="J556" s="2"/>
      <c r="K556" s="2" t="str">
        <f>"PFES1162671058_0002"</f>
        <v>PFES1162671058_0002</v>
      </c>
      <c r="L556" s="2">
        <v>2</v>
      </c>
      <c r="M556" s="2">
        <v>4</v>
      </c>
    </row>
    <row r="557" spans="1:13">
      <c r="A557" s="6">
        <v>43501</v>
      </c>
      <c r="B557" s="7">
        <v>0.61527777777777781</v>
      </c>
      <c r="C557" s="2" t="str">
        <f>"FES1162671233"</f>
        <v>FES1162671233</v>
      </c>
      <c r="D557" s="2" t="s">
        <v>18</v>
      </c>
      <c r="E557" s="2" t="s">
        <v>80</v>
      </c>
      <c r="F557" s="2" t="str">
        <f>"2170670763 "</f>
        <v xml:space="preserve">2170670763 </v>
      </c>
      <c r="G557" s="2" t="str">
        <f t="shared" si="19"/>
        <v>ON1</v>
      </c>
      <c r="H557" s="2" t="s">
        <v>20</v>
      </c>
      <c r="I557" s="2" t="s">
        <v>81</v>
      </c>
      <c r="J557" s="2" t="str">
        <f>""</f>
        <v/>
      </c>
      <c r="K557" s="2" t="str">
        <f>"PFES1162671233_0001"</f>
        <v>PFES1162671233_0001</v>
      </c>
      <c r="L557" s="2">
        <v>1</v>
      </c>
      <c r="M557" s="2">
        <v>1</v>
      </c>
    </row>
    <row r="558" spans="1:13">
      <c r="A558" s="6">
        <v>43501</v>
      </c>
      <c r="B558" s="7">
        <v>0.61458333333333337</v>
      </c>
      <c r="C558" s="2" t="str">
        <f>"FES1162671270"</f>
        <v>FES1162671270</v>
      </c>
      <c r="D558" s="2" t="s">
        <v>18</v>
      </c>
      <c r="E558" s="2" t="s">
        <v>485</v>
      </c>
      <c r="F558" s="2" t="str">
        <f>"2170672626 "</f>
        <v xml:space="preserve">2170672626 </v>
      </c>
      <c r="G558" s="2" t="str">
        <f t="shared" si="19"/>
        <v>ON1</v>
      </c>
      <c r="H558" s="2" t="s">
        <v>20</v>
      </c>
      <c r="I558" s="2" t="s">
        <v>282</v>
      </c>
      <c r="J558" s="2" t="str">
        <f>""</f>
        <v/>
      </c>
      <c r="K558" s="2" t="str">
        <f>"PFES1162671270_0001"</f>
        <v>PFES1162671270_0001</v>
      </c>
      <c r="L558" s="2">
        <v>1</v>
      </c>
      <c r="M558" s="2">
        <v>1</v>
      </c>
    </row>
    <row r="559" spans="1:13">
      <c r="A559" s="6">
        <v>43501</v>
      </c>
      <c r="B559" s="7">
        <v>0.61458333333333337</v>
      </c>
      <c r="C559" s="2" t="str">
        <f>"FES1162671223"</f>
        <v>FES1162671223</v>
      </c>
      <c r="D559" s="2" t="s">
        <v>18</v>
      </c>
      <c r="E559" s="2" t="s">
        <v>146</v>
      </c>
      <c r="F559" s="2" t="str">
        <f>"2170670586 "</f>
        <v xml:space="preserve">2170670586 </v>
      </c>
      <c r="G559" s="2" t="str">
        <f t="shared" si="19"/>
        <v>ON1</v>
      </c>
      <c r="H559" s="2" t="s">
        <v>20</v>
      </c>
      <c r="I559" s="2" t="s">
        <v>147</v>
      </c>
      <c r="J559" s="2" t="str">
        <f>""</f>
        <v/>
      </c>
      <c r="K559" s="2" t="str">
        <f>"PFES1162671223_0001"</f>
        <v>PFES1162671223_0001</v>
      </c>
      <c r="L559" s="2">
        <v>1</v>
      </c>
      <c r="M559" s="2">
        <v>1</v>
      </c>
    </row>
    <row r="560" spans="1:13">
      <c r="A560" s="6">
        <v>43501</v>
      </c>
      <c r="B560" s="7">
        <v>0.61388888888888882</v>
      </c>
      <c r="C560" s="2" t="str">
        <f>"FES1162671208"</f>
        <v>FES1162671208</v>
      </c>
      <c r="D560" s="2" t="s">
        <v>18</v>
      </c>
      <c r="E560" s="2" t="s">
        <v>370</v>
      </c>
      <c r="F560" s="2" t="str">
        <f>"2170669378 "</f>
        <v xml:space="preserve">2170669378 </v>
      </c>
      <c r="G560" s="2" t="str">
        <f t="shared" si="19"/>
        <v>ON1</v>
      </c>
      <c r="H560" s="2" t="s">
        <v>20</v>
      </c>
      <c r="I560" s="2" t="s">
        <v>67</v>
      </c>
      <c r="J560" s="2" t="str">
        <f>""</f>
        <v/>
      </c>
      <c r="K560" s="2" t="str">
        <f>"PFES1162671208_0001"</f>
        <v>PFES1162671208_0001</v>
      </c>
      <c r="L560" s="2">
        <v>1</v>
      </c>
      <c r="M560" s="2">
        <v>1</v>
      </c>
    </row>
    <row r="561" spans="1:13">
      <c r="A561" s="6">
        <v>43501</v>
      </c>
      <c r="B561" s="7">
        <v>0.61388888888888882</v>
      </c>
      <c r="C561" s="2" t="str">
        <f>"FES1162671266"</f>
        <v>FES1162671266</v>
      </c>
      <c r="D561" s="2" t="s">
        <v>18</v>
      </c>
      <c r="E561" s="2" t="s">
        <v>385</v>
      </c>
      <c r="F561" s="2" t="str">
        <f>"2170669004 "</f>
        <v xml:space="preserve">2170669004 </v>
      </c>
      <c r="G561" s="2" t="str">
        <f t="shared" si="19"/>
        <v>ON1</v>
      </c>
      <c r="H561" s="2" t="s">
        <v>20</v>
      </c>
      <c r="I561" s="2" t="s">
        <v>158</v>
      </c>
      <c r="J561" s="2" t="str">
        <f>""</f>
        <v/>
      </c>
      <c r="K561" s="2" t="str">
        <f>"PFES1162671266_0001"</f>
        <v>PFES1162671266_0001</v>
      </c>
      <c r="L561" s="2">
        <v>1</v>
      </c>
      <c r="M561" s="2">
        <v>1</v>
      </c>
    </row>
    <row r="562" spans="1:13">
      <c r="A562" s="6">
        <v>43501</v>
      </c>
      <c r="B562" s="7">
        <v>0.61388888888888882</v>
      </c>
      <c r="C562" s="2" t="str">
        <f>"FES1162671205"</f>
        <v>FES1162671205</v>
      </c>
      <c r="D562" s="2" t="s">
        <v>18</v>
      </c>
      <c r="E562" s="2" t="s">
        <v>19</v>
      </c>
      <c r="F562" s="2" t="str">
        <f>"2170668530 "</f>
        <v xml:space="preserve">2170668530 </v>
      </c>
      <c r="G562" s="2" t="str">
        <f t="shared" si="19"/>
        <v>ON1</v>
      </c>
      <c r="H562" s="2" t="s">
        <v>20</v>
      </c>
      <c r="I562" s="2" t="s">
        <v>21</v>
      </c>
      <c r="J562" s="2" t="str">
        <f>""</f>
        <v/>
      </c>
      <c r="K562" s="2" t="str">
        <f>"PFES1162671205_0001"</f>
        <v>PFES1162671205_0001</v>
      </c>
      <c r="L562" s="2">
        <v>1</v>
      </c>
      <c r="M562" s="2">
        <v>1</v>
      </c>
    </row>
    <row r="563" spans="1:13">
      <c r="A563" s="6">
        <v>43501</v>
      </c>
      <c r="B563" s="7">
        <v>0.61319444444444449</v>
      </c>
      <c r="C563" s="2" t="str">
        <f>"FES1162671226"</f>
        <v>FES1162671226</v>
      </c>
      <c r="D563" s="2" t="s">
        <v>18</v>
      </c>
      <c r="E563" s="2" t="s">
        <v>299</v>
      </c>
      <c r="F563" s="2" t="str">
        <f>"2170670645 "</f>
        <v xml:space="preserve">2170670645 </v>
      </c>
      <c r="G563" s="2" t="str">
        <f t="shared" si="19"/>
        <v>ON1</v>
      </c>
      <c r="H563" s="2" t="s">
        <v>20</v>
      </c>
      <c r="I563" s="2" t="s">
        <v>43</v>
      </c>
      <c r="J563" s="2" t="str">
        <f>""</f>
        <v/>
      </c>
      <c r="K563" s="2" t="str">
        <f>"PFES1162671226_0001"</f>
        <v>PFES1162671226_0001</v>
      </c>
      <c r="L563" s="2">
        <v>1</v>
      </c>
      <c r="M563" s="2">
        <v>1</v>
      </c>
    </row>
    <row r="564" spans="1:13">
      <c r="A564" s="6">
        <v>43501</v>
      </c>
      <c r="B564" s="7">
        <v>0.61319444444444449</v>
      </c>
      <c r="C564" s="2" t="str">
        <f>"FES1162671160"</f>
        <v>FES1162671160</v>
      </c>
      <c r="D564" s="2" t="s">
        <v>18</v>
      </c>
      <c r="E564" s="2" t="s">
        <v>225</v>
      </c>
      <c r="F564" s="2" t="str">
        <f>"2170670288 "</f>
        <v xml:space="preserve">2170670288 </v>
      </c>
      <c r="G564" s="2" t="str">
        <f t="shared" si="19"/>
        <v>ON1</v>
      </c>
      <c r="H564" s="2" t="s">
        <v>20</v>
      </c>
      <c r="I564" s="2" t="s">
        <v>226</v>
      </c>
      <c r="J564" s="2" t="str">
        <f>""</f>
        <v/>
      </c>
      <c r="K564" s="2" t="str">
        <f>"PFES1162671160_0001"</f>
        <v>PFES1162671160_0001</v>
      </c>
      <c r="L564" s="2">
        <v>1</v>
      </c>
      <c r="M564" s="2">
        <v>3</v>
      </c>
    </row>
    <row r="565" spans="1:13">
      <c r="A565" s="6">
        <v>43501</v>
      </c>
      <c r="B565" s="7">
        <v>0.61319444444444449</v>
      </c>
      <c r="C565" s="2" t="str">
        <f>"FES1162671264"</f>
        <v>FES1162671264</v>
      </c>
      <c r="D565" s="2" t="s">
        <v>18</v>
      </c>
      <c r="E565" s="2" t="s">
        <v>385</v>
      </c>
      <c r="F565" s="2" t="str">
        <f>"2170657319 "</f>
        <v xml:space="preserve">2170657319 </v>
      </c>
      <c r="G565" s="2" t="str">
        <f t="shared" si="19"/>
        <v>ON1</v>
      </c>
      <c r="H565" s="2" t="s">
        <v>20</v>
      </c>
      <c r="I565" s="2" t="s">
        <v>158</v>
      </c>
      <c r="J565" s="2" t="str">
        <f>""</f>
        <v/>
      </c>
      <c r="K565" s="2" t="str">
        <f>"PFES1162671264_0001"</f>
        <v>PFES1162671264_0001</v>
      </c>
      <c r="L565" s="2">
        <v>1</v>
      </c>
      <c r="M565" s="2">
        <v>1</v>
      </c>
    </row>
    <row r="566" spans="1:13">
      <c r="A566" s="6">
        <v>43501</v>
      </c>
      <c r="B566" s="7">
        <v>0.61319444444444449</v>
      </c>
      <c r="C566" s="2" t="str">
        <f>"FES1162671268"</f>
        <v>FES1162671268</v>
      </c>
      <c r="D566" s="2" t="s">
        <v>18</v>
      </c>
      <c r="E566" s="2" t="s">
        <v>69</v>
      </c>
      <c r="F566" s="2" t="str">
        <f>"2170672623 "</f>
        <v xml:space="preserve">2170672623 </v>
      </c>
      <c r="G566" s="2" t="str">
        <f t="shared" si="19"/>
        <v>ON1</v>
      </c>
      <c r="H566" s="2" t="s">
        <v>20</v>
      </c>
      <c r="I566" s="2" t="s">
        <v>70</v>
      </c>
      <c r="J566" s="2" t="str">
        <f>""</f>
        <v/>
      </c>
      <c r="K566" s="2" t="str">
        <f>"PFES1162671268_0001"</f>
        <v>PFES1162671268_0001</v>
      </c>
      <c r="L566" s="2">
        <v>1</v>
      </c>
      <c r="M566" s="2">
        <v>1</v>
      </c>
    </row>
    <row r="567" spans="1:13">
      <c r="A567" s="6">
        <v>43501</v>
      </c>
      <c r="B567" s="7">
        <v>0.61249999999999993</v>
      </c>
      <c r="C567" s="2" t="str">
        <f>"FES1162671066"</f>
        <v>FES1162671066</v>
      </c>
      <c r="D567" s="2" t="s">
        <v>18</v>
      </c>
      <c r="E567" s="2" t="s">
        <v>486</v>
      </c>
      <c r="F567" s="2" t="str">
        <f>"2170669262 "</f>
        <v xml:space="preserve">2170669262 </v>
      </c>
      <c r="G567" s="2" t="str">
        <f t="shared" si="19"/>
        <v>ON1</v>
      </c>
      <c r="H567" s="2" t="s">
        <v>20</v>
      </c>
      <c r="I567" s="2" t="s">
        <v>87</v>
      </c>
      <c r="J567" s="2" t="str">
        <f>""</f>
        <v/>
      </c>
      <c r="K567" s="2" t="str">
        <f>"PFES1162671066_0001"</f>
        <v>PFES1162671066_0001</v>
      </c>
      <c r="L567" s="2">
        <v>1</v>
      </c>
      <c r="M567" s="2">
        <v>2</v>
      </c>
    </row>
    <row r="568" spans="1:13">
      <c r="A568" s="6">
        <v>43501</v>
      </c>
      <c r="B568" s="7">
        <v>0.61249999999999993</v>
      </c>
      <c r="C568" s="2" t="str">
        <f>"FES1162671212"</f>
        <v>FES1162671212</v>
      </c>
      <c r="D568" s="2" t="s">
        <v>18</v>
      </c>
      <c r="E568" s="2" t="s">
        <v>487</v>
      </c>
      <c r="F568" s="2" t="str">
        <f>"2170670418 "</f>
        <v xml:space="preserve">2170670418 </v>
      </c>
      <c r="G568" s="2" t="str">
        <f t="shared" si="19"/>
        <v>ON1</v>
      </c>
      <c r="H568" s="2" t="s">
        <v>20</v>
      </c>
      <c r="I568" s="2" t="s">
        <v>488</v>
      </c>
      <c r="J568" s="2" t="str">
        <f>""</f>
        <v/>
      </c>
      <c r="K568" s="2" t="str">
        <f>"PFES1162671212_0001"</f>
        <v>PFES1162671212_0001</v>
      </c>
      <c r="L568" s="2">
        <v>1</v>
      </c>
      <c r="M568" s="2">
        <v>1</v>
      </c>
    </row>
    <row r="569" spans="1:13">
      <c r="A569" s="6">
        <v>43501</v>
      </c>
      <c r="B569" s="7">
        <v>0.6118055555555556</v>
      </c>
      <c r="C569" s="2" t="str">
        <f>"FES1162671265"</f>
        <v>FES1162671265</v>
      </c>
      <c r="D569" s="2" t="s">
        <v>18</v>
      </c>
      <c r="E569" s="2" t="s">
        <v>385</v>
      </c>
      <c r="F569" s="2" t="str">
        <f>"2170667184 "</f>
        <v xml:space="preserve">2170667184 </v>
      </c>
      <c r="G569" s="2" t="str">
        <f t="shared" si="19"/>
        <v>ON1</v>
      </c>
      <c r="H569" s="2" t="s">
        <v>20</v>
      </c>
      <c r="I569" s="2" t="s">
        <v>158</v>
      </c>
      <c r="J569" s="2" t="str">
        <f>""</f>
        <v/>
      </c>
      <c r="K569" s="2" t="str">
        <f>"PFES1162671265_0001"</f>
        <v>PFES1162671265_0001</v>
      </c>
      <c r="L569" s="2">
        <v>1</v>
      </c>
      <c r="M569" s="2">
        <v>1</v>
      </c>
    </row>
    <row r="570" spans="1:13">
      <c r="A570" s="6">
        <v>43501</v>
      </c>
      <c r="B570" s="7">
        <v>0.6118055555555556</v>
      </c>
      <c r="C570" s="2" t="str">
        <f>"FES1162671119"</f>
        <v>FES1162671119</v>
      </c>
      <c r="D570" s="2" t="s">
        <v>18</v>
      </c>
      <c r="E570" s="2" t="s">
        <v>489</v>
      </c>
      <c r="F570" s="2" t="str">
        <f>"2170672482 "</f>
        <v xml:space="preserve">2170672482 </v>
      </c>
      <c r="G570" s="2" t="str">
        <f t="shared" si="19"/>
        <v>ON1</v>
      </c>
      <c r="H570" s="2" t="s">
        <v>20</v>
      </c>
      <c r="I570" s="2" t="s">
        <v>490</v>
      </c>
      <c r="J570" s="2" t="str">
        <f>""</f>
        <v/>
      </c>
      <c r="K570" s="2" t="str">
        <f>"PFES1162671119_0001"</f>
        <v>PFES1162671119_0001</v>
      </c>
      <c r="L570" s="2">
        <v>1</v>
      </c>
      <c r="M570" s="2">
        <v>1</v>
      </c>
    </row>
    <row r="571" spans="1:13">
      <c r="A571" s="6">
        <v>43501</v>
      </c>
      <c r="B571" s="7">
        <v>0.61111111111111105</v>
      </c>
      <c r="C571" s="2" t="str">
        <f>"FES1162671172"</f>
        <v>FES1162671172</v>
      </c>
      <c r="D571" s="2" t="s">
        <v>18</v>
      </c>
      <c r="E571" s="2" t="s">
        <v>366</v>
      </c>
      <c r="F571" s="2" t="str">
        <f>"2170670857 "</f>
        <v xml:space="preserve">2170670857 </v>
      </c>
      <c r="G571" s="2" t="str">
        <f t="shared" si="19"/>
        <v>ON1</v>
      </c>
      <c r="H571" s="2" t="s">
        <v>20</v>
      </c>
      <c r="I571" s="2" t="s">
        <v>367</v>
      </c>
      <c r="J571" s="2" t="str">
        <f>""</f>
        <v/>
      </c>
      <c r="K571" s="2" t="str">
        <f>"PFES1162671172_0001"</f>
        <v>PFES1162671172_0001</v>
      </c>
      <c r="L571" s="2">
        <v>1</v>
      </c>
      <c r="M571" s="2">
        <v>1</v>
      </c>
    </row>
    <row r="572" spans="1:13">
      <c r="A572" s="6">
        <v>43501</v>
      </c>
      <c r="B572" s="7">
        <v>0.61111111111111105</v>
      </c>
      <c r="C572" s="2" t="str">
        <f>"FES1162671104"</f>
        <v>FES1162671104</v>
      </c>
      <c r="D572" s="2" t="s">
        <v>18</v>
      </c>
      <c r="E572" s="2" t="s">
        <v>305</v>
      </c>
      <c r="F572" s="2" t="str">
        <f>"2170671880 "</f>
        <v xml:space="preserve">2170671880 </v>
      </c>
      <c r="G572" s="2" t="str">
        <f t="shared" si="19"/>
        <v>ON1</v>
      </c>
      <c r="H572" s="2" t="s">
        <v>20</v>
      </c>
      <c r="I572" s="2" t="s">
        <v>197</v>
      </c>
      <c r="J572" s="2" t="str">
        <f>""</f>
        <v/>
      </c>
      <c r="K572" s="2" t="str">
        <f>"PFES1162671104_0001"</f>
        <v>PFES1162671104_0001</v>
      </c>
      <c r="L572" s="2">
        <v>1</v>
      </c>
      <c r="M572" s="2">
        <v>1</v>
      </c>
    </row>
    <row r="573" spans="1:13">
      <c r="A573" s="6">
        <v>43501</v>
      </c>
      <c r="B573" s="7">
        <v>0.61111111111111105</v>
      </c>
      <c r="C573" s="2" t="str">
        <f>"FES1162671141"</f>
        <v>FES1162671141</v>
      </c>
      <c r="D573" s="2" t="s">
        <v>18</v>
      </c>
      <c r="E573" s="2" t="s">
        <v>100</v>
      </c>
      <c r="F573" s="2" t="str">
        <f>"2170672567 "</f>
        <v xml:space="preserve">2170672567 </v>
      </c>
      <c r="G573" s="2" t="str">
        <f t="shared" si="19"/>
        <v>ON1</v>
      </c>
      <c r="H573" s="2" t="s">
        <v>20</v>
      </c>
      <c r="I573" s="2" t="s">
        <v>101</v>
      </c>
      <c r="J573" s="2" t="str">
        <f>""</f>
        <v/>
      </c>
      <c r="K573" s="2" t="str">
        <f>"PFES1162671141_0001"</f>
        <v>PFES1162671141_0001</v>
      </c>
      <c r="L573" s="2">
        <v>1</v>
      </c>
      <c r="M573" s="2">
        <v>1</v>
      </c>
    </row>
    <row r="574" spans="1:13">
      <c r="A574" s="6">
        <v>43501</v>
      </c>
      <c r="B574" s="7">
        <v>0.61041666666666672</v>
      </c>
      <c r="C574" s="2" t="str">
        <f>"FES1162671216"</f>
        <v>FES1162671216</v>
      </c>
      <c r="D574" s="2" t="s">
        <v>18</v>
      </c>
      <c r="E574" s="2" t="s">
        <v>19</v>
      </c>
      <c r="F574" s="2" t="str">
        <f>"2170670473 "</f>
        <v xml:space="preserve">2170670473 </v>
      </c>
      <c r="G574" s="2" t="str">
        <f t="shared" si="19"/>
        <v>ON1</v>
      </c>
      <c r="H574" s="2" t="s">
        <v>20</v>
      </c>
      <c r="I574" s="2" t="s">
        <v>21</v>
      </c>
      <c r="J574" s="2" t="str">
        <f>""</f>
        <v/>
      </c>
      <c r="K574" s="2" t="str">
        <f>"PFES1162671216_0001"</f>
        <v>PFES1162671216_0001</v>
      </c>
      <c r="L574" s="2">
        <v>1</v>
      </c>
      <c r="M574" s="2">
        <v>5</v>
      </c>
    </row>
    <row r="575" spans="1:13">
      <c r="A575" s="6">
        <v>43501</v>
      </c>
      <c r="B575" s="7">
        <v>0.61041666666666672</v>
      </c>
      <c r="C575" s="2" t="str">
        <f>"FES1162671103"</f>
        <v>FES1162671103</v>
      </c>
      <c r="D575" s="2" t="s">
        <v>18</v>
      </c>
      <c r="E575" s="2" t="s">
        <v>491</v>
      </c>
      <c r="F575" s="2" t="str">
        <f>"2170671802 "</f>
        <v xml:space="preserve">2170671802 </v>
      </c>
      <c r="G575" s="2" t="str">
        <f t="shared" si="19"/>
        <v>ON1</v>
      </c>
      <c r="H575" s="2" t="s">
        <v>20</v>
      </c>
      <c r="I575" s="2" t="s">
        <v>492</v>
      </c>
      <c r="J575" s="2" t="str">
        <f>""</f>
        <v/>
      </c>
      <c r="K575" s="2" t="str">
        <f>"PFES1162671103_0001"</f>
        <v>PFES1162671103_0001</v>
      </c>
      <c r="L575" s="2">
        <v>1</v>
      </c>
      <c r="M575" s="2">
        <v>1</v>
      </c>
    </row>
    <row r="576" spans="1:13">
      <c r="A576" s="6">
        <v>43501</v>
      </c>
      <c r="B576" s="7">
        <v>0.60972222222222217</v>
      </c>
      <c r="C576" s="2" t="str">
        <f>"FES1162671199"</f>
        <v>FES1162671199</v>
      </c>
      <c r="D576" s="2" t="s">
        <v>18</v>
      </c>
      <c r="E576" s="2" t="s">
        <v>393</v>
      </c>
      <c r="F576" s="2" t="str">
        <f>"2170676693 "</f>
        <v xml:space="preserve">2170676693 </v>
      </c>
      <c r="G576" s="2" t="str">
        <f t="shared" si="19"/>
        <v>ON1</v>
      </c>
      <c r="H576" s="2" t="s">
        <v>20</v>
      </c>
      <c r="I576" s="2" t="s">
        <v>242</v>
      </c>
      <c r="J576" s="2" t="str">
        <f>""</f>
        <v/>
      </c>
      <c r="K576" s="2" t="str">
        <f>"PFES1162671199_0001"</f>
        <v>PFES1162671199_0001</v>
      </c>
      <c r="L576" s="2">
        <v>1</v>
      </c>
      <c r="M576" s="2">
        <v>1</v>
      </c>
    </row>
    <row r="577" spans="1:13">
      <c r="A577" s="6">
        <v>43501</v>
      </c>
      <c r="B577" s="7">
        <v>0.60972222222222217</v>
      </c>
      <c r="C577" s="2" t="str">
        <f>"FES1162671262"</f>
        <v>FES1162671262</v>
      </c>
      <c r="D577" s="2" t="s">
        <v>18</v>
      </c>
      <c r="E577" s="2" t="s">
        <v>339</v>
      </c>
      <c r="F577" s="2" t="str">
        <f>"2170672621 "</f>
        <v xml:space="preserve">2170672621 </v>
      </c>
      <c r="G577" s="2" t="str">
        <f t="shared" si="19"/>
        <v>ON1</v>
      </c>
      <c r="H577" s="2" t="s">
        <v>20</v>
      </c>
      <c r="I577" s="2" t="s">
        <v>37</v>
      </c>
      <c r="J577" s="2" t="str">
        <f>""</f>
        <v/>
      </c>
      <c r="K577" s="2" t="str">
        <f>"PFES1162671262_0001"</f>
        <v>PFES1162671262_0001</v>
      </c>
      <c r="L577" s="2">
        <v>1</v>
      </c>
      <c r="M577" s="2">
        <v>2</v>
      </c>
    </row>
    <row r="578" spans="1:13">
      <c r="A578" s="6">
        <v>43501</v>
      </c>
      <c r="B578" s="7">
        <v>0.60972222222222217</v>
      </c>
      <c r="C578" s="2" t="str">
        <f>"FES1162671121"</f>
        <v>FES1162671121</v>
      </c>
      <c r="D578" s="2" t="s">
        <v>18</v>
      </c>
      <c r="E578" s="2" t="s">
        <v>493</v>
      </c>
      <c r="F578" s="2" t="str">
        <f>"2170672513 "</f>
        <v xml:space="preserve">2170672513 </v>
      </c>
      <c r="G578" s="2" t="str">
        <f t="shared" si="19"/>
        <v>ON1</v>
      </c>
      <c r="H578" s="2" t="s">
        <v>20</v>
      </c>
      <c r="I578" s="2" t="s">
        <v>111</v>
      </c>
      <c r="J578" s="2" t="str">
        <f>""</f>
        <v/>
      </c>
      <c r="K578" s="2" t="str">
        <f>"PFES1162671121_0001"</f>
        <v>PFES1162671121_0001</v>
      </c>
      <c r="L578" s="2">
        <v>1</v>
      </c>
      <c r="M578" s="2">
        <v>1</v>
      </c>
    </row>
    <row r="579" spans="1:13">
      <c r="A579" s="6">
        <v>43501</v>
      </c>
      <c r="B579" s="7">
        <v>0.60902777777777783</v>
      </c>
      <c r="C579" s="2" t="str">
        <f>"FES1162671151"</f>
        <v>FES1162671151</v>
      </c>
      <c r="D579" s="2" t="s">
        <v>18</v>
      </c>
      <c r="E579" s="2" t="s">
        <v>115</v>
      </c>
      <c r="F579" s="2" t="str">
        <f>"2170670769 "</f>
        <v xml:space="preserve">2170670769 </v>
      </c>
      <c r="G579" s="2" t="str">
        <f t="shared" si="19"/>
        <v>ON1</v>
      </c>
      <c r="H579" s="2" t="s">
        <v>20</v>
      </c>
      <c r="I579" s="2" t="s">
        <v>93</v>
      </c>
      <c r="J579" s="2" t="str">
        <f>""</f>
        <v/>
      </c>
      <c r="K579" s="2" t="str">
        <f>"PFES1162671151_0001"</f>
        <v>PFES1162671151_0001</v>
      </c>
      <c r="L579" s="2">
        <v>1</v>
      </c>
      <c r="M579" s="2">
        <v>1</v>
      </c>
    </row>
    <row r="580" spans="1:13">
      <c r="A580" s="6">
        <v>43501</v>
      </c>
      <c r="B580" s="7">
        <v>0.60902777777777783</v>
      </c>
      <c r="C580" s="2" t="str">
        <f>"FES1162671175"</f>
        <v>FES1162671175</v>
      </c>
      <c r="D580" s="2" t="s">
        <v>18</v>
      </c>
      <c r="E580" s="2" t="s">
        <v>494</v>
      </c>
      <c r="F580" s="2" t="str">
        <f>"2170670900 "</f>
        <v xml:space="preserve">2170670900 </v>
      </c>
      <c r="G580" s="2" t="str">
        <f t="shared" si="19"/>
        <v>ON1</v>
      </c>
      <c r="H580" s="2" t="s">
        <v>20</v>
      </c>
      <c r="I580" s="2" t="s">
        <v>495</v>
      </c>
      <c r="J580" s="2" t="str">
        <f>""</f>
        <v/>
      </c>
      <c r="K580" s="2" t="str">
        <f>"PFES1162671175_0001"</f>
        <v>PFES1162671175_0001</v>
      </c>
      <c r="L580" s="2">
        <v>1</v>
      </c>
      <c r="M580" s="2">
        <v>1</v>
      </c>
    </row>
    <row r="581" spans="1:13">
      <c r="A581" s="6">
        <v>43501</v>
      </c>
      <c r="B581" s="7">
        <v>0.60833333333333328</v>
      </c>
      <c r="C581" s="2" t="str">
        <f>"FES1162671174"</f>
        <v>FES1162671174</v>
      </c>
      <c r="D581" s="2" t="s">
        <v>18</v>
      </c>
      <c r="E581" s="2" t="s">
        <v>496</v>
      </c>
      <c r="F581" s="2" t="str">
        <f>"2170670867 "</f>
        <v xml:space="preserve">2170670867 </v>
      </c>
      <c r="G581" s="2" t="str">
        <f t="shared" si="19"/>
        <v>ON1</v>
      </c>
      <c r="H581" s="2" t="s">
        <v>20</v>
      </c>
      <c r="I581" s="2" t="s">
        <v>497</v>
      </c>
      <c r="J581" s="2" t="str">
        <f>""</f>
        <v/>
      </c>
      <c r="K581" s="2" t="str">
        <f>"PFES1162671174_0001"</f>
        <v>PFES1162671174_0001</v>
      </c>
      <c r="L581" s="2">
        <v>1</v>
      </c>
      <c r="M581" s="2">
        <v>1</v>
      </c>
    </row>
    <row r="582" spans="1:13">
      <c r="A582" s="6">
        <v>43501</v>
      </c>
      <c r="B582" s="7">
        <v>0.60763888888888895</v>
      </c>
      <c r="C582" s="2" t="str">
        <f>"FES1162671091"</f>
        <v>FES1162671091</v>
      </c>
      <c r="D582" s="2" t="s">
        <v>18</v>
      </c>
      <c r="E582" s="2" t="s">
        <v>120</v>
      </c>
      <c r="F582" s="2" t="str">
        <f>"2170671291 "</f>
        <v xml:space="preserve">2170671291 </v>
      </c>
      <c r="G582" s="2" t="str">
        <f t="shared" si="19"/>
        <v>ON1</v>
      </c>
      <c r="H582" s="2" t="s">
        <v>20</v>
      </c>
      <c r="I582" s="2" t="s">
        <v>121</v>
      </c>
      <c r="J582" s="2" t="str">
        <f>""</f>
        <v/>
      </c>
      <c r="K582" s="2" t="str">
        <f>"PFES1162671091_0001"</f>
        <v>PFES1162671091_0001</v>
      </c>
      <c r="L582" s="2">
        <v>1</v>
      </c>
      <c r="M582" s="2">
        <v>3</v>
      </c>
    </row>
    <row r="583" spans="1:13">
      <c r="A583" s="6">
        <v>43501</v>
      </c>
      <c r="B583" s="7">
        <v>0.60763888888888895</v>
      </c>
      <c r="C583" s="2" t="str">
        <f>"FES1162671254"</f>
        <v>FES1162671254</v>
      </c>
      <c r="D583" s="2" t="s">
        <v>18</v>
      </c>
      <c r="E583" s="2" t="s">
        <v>498</v>
      </c>
      <c r="F583" s="2" t="str">
        <f>"2170672610 "</f>
        <v xml:space="preserve">2170672610 </v>
      </c>
      <c r="G583" s="2" t="str">
        <f t="shared" si="19"/>
        <v>ON1</v>
      </c>
      <c r="H583" s="2" t="s">
        <v>20</v>
      </c>
      <c r="I583" s="2" t="s">
        <v>499</v>
      </c>
      <c r="J583" s="2" t="str">
        <f>""</f>
        <v/>
      </c>
      <c r="K583" s="2" t="str">
        <f>"PFES1162671254_0001"</f>
        <v>PFES1162671254_0001</v>
      </c>
      <c r="L583" s="2">
        <v>1</v>
      </c>
      <c r="M583" s="2">
        <v>1</v>
      </c>
    </row>
    <row r="584" spans="1:13">
      <c r="A584" s="6">
        <v>43501</v>
      </c>
      <c r="B584" s="7">
        <v>0.6069444444444444</v>
      </c>
      <c r="C584" s="2" t="str">
        <f>"FES1162671095"</f>
        <v>FES1162671095</v>
      </c>
      <c r="D584" s="2" t="s">
        <v>18</v>
      </c>
      <c r="E584" s="2" t="s">
        <v>500</v>
      </c>
      <c r="F584" s="2" t="str">
        <f>"2170671512 "</f>
        <v xml:space="preserve">2170671512 </v>
      </c>
      <c r="G584" s="2" t="str">
        <f t="shared" si="19"/>
        <v>ON1</v>
      </c>
      <c r="H584" s="2" t="s">
        <v>20</v>
      </c>
      <c r="I584" s="2" t="s">
        <v>228</v>
      </c>
      <c r="J584" s="2" t="str">
        <f>""</f>
        <v/>
      </c>
      <c r="K584" s="2" t="str">
        <f>"PFES1162671095_0001"</f>
        <v>PFES1162671095_0001</v>
      </c>
      <c r="L584" s="2">
        <v>1</v>
      </c>
      <c r="M584" s="2">
        <v>2</v>
      </c>
    </row>
    <row r="585" spans="1:13">
      <c r="A585" s="6">
        <v>43501</v>
      </c>
      <c r="B585" s="7">
        <v>0.60555555555555551</v>
      </c>
      <c r="C585" s="2" t="str">
        <f>"FES1162671152"</f>
        <v>FES1162671152</v>
      </c>
      <c r="D585" s="2" t="s">
        <v>18</v>
      </c>
      <c r="E585" s="2" t="s">
        <v>501</v>
      </c>
      <c r="F585" s="2" t="str">
        <f>"2170672583 "</f>
        <v xml:space="preserve">2170672583 </v>
      </c>
      <c r="G585" s="2" t="str">
        <f t="shared" si="19"/>
        <v>ON1</v>
      </c>
      <c r="H585" s="2" t="s">
        <v>20</v>
      </c>
      <c r="I585" s="2" t="s">
        <v>286</v>
      </c>
      <c r="J585" s="2" t="str">
        <f>""</f>
        <v/>
      </c>
      <c r="K585" s="2" t="str">
        <f>"PFES1162671152_0001"</f>
        <v>PFES1162671152_0001</v>
      </c>
      <c r="L585" s="2">
        <v>1</v>
      </c>
      <c r="M585" s="2">
        <v>5</v>
      </c>
    </row>
    <row r="586" spans="1:13">
      <c r="A586" s="6">
        <v>43501</v>
      </c>
      <c r="B586" s="7">
        <v>0.59930555555555554</v>
      </c>
      <c r="C586" s="2" t="str">
        <f>"FES1162671080"</f>
        <v>FES1162671080</v>
      </c>
      <c r="D586" s="2" t="s">
        <v>18</v>
      </c>
      <c r="E586" s="2" t="s">
        <v>305</v>
      </c>
      <c r="F586" s="2" t="str">
        <f>"2170669957 "</f>
        <v xml:space="preserve">2170669957 </v>
      </c>
      <c r="G586" s="2" t="str">
        <f t="shared" si="19"/>
        <v>ON1</v>
      </c>
      <c r="H586" s="2" t="s">
        <v>20</v>
      </c>
      <c r="I586" s="2" t="s">
        <v>197</v>
      </c>
      <c r="J586" s="2" t="str">
        <f>""</f>
        <v/>
      </c>
      <c r="K586" s="2" t="str">
        <f>"PFES1162671080_0001"</f>
        <v>PFES1162671080_0001</v>
      </c>
      <c r="L586" s="2">
        <v>1</v>
      </c>
      <c r="M586" s="2">
        <v>4</v>
      </c>
    </row>
    <row r="587" spans="1:13">
      <c r="A587" s="6">
        <v>43501</v>
      </c>
      <c r="B587" s="7">
        <v>0.59791666666666665</v>
      </c>
      <c r="C587" s="2" t="str">
        <f>"FES1162671070"</f>
        <v>FES1162671070</v>
      </c>
      <c r="D587" s="2" t="s">
        <v>18</v>
      </c>
      <c r="E587" s="2" t="s">
        <v>502</v>
      </c>
      <c r="F587" s="2" t="str">
        <f>"2170669534 "</f>
        <v xml:space="preserve">2170669534 </v>
      </c>
      <c r="G587" s="2" t="str">
        <f t="shared" si="19"/>
        <v>ON1</v>
      </c>
      <c r="H587" s="2" t="s">
        <v>20</v>
      </c>
      <c r="I587" s="2" t="s">
        <v>139</v>
      </c>
      <c r="J587" s="2" t="str">
        <f>""</f>
        <v/>
      </c>
      <c r="K587" s="2" t="str">
        <f>"PFES1162671070_0001"</f>
        <v>PFES1162671070_0001</v>
      </c>
      <c r="L587" s="2">
        <v>1</v>
      </c>
      <c r="M587" s="2">
        <v>5</v>
      </c>
    </row>
    <row r="588" spans="1:13">
      <c r="A588" s="6">
        <v>43501</v>
      </c>
      <c r="B588" s="7">
        <v>0.59652777777777777</v>
      </c>
      <c r="C588" s="2" t="str">
        <f>"FES1162671056"</f>
        <v>FES1162671056</v>
      </c>
      <c r="D588" s="2" t="s">
        <v>18</v>
      </c>
      <c r="E588" s="2" t="s">
        <v>47</v>
      </c>
      <c r="F588" s="2" t="str">
        <f>"2170668145 "</f>
        <v xml:space="preserve">2170668145 </v>
      </c>
      <c r="G588" s="2" t="str">
        <f t="shared" si="19"/>
        <v>ON1</v>
      </c>
      <c r="H588" s="2" t="s">
        <v>20</v>
      </c>
      <c r="I588" s="2" t="s">
        <v>48</v>
      </c>
      <c r="J588" s="2" t="str">
        <f>""</f>
        <v/>
      </c>
      <c r="K588" s="2" t="str">
        <f>"PFES1162671056_0001"</f>
        <v>PFES1162671056_0001</v>
      </c>
      <c r="L588" s="2">
        <v>1</v>
      </c>
      <c r="M588" s="2">
        <v>4</v>
      </c>
    </row>
    <row r="589" spans="1:13">
      <c r="A589" s="6">
        <v>43501</v>
      </c>
      <c r="B589" s="7">
        <v>0.59583333333333333</v>
      </c>
      <c r="C589" s="2" t="str">
        <f>"FES1162671051"</f>
        <v>FES1162671051</v>
      </c>
      <c r="D589" s="2" t="s">
        <v>18</v>
      </c>
      <c r="E589" s="2" t="s">
        <v>47</v>
      </c>
      <c r="F589" s="2" t="str">
        <f>"2170665511 "</f>
        <v xml:space="preserve">2170665511 </v>
      </c>
      <c r="G589" s="2" t="str">
        <f t="shared" si="19"/>
        <v>ON1</v>
      </c>
      <c r="H589" s="2" t="s">
        <v>20</v>
      </c>
      <c r="I589" s="2" t="s">
        <v>48</v>
      </c>
      <c r="J589" s="2" t="str">
        <f>""</f>
        <v/>
      </c>
      <c r="K589" s="2" t="str">
        <f>"PFES1162671051_0001"</f>
        <v>PFES1162671051_0001</v>
      </c>
      <c r="L589" s="2">
        <v>1</v>
      </c>
      <c r="M589" s="2">
        <v>4</v>
      </c>
    </row>
    <row r="590" spans="1:13">
      <c r="A590" s="6">
        <v>43501</v>
      </c>
      <c r="B590" s="7">
        <v>0.59513888888888888</v>
      </c>
      <c r="C590" s="2" t="str">
        <f>"FES1162671237"</f>
        <v>FES1162671237</v>
      </c>
      <c r="D590" s="2" t="s">
        <v>18</v>
      </c>
      <c r="E590" s="2" t="s">
        <v>414</v>
      </c>
      <c r="F590" s="2" t="str">
        <f>"2170671530 "</f>
        <v xml:space="preserve">2170671530 </v>
      </c>
      <c r="G590" s="2" t="str">
        <f t="shared" si="19"/>
        <v>ON1</v>
      </c>
      <c r="H590" s="2" t="s">
        <v>20</v>
      </c>
      <c r="I590" s="2" t="s">
        <v>99</v>
      </c>
      <c r="J590" s="2" t="str">
        <f>""</f>
        <v/>
      </c>
      <c r="K590" s="2" t="str">
        <f>"PFES1162671237_0001"</f>
        <v>PFES1162671237_0001</v>
      </c>
      <c r="L590" s="2">
        <v>1</v>
      </c>
      <c r="M590" s="2">
        <v>1</v>
      </c>
    </row>
    <row r="591" spans="1:13">
      <c r="A591" s="6">
        <v>43501</v>
      </c>
      <c r="B591" s="7">
        <v>0.59513888888888888</v>
      </c>
      <c r="C591" s="2" t="str">
        <f>"FES1162671149"</f>
        <v>FES1162671149</v>
      </c>
      <c r="D591" s="2" t="s">
        <v>18</v>
      </c>
      <c r="E591" s="2" t="s">
        <v>503</v>
      </c>
      <c r="F591" s="2" t="str">
        <f>"2170670258 "</f>
        <v xml:space="preserve">2170670258 </v>
      </c>
      <c r="G591" s="2" t="str">
        <f t="shared" si="19"/>
        <v>ON1</v>
      </c>
      <c r="H591" s="2" t="s">
        <v>20</v>
      </c>
      <c r="I591" s="2" t="s">
        <v>504</v>
      </c>
      <c r="J591" s="2" t="str">
        <f>""</f>
        <v/>
      </c>
      <c r="K591" s="2" t="str">
        <f>"PFES1162671149_0001"</f>
        <v>PFES1162671149_0001</v>
      </c>
      <c r="L591" s="2">
        <v>1</v>
      </c>
      <c r="M591" s="2">
        <v>1</v>
      </c>
    </row>
    <row r="592" spans="1:13">
      <c r="A592" s="6">
        <v>43501</v>
      </c>
      <c r="B592" s="7">
        <v>0.53749999999999998</v>
      </c>
      <c r="C592" s="2" t="str">
        <f>"FES1162671162"</f>
        <v>FES1162671162</v>
      </c>
      <c r="D592" s="2" t="s">
        <v>18</v>
      </c>
      <c r="E592" s="2" t="s">
        <v>505</v>
      </c>
      <c r="F592" s="2" t="str">
        <f>"2170670727 "</f>
        <v xml:space="preserve">2170670727 </v>
      </c>
      <c r="G592" s="2" t="str">
        <f t="shared" si="19"/>
        <v>ON1</v>
      </c>
      <c r="H592" s="2" t="s">
        <v>20</v>
      </c>
      <c r="I592" s="2" t="s">
        <v>41</v>
      </c>
      <c r="J592" s="2" t="str">
        <f>""</f>
        <v/>
      </c>
      <c r="K592" s="2" t="str">
        <f>"PFES1162671162_0001"</f>
        <v>PFES1162671162_0001</v>
      </c>
      <c r="L592" s="2">
        <v>1</v>
      </c>
      <c r="M592" s="2">
        <v>3</v>
      </c>
    </row>
    <row r="593" spans="1:13">
      <c r="A593" s="6">
        <v>43501</v>
      </c>
      <c r="B593" s="7">
        <v>0.53541666666666665</v>
      </c>
      <c r="C593" s="2" t="str">
        <f>"FES1162671139"</f>
        <v>FES1162671139</v>
      </c>
      <c r="D593" s="2" t="s">
        <v>18</v>
      </c>
      <c r="E593" s="2" t="s">
        <v>506</v>
      </c>
      <c r="F593" s="2" t="str">
        <f>"2170672476 "</f>
        <v xml:space="preserve">2170672476 </v>
      </c>
      <c r="G593" s="2" t="str">
        <f t="shared" si="19"/>
        <v>ON1</v>
      </c>
      <c r="H593" s="2" t="s">
        <v>20</v>
      </c>
      <c r="I593" s="2" t="s">
        <v>25</v>
      </c>
      <c r="J593" s="2" t="str">
        <f>""</f>
        <v/>
      </c>
      <c r="K593" s="2" t="str">
        <f>"PFES1162671139_0001"</f>
        <v>PFES1162671139_0001</v>
      </c>
      <c r="L593" s="2">
        <v>1</v>
      </c>
      <c r="M593" s="2">
        <v>1</v>
      </c>
    </row>
    <row r="594" spans="1:13">
      <c r="A594" s="6">
        <v>43501</v>
      </c>
      <c r="B594" s="7">
        <v>0.53472222222222221</v>
      </c>
      <c r="C594" s="2" t="str">
        <f>"FES1162671094"</f>
        <v>FES1162671094</v>
      </c>
      <c r="D594" s="2" t="s">
        <v>18</v>
      </c>
      <c r="E594" s="2" t="s">
        <v>309</v>
      </c>
      <c r="F594" s="2" t="str">
        <f>"2170671354 "</f>
        <v xml:space="preserve">2170671354 </v>
      </c>
      <c r="G594" s="2" t="str">
        <f t="shared" si="19"/>
        <v>ON1</v>
      </c>
      <c r="H594" s="2" t="s">
        <v>20</v>
      </c>
      <c r="I594" s="2" t="s">
        <v>310</v>
      </c>
      <c r="J594" s="2" t="str">
        <f>""</f>
        <v/>
      </c>
      <c r="K594" s="2" t="str">
        <f>"PFES1162671094_0001"</f>
        <v>PFES1162671094_0001</v>
      </c>
      <c r="L594" s="2">
        <v>1</v>
      </c>
      <c r="M594" s="2">
        <v>1</v>
      </c>
    </row>
    <row r="595" spans="1:13">
      <c r="A595" s="6">
        <v>43501</v>
      </c>
      <c r="B595" s="7">
        <v>0.53472222222222221</v>
      </c>
      <c r="C595" s="2" t="str">
        <f>"FES1162671178"</f>
        <v>FES1162671178</v>
      </c>
      <c r="D595" s="2" t="s">
        <v>18</v>
      </c>
      <c r="E595" s="2" t="s">
        <v>312</v>
      </c>
      <c r="F595" s="2" t="str">
        <f>"2170670942 "</f>
        <v xml:space="preserve">2170670942 </v>
      </c>
      <c r="G595" s="2" t="str">
        <f t="shared" si="19"/>
        <v>ON1</v>
      </c>
      <c r="H595" s="2" t="s">
        <v>20</v>
      </c>
      <c r="I595" s="2" t="s">
        <v>70</v>
      </c>
      <c r="J595" s="2" t="str">
        <f>""</f>
        <v/>
      </c>
      <c r="K595" s="2" t="str">
        <f>"PFES1162671178_0001"</f>
        <v>PFES1162671178_0001</v>
      </c>
      <c r="L595" s="2">
        <v>1</v>
      </c>
      <c r="M595" s="2">
        <v>1</v>
      </c>
    </row>
    <row r="596" spans="1:13">
      <c r="A596" s="6">
        <v>43501</v>
      </c>
      <c r="B596" s="7">
        <v>0.53472222222222221</v>
      </c>
      <c r="C596" s="2" t="str">
        <f>"FES1162671242"</f>
        <v>FES1162671242</v>
      </c>
      <c r="D596" s="2" t="s">
        <v>18</v>
      </c>
      <c r="E596" s="2" t="s">
        <v>507</v>
      </c>
      <c r="F596" s="2" t="str">
        <f>"2170672594 "</f>
        <v xml:space="preserve">2170672594 </v>
      </c>
      <c r="G596" s="2" t="str">
        <f t="shared" si="19"/>
        <v>ON1</v>
      </c>
      <c r="H596" s="2" t="s">
        <v>20</v>
      </c>
      <c r="I596" s="2" t="s">
        <v>135</v>
      </c>
      <c r="J596" s="2" t="str">
        <f>""</f>
        <v/>
      </c>
      <c r="K596" s="2" t="str">
        <f>"PFES1162671242_0001"</f>
        <v>PFES1162671242_0001</v>
      </c>
      <c r="L596" s="2">
        <v>1</v>
      </c>
      <c r="M596" s="2">
        <v>1</v>
      </c>
    </row>
    <row r="597" spans="1:13">
      <c r="A597" s="6">
        <v>43501</v>
      </c>
      <c r="B597" s="7">
        <v>0.53402777777777777</v>
      </c>
      <c r="C597" s="2" t="str">
        <f>"FES1162671127"</f>
        <v>FES1162671127</v>
      </c>
      <c r="D597" s="2" t="s">
        <v>18</v>
      </c>
      <c r="E597" s="2" t="s">
        <v>44</v>
      </c>
      <c r="F597" s="2" t="str">
        <f>"2170672558 "</f>
        <v xml:space="preserve">2170672558 </v>
      </c>
      <c r="G597" s="2" t="str">
        <f t="shared" si="19"/>
        <v>ON1</v>
      </c>
      <c r="H597" s="2" t="s">
        <v>20</v>
      </c>
      <c r="I597" s="2" t="s">
        <v>39</v>
      </c>
      <c r="J597" s="2" t="str">
        <f>""</f>
        <v/>
      </c>
      <c r="K597" s="2" t="str">
        <f>"PFES1162671127_0001"</f>
        <v>PFES1162671127_0001</v>
      </c>
      <c r="L597" s="2">
        <v>1</v>
      </c>
      <c r="M597" s="2">
        <v>1</v>
      </c>
    </row>
    <row r="598" spans="1:13">
      <c r="A598" s="6">
        <v>43501</v>
      </c>
      <c r="B598" s="7">
        <v>0.53402777777777777</v>
      </c>
      <c r="C598" s="2" t="str">
        <f>"FES1162671029"</f>
        <v>FES1162671029</v>
      </c>
      <c r="D598" s="2" t="s">
        <v>18</v>
      </c>
      <c r="E598" s="2" t="s">
        <v>508</v>
      </c>
      <c r="F598" s="2" t="str">
        <f>"2170672519 "</f>
        <v xml:space="preserve">2170672519 </v>
      </c>
      <c r="G598" s="2" t="str">
        <f t="shared" si="19"/>
        <v>ON1</v>
      </c>
      <c r="H598" s="2" t="s">
        <v>20</v>
      </c>
      <c r="I598" s="2" t="s">
        <v>509</v>
      </c>
      <c r="J598" s="2" t="str">
        <f>""</f>
        <v/>
      </c>
      <c r="K598" s="2" t="str">
        <f>"PFES1162671029_0001"</f>
        <v>PFES1162671029_0001</v>
      </c>
      <c r="L598" s="2">
        <v>1</v>
      </c>
      <c r="M598" s="2">
        <v>5</v>
      </c>
    </row>
    <row r="599" spans="1:13">
      <c r="A599" s="6">
        <v>43501</v>
      </c>
      <c r="B599" s="7">
        <v>0.53402777777777777</v>
      </c>
      <c r="C599" s="2" t="str">
        <f>"FES1162671143"</f>
        <v>FES1162671143</v>
      </c>
      <c r="D599" s="2" t="s">
        <v>18</v>
      </c>
      <c r="E599" s="2" t="s">
        <v>312</v>
      </c>
      <c r="F599" s="2" t="str">
        <f>"2170672581 "</f>
        <v xml:space="preserve">2170672581 </v>
      </c>
      <c r="G599" s="2" t="str">
        <f t="shared" si="19"/>
        <v>ON1</v>
      </c>
      <c r="H599" s="2" t="s">
        <v>20</v>
      </c>
      <c r="I599" s="2" t="s">
        <v>70</v>
      </c>
      <c r="J599" s="2" t="str">
        <f>""</f>
        <v/>
      </c>
      <c r="K599" s="2" t="str">
        <f>"PFES1162671143_0001"</f>
        <v>PFES1162671143_0001</v>
      </c>
      <c r="L599" s="2">
        <v>1</v>
      </c>
      <c r="M599" s="2">
        <v>1</v>
      </c>
    </row>
    <row r="600" spans="1:13">
      <c r="A600" s="6">
        <v>43501</v>
      </c>
      <c r="B600" s="7">
        <v>0.53333333333333333</v>
      </c>
      <c r="C600" s="2" t="str">
        <f>"FES1162671122"</f>
        <v>FES1162671122</v>
      </c>
      <c r="D600" s="2" t="s">
        <v>18</v>
      </c>
      <c r="E600" s="2" t="s">
        <v>454</v>
      </c>
      <c r="F600" s="2" t="str">
        <f>"2170672512 "</f>
        <v xml:space="preserve">2170672512 </v>
      </c>
      <c r="G600" s="2" t="str">
        <f t="shared" si="19"/>
        <v>ON1</v>
      </c>
      <c r="H600" s="2" t="s">
        <v>20</v>
      </c>
      <c r="I600" s="2" t="s">
        <v>455</v>
      </c>
      <c r="J600" s="2" t="str">
        <f>""</f>
        <v/>
      </c>
      <c r="K600" s="2" t="str">
        <f>"PFES1162671122_0001"</f>
        <v>PFES1162671122_0001</v>
      </c>
      <c r="L600" s="2">
        <v>1</v>
      </c>
      <c r="M600" s="2">
        <v>1</v>
      </c>
    </row>
    <row r="601" spans="1:13">
      <c r="A601" s="6">
        <v>43501</v>
      </c>
      <c r="B601" s="7">
        <v>0.53263888888888888</v>
      </c>
      <c r="C601" s="2" t="str">
        <f>"FES1162671054"</f>
        <v>FES1162671054</v>
      </c>
      <c r="D601" s="2" t="s">
        <v>18</v>
      </c>
      <c r="E601" s="2" t="s">
        <v>462</v>
      </c>
      <c r="F601" s="2" t="str">
        <f>"2170667718 "</f>
        <v xml:space="preserve">2170667718 </v>
      </c>
      <c r="G601" s="2" t="str">
        <f t="shared" si="19"/>
        <v>ON1</v>
      </c>
      <c r="H601" s="2" t="s">
        <v>20</v>
      </c>
      <c r="I601" s="2" t="s">
        <v>463</v>
      </c>
      <c r="J601" s="2" t="str">
        <f>""</f>
        <v/>
      </c>
      <c r="K601" s="2" t="str">
        <f>"PFES1162671054_0001"</f>
        <v>PFES1162671054_0001</v>
      </c>
      <c r="L601" s="2">
        <v>1</v>
      </c>
      <c r="M601" s="2">
        <v>4</v>
      </c>
    </row>
    <row r="602" spans="1:13">
      <c r="A602" s="6">
        <v>43501</v>
      </c>
      <c r="B602" s="7">
        <v>0.53055555555555556</v>
      </c>
      <c r="C602" s="2" t="str">
        <f>"FES1162671092"</f>
        <v>FES1162671092</v>
      </c>
      <c r="D602" s="2" t="s">
        <v>18</v>
      </c>
      <c r="E602" s="2" t="s">
        <v>19</v>
      </c>
      <c r="F602" s="2" t="str">
        <f>"2170671297 "</f>
        <v xml:space="preserve">2170671297 </v>
      </c>
      <c r="G602" s="2" t="str">
        <f t="shared" si="19"/>
        <v>ON1</v>
      </c>
      <c r="H602" s="2" t="s">
        <v>20</v>
      </c>
      <c r="I602" s="2" t="s">
        <v>21</v>
      </c>
      <c r="J602" s="2" t="str">
        <f>""</f>
        <v/>
      </c>
      <c r="K602" s="2" t="str">
        <f>"PFES1162671092_0001"</f>
        <v>PFES1162671092_0001</v>
      </c>
      <c r="L602" s="2">
        <v>1</v>
      </c>
      <c r="M602" s="2">
        <v>1</v>
      </c>
    </row>
    <row r="603" spans="1:13">
      <c r="A603" s="6">
        <v>43501</v>
      </c>
      <c r="B603" s="7">
        <v>0.52847222222222223</v>
      </c>
      <c r="C603" s="2" t="str">
        <f>"FES1162671086"</f>
        <v>FES1162671086</v>
      </c>
      <c r="D603" s="2" t="s">
        <v>18</v>
      </c>
      <c r="E603" s="2" t="s">
        <v>209</v>
      </c>
      <c r="F603" s="2" t="str">
        <f>"2170671155 "</f>
        <v xml:space="preserve">2170671155 </v>
      </c>
      <c r="G603" s="2" t="str">
        <f t="shared" si="19"/>
        <v>ON1</v>
      </c>
      <c r="H603" s="2" t="s">
        <v>20</v>
      </c>
      <c r="I603" s="2" t="s">
        <v>210</v>
      </c>
      <c r="J603" s="2" t="str">
        <f>""</f>
        <v/>
      </c>
      <c r="K603" s="2" t="str">
        <f>"PFES1162671086_0001"</f>
        <v>PFES1162671086_0001</v>
      </c>
      <c r="L603" s="2">
        <v>1</v>
      </c>
      <c r="M603" s="2">
        <v>3</v>
      </c>
    </row>
    <row r="604" spans="1:13">
      <c r="A604" s="6">
        <v>43501</v>
      </c>
      <c r="B604" s="7">
        <v>0.52430555555555558</v>
      </c>
      <c r="C604" s="2" t="str">
        <f>"FES1162671052"</f>
        <v>FES1162671052</v>
      </c>
      <c r="D604" s="2" t="s">
        <v>18</v>
      </c>
      <c r="E604" s="2" t="s">
        <v>510</v>
      </c>
      <c r="F604" s="2" t="str">
        <f>"2170666032 "</f>
        <v xml:space="preserve">2170666032 </v>
      </c>
      <c r="G604" s="2" t="str">
        <f t="shared" si="19"/>
        <v>ON1</v>
      </c>
      <c r="H604" s="2" t="s">
        <v>20</v>
      </c>
      <c r="I604" s="2" t="s">
        <v>137</v>
      </c>
      <c r="J604" s="2" t="str">
        <f>""</f>
        <v/>
      </c>
      <c r="K604" s="2" t="str">
        <f>"PFES1162671052_0001"</f>
        <v>PFES1162671052_0001</v>
      </c>
      <c r="L604" s="2">
        <v>2</v>
      </c>
      <c r="M604" s="2">
        <v>4</v>
      </c>
    </row>
    <row r="605" spans="1:13">
      <c r="A605" s="6">
        <v>43501</v>
      </c>
      <c r="B605" s="7">
        <v>0.52430555555555558</v>
      </c>
      <c r="C605" s="2" t="str">
        <f>"FES1162671052"</f>
        <v>FES1162671052</v>
      </c>
      <c r="D605" s="2" t="s">
        <v>18</v>
      </c>
      <c r="E605" s="2" t="s">
        <v>510</v>
      </c>
      <c r="F605" s="2" t="str">
        <f>"2170666032 "</f>
        <v xml:space="preserve">2170666032 </v>
      </c>
      <c r="G605" s="2" t="str">
        <f t="shared" si="19"/>
        <v>ON1</v>
      </c>
      <c r="H605" s="2" t="s">
        <v>20</v>
      </c>
      <c r="I605" s="2" t="s">
        <v>137</v>
      </c>
      <c r="J605" s="2"/>
      <c r="K605" s="2" t="str">
        <f>"PFES1162671052_0002"</f>
        <v>PFES1162671052_0002</v>
      </c>
      <c r="L605" s="2">
        <v>2</v>
      </c>
      <c r="M605" s="2">
        <v>4</v>
      </c>
    </row>
    <row r="606" spans="1:13">
      <c r="A606" s="6">
        <v>43501</v>
      </c>
      <c r="B606" s="7">
        <v>0.52361111111111114</v>
      </c>
      <c r="C606" s="2" t="str">
        <f>"FES1162671192"</f>
        <v>FES1162671192</v>
      </c>
      <c r="D606" s="2" t="s">
        <v>18</v>
      </c>
      <c r="E606" s="2" t="s">
        <v>86</v>
      </c>
      <c r="F606" s="2" t="str">
        <f>"2170672588 "</f>
        <v xml:space="preserve">2170672588 </v>
      </c>
      <c r="G606" s="2" t="str">
        <f t="shared" si="19"/>
        <v>ON1</v>
      </c>
      <c r="H606" s="2" t="s">
        <v>20</v>
      </c>
      <c r="I606" s="2" t="s">
        <v>87</v>
      </c>
      <c r="J606" s="2" t="str">
        <f>""</f>
        <v/>
      </c>
      <c r="K606" s="2" t="str">
        <f>"PFES1162671192_0001"</f>
        <v>PFES1162671192_0001</v>
      </c>
      <c r="L606" s="2">
        <v>1</v>
      </c>
      <c r="M606" s="2">
        <v>3</v>
      </c>
    </row>
    <row r="607" spans="1:13">
      <c r="A607" s="6">
        <v>43501</v>
      </c>
      <c r="B607" s="7">
        <v>0.5229166666666667</v>
      </c>
      <c r="C607" s="2" t="str">
        <f>"FES1162671078"</f>
        <v>FES1162671078</v>
      </c>
      <c r="D607" s="2" t="s">
        <v>18</v>
      </c>
      <c r="E607" s="2" t="s">
        <v>452</v>
      </c>
      <c r="F607" s="2" t="str">
        <f>"2170669732 "</f>
        <v xml:space="preserve">2170669732 </v>
      </c>
      <c r="G607" s="2" t="str">
        <f t="shared" si="19"/>
        <v>ON1</v>
      </c>
      <c r="H607" s="2" t="s">
        <v>20</v>
      </c>
      <c r="I607" s="2" t="s">
        <v>453</v>
      </c>
      <c r="J607" s="2" t="str">
        <f>""</f>
        <v/>
      </c>
      <c r="K607" s="2" t="str">
        <f>"PFES1162671078_0001"</f>
        <v>PFES1162671078_0001</v>
      </c>
      <c r="L607" s="2">
        <v>1</v>
      </c>
      <c r="M607" s="2">
        <v>18</v>
      </c>
    </row>
    <row r="608" spans="1:13">
      <c r="A608" s="6">
        <v>43501</v>
      </c>
      <c r="B608" s="7">
        <v>0.52152777777777781</v>
      </c>
      <c r="C608" s="2" t="str">
        <f>"FES1162671030"</f>
        <v>FES1162671030</v>
      </c>
      <c r="D608" s="2" t="s">
        <v>18</v>
      </c>
      <c r="E608" s="2" t="s">
        <v>511</v>
      </c>
      <c r="F608" s="2" t="str">
        <f>"2170672520 "</f>
        <v xml:space="preserve">2170672520 </v>
      </c>
      <c r="G608" s="2" t="str">
        <f t="shared" si="19"/>
        <v>ON1</v>
      </c>
      <c r="H608" s="2" t="s">
        <v>20</v>
      </c>
      <c r="I608" s="2" t="s">
        <v>124</v>
      </c>
      <c r="J608" s="2" t="str">
        <f>""</f>
        <v/>
      </c>
      <c r="K608" s="2" t="str">
        <f>"PFES1162671030_0001"</f>
        <v>PFES1162671030_0001</v>
      </c>
      <c r="L608" s="2">
        <v>1</v>
      </c>
      <c r="M608" s="2">
        <v>4</v>
      </c>
    </row>
    <row r="609" spans="1:13">
      <c r="A609" s="6">
        <v>43501</v>
      </c>
      <c r="B609" s="7">
        <v>0.51874999999999993</v>
      </c>
      <c r="C609" s="2" t="str">
        <f>"FES1162671073"</f>
        <v>FES1162671073</v>
      </c>
      <c r="D609" s="2" t="s">
        <v>18</v>
      </c>
      <c r="E609" s="2" t="s">
        <v>512</v>
      </c>
      <c r="F609" s="2" t="str">
        <f>"2170672554 "</f>
        <v xml:space="preserve">2170672554 </v>
      </c>
      <c r="G609" s="2" t="str">
        <f t="shared" si="19"/>
        <v>ON1</v>
      </c>
      <c r="H609" s="2" t="s">
        <v>20</v>
      </c>
      <c r="I609" s="2" t="s">
        <v>513</v>
      </c>
      <c r="J609" s="2" t="str">
        <f>""</f>
        <v/>
      </c>
      <c r="K609" s="2" t="str">
        <f>"PFES1162671073_0001"</f>
        <v>PFES1162671073_0001</v>
      </c>
      <c r="L609" s="2">
        <v>1</v>
      </c>
      <c r="M609" s="2">
        <v>1</v>
      </c>
    </row>
    <row r="610" spans="1:13">
      <c r="A610" s="6">
        <v>43501</v>
      </c>
      <c r="B610" s="7">
        <v>0.5180555555555556</v>
      </c>
      <c r="C610" s="2" t="str">
        <f>"FES1162671231"</f>
        <v>FES1162671231</v>
      </c>
      <c r="D610" s="2" t="s">
        <v>18</v>
      </c>
      <c r="E610" s="2" t="s">
        <v>295</v>
      </c>
      <c r="F610" s="2" t="str">
        <f>"2170670743 "</f>
        <v xml:space="preserve">2170670743 </v>
      </c>
      <c r="G610" s="2" t="str">
        <f t="shared" si="19"/>
        <v>ON1</v>
      </c>
      <c r="H610" s="2" t="s">
        <v>20</v>
      </c>
      <c r="I610" s="2" t="s">
        <v>53</v>
      </c>
      <c r="J610" s="2" t="str">
        <f>""</f>
        <v/>
      </c>
      <c r="K610" s="2" t="str">
        <f>"PFES1162671231_0001"</f>
        <v>PFES1162671231_0001</v>
      </c>
      <c r="L610" s="2">
        <v>1</v>
      </c>
      <c r="M610" s="2">
        <v>1</v>
      </c>
    </row>
    <row r="611" spans="1:13">
      <c r="A611" s="6">
        <v>43501</v>
      </c>
      <c r="B611" s="7">
        <v>0.5180555555555556</v>
      </c>
      <c r="C611" s="2" t="str">
        <f>"FES1162671040"</f>
        <v>FES1162671040</v>
      </c>
      <c r="D611" s="2" t="s">
        <v>18</v>
      </c>
      <c r="E611" s="2" t="s">
        <v>66</v>
      </c>
      <c r="F611" s="2" t="str">
        <f>"2170672533 "</f>
        <v xml:space="preserve">2170672533 </v>
      </c>
      <c r="G611" s="2" t="str">
        <f t="shared" si="19"/>
        <v>ON1</v>
      </c>
      <c r="H611" s="2" t="s">
        <v>20</v>
      </c>
      <c r="I611" s="2" t="s">
        <v>67</v>
      </c>
      <c r="J611" s="2" t="str">
        <f>""</f>
        <v/>
      </c>
      <c r="K611" s="2" t="str">
        <f>"PFES1162671040_0001"</f>
        <v>PFES1162671040_0001</v>
      </c>
      <c r="L611" s="2">
        <v>1</v>
      </c>
      <c r="M611" s="2">
        <v>10</v>
      </c>
    </row>
    <row r="612" spans="1:13">
      <c r="A612" s="6">
        <v>43501</v>
      </c>
      <c r="B612" s="7">
        <v>0.5180555555555556</v>
      </c>
      <c r="C612" s="2" t="str">
        <f>"FES1162671250"</f>
        <v>FES1162671250</v>
      </c>
      <c r="D612" s="2" t="s">
        <v>18</v>
      </c>
      <c r="E612" s="2" t="s">
        <v>334</v>
      </c>
      <c r="F612" s="2" t="str">
        <f>"2170672604 "</f>
        <v xml:space="preserve">2170672604 </v>
      </c>
      <c r="G612" s="2" t="str">
        <f t="shared" si="19"/>
        <v>ON1</v>
      </c>
      <c r="H612" s="2" t="s">
        <v>20</v>
      </c>
      <c r="I612" s="2" t="s">
        <v>242</v>
      </c>
      <c r="J612" s="2" t="str">
        <f>""</f>
        <v/>
      </c>
      <c r="K612" s="2" t="str">
        <f>"PFES1162671250_0001"</f>
        <v>PFES1162671250_0001</v>
      </c>
      <c r="L612" s="2">
        <v>1</v>
      </c>
      <c r="M612" s="2">
        <v>1</v>
      </c>
    </row>
    <row r="613" spans="1:13">
      <c r="A613" s="6">
        <v>43501</v>
      </c>
      <c r="B613" s="7">
        <v>0.51736111111111105</v>
      </c>
      <c r="C613" s="2" t="str">
        <f>"FES1162671100"</f>
        <v>FES1162671100</v>
      </c>
      <c r="D613" s="2" t="s">
        <v>18</v>
      </c>
      <c r="E613" s="2" t="s">
        <v>246</v>
      </c>
      <c r="F613" s="2" t="str">
        <f>"217067639 "</f>
        <v xml:space="preserve">217067639 </v>
      </c>
      <c r="G613" s="2" t="str">
        <f t="shared" ref="G613:G615" si="20">"ON1"</f>
        <v>ON1</v>
      </c>
      <c r="H613" s="2" t="s">
        <v>20</v>
      </c>
      <c r="I613" s="2" t="s">
        <v>53</v>
      </c>
      <c r="J613" s="2" t="str">
        <f>""</f>
        <v/>
      </c>
      <c r="K613" s="2" t="str">
        <f>"PFES1162671100_0001"</f>
        <v>PFES1162671100_0001</v>
      </c>
      <c r="L613" s="2">
        <v>1</v>
      </c>
      <c r="M613" s="2">
        <v>1</v>
      </c>
    </row>
    <row r="614" spans="1:13">
      <c r="A614" s="6">
        <v>43501</v>
      </c>
      <c r="B614" s="7">
        <v>0.51736111111111105</v>
      </c>
      <c r="C614" s="2" t="str">
        <f>"FES1162671067"</f>
        <v>FES1162671067</v>
      </c>
      <c r="D614" s="2" t="s">
        <v>18</v>
      </c>
      <c r="E614" s="2" t="s">
        <v>514</v>
      </c>
      <c r="F614" s="2" t="str">
        <f>"2170669269 "</f>
        <v xml:space="preserve">2170669269 </v>
      </c>
      <c r="G614" s="2" t="str">
        <f t="shared" si="20"/>
        <v>ON1</v>
      </c>
      <c r="H614" s="2" t="s">
        <v>20</v>
      </c>
      <c r="I614" s="2" t="s">
        <v>515</v>
      </c>
      <c r="J614" s="2" t="str">
        <f>""</f>
        <v/>
      </c>
      <c r="K614" s="2" t="str">
        <f>"PFES1162671067_0001"</f>
        <v>PFES1162671067_0001</v>
      </c>
      <c r="L614" s="2">
        <v>2</v>
      </c>
      <c r="M614" s="2">
        <v>4</v>
      </c>
    </row>
    <row r="615" spans="1:13">
      <c r="A615" s="6">
        <v>43501</v>
      </c>
      <c r="B615" s="7">
        <v>0.51736111111111105</v>
      </c>
      <c r="C615" s="2" t="str">
        <f>"FES1162671067"</f>
        <v>FES1162671067</v>
      </c>
      <c r="D615" s="2" t="s">
        <v>18</v>
      </c>
      <c r="E615" s="2" t="s">
        <v>514</v>
      </c>
      <c r="F615" s="2" t="str">
        <f>"2170669269 "</f>
        <v xml:space="preserve">2170669269 </v>
      </c>
      <c r="G615" s="2" t="str">
        <f t="shared" si="20"/>
        <v>ON1</v>
      </c>
      <c r="H615" s="2" t="s">
        <v>20</v>
      </c>
      <c r="I615" s="2" t="s">
        <v>515</v>
      </c>
      <c r="J615" s="2"/>
      <c r="K615" s="2" t="str">
        <f>"PFES1162671067_0002"</f>
        <v>PFES1162671067_0002</v>
      </c>
      <c r="L615" s="2">
        <v>2</v>
      </c>
      <c r="M615" s="2">
        <v>4</v>
      </c>
    </row>
    <row r="616" spans="1:13">
      <c r="A616" s="6">
        <v>43501</v>
      </c>
      <c r="B616" s="7">
        <v>0.51666666666666672</v>
      </c>
      <c r="C616" s="2" t="str">
        <f>"FES1162671234"</f>
        <v>FES1162671234</v>
      </c>
      <c r="D616" s="2" t="s">
        <v>18</v>
      </c>
      <c r="E616" s="2" t="s">
        <v>405</v>
      </c>
      <c r="F616" s="2" t="str">
        <f>"2170670798 "</f>
        <v xml:space="preserve">2170670798 </v>
      </c>
      <c r="G616" s="2" t="str">
        <f>"ON1"</f>
        <v>ON1</v>
      </c>
      <c r="H616" s="2" t="s">
        <v>20</v>
      </c>
      <c r="I616" s="2" t="s">
        <v>53</v>
      </c>
      <c r="J616" s="2" t="str">
        <f>""</f>
        <v/>
      </c>
      <c r="K616" s="2" t="str">
        <f>"PFES1162671234_0001"</f>
        <v>PFES1162671234_0001</v>
      </c>
      <c r="L616" s="2">
        <v>1</v>
      </c>
      <c r="M616" s="2">
        <v>1</v>
      </c>
    </row>
    <row r="617" spans="1:13">
      <c r="A617" s="6">
        <v>43501</v>
      </c>
      <c r="B617" s="7">
        <v>0.51527777777777783</v>
      </c>
      <c r="C617" s="2" t="str">
        <f>"FES1162671089"</f>
        <v>FES1162671089</v>
      </c>
      <c r="D617" s="2" t="s">
        <v>18</v>
      </c>
      <c r="E617" s="2" t="s">
        <v>178</v>
      </c>
      <c r="F617" s="2" t="str">
        <f>"2170671181 "</f>
        <v xml:space="preserve">2170671181 </v>
      </c>
      <c r="G617" s="2" t="str">
        <f>"ON1"</f>
        <v>ON1</v>
      </c>
      <c r="H617" s="2" t="s">
        <v>20</v>
      </c>
      <c r="I617" s="2" t="s">
        <v>103</v>
      </c>
      <c r="J617" s="2" t="str">
        <f>""</f>
        <v/>
      </c>
      <c r="K617" s="2" t="str">
        <f>"PFES1162671089_0001"</f>
        <v>PFES1162671089_0001</v>
      </c>
      <c r="L617" s="2">
        <v>1</v>
      </c>
      <c r="M617" s="2">
        <v>1</v>
      </c>
    </row>
    <row r="618" spans="1:13">
      <c r="A618" s="6">
        <v>43501</v>
      </c>
      <c r="B618" s="7">
        <v>0.51527777777777783</v>
      </c>
      <c r="C618" s="2" t="str">
        <f>"FES1162671065"</f>
        <v>FES1162671065</v>
      </c>
      <c r="D618" s="2" t="s">
        <v>18</v>
      </c>
      <c r="E618" s="2" t="s">
        <v>259</v>
      </c>
      <c r="F618" s="2" t="str">
        <f>"2170669093 "</f>
        <v xml:space="preserve">2170669093 </v>
      </c>
      <c r="G618" s="2" t="str">
        <f>"ON1"</f>
        <v>ON1</v>
      </c>
      <c r="H618" s="2" t="s">
        <v>20</v>
      </c>
      <c r="I618" s="2" t="s">
        <v>260</v>
      </c>
      <c r="J618" s="2" t="str">
        <f>""</f>
        <v/>
      </c>
      <c r="K618" s="2" t="str">
        <f>"PFES1162671065_0001"</f>
        <v>PFES1162671065_0001</v>
      </c>
      <c r="L618" s="2">
        <v>2</v>
      </c>
      <c r="M618" s="2">
        <v>16</v>
      </c>
    </row>
    <row r="619" spans="1:13">
      <c r="A619" s="6">
        <v>43501</v>
      </c>
      <c r="B619" s="7">
        <v>0.51527777777777783</v>
      </c>
      <c r="C619" s="2" t="str">
        <f>"FES1162671065"</f>
        <v>FES1162671065</v>
      </c>
      <c r="D619" s="2" t="s">
        <v>18</v>
      </c>
      <c r="E619" s="2" t="s">
        <v>259</v>
      </c>
      <c r="F619" s="2" t="str">
        <f>"2170669093 "</f>
        <v xml:space="preserve">2170669093 </v>
      </c>
      <c r="G619" s="2" t="str">
        <f>"ON1"</f>
        <v>ON1</v>
      </c>
      <c r="H619" s="2" t="s">
        <v>20</v>
      </c>
      <c r="I619" s="2" t="s">
        <v>260</v>
      </c>
      <c r="J619" s="2"/>
      <c r="K619" s="2" t="str">
        <f>"PFES1162671065_0002"</f>
        <v>PFES1162671065_0002</v>
      </c>
      <c r="L619" s="2">
        <v>2</v>
      </c>
      <c r="M619" s="2">
        <v>16</v>
      </c>
    </row>
    <row r="620" spans="1:13">
      <c r="A620" s="6">
        <v>43501</v>
      </c>
      <c r="B620" s="7">
        <v>0.51458333333333328</v>
      </c>
      <c r="C620" s="2" t="str">
        <f>"FES1162671164"</f>
        <v>FES1162671164</v>
      </c>
      <c r="D620" s="2" t="s">
        <v>18</v>
      </c>
      <c r="E620" s="2" t="s">
        <v>330</v>
      </c>
      <c r="F620" s="2" t="str">
        <f>"2170670748 "</f>
        <v xml:space="preserve">2170670748 </v>
      </c>
      <c r="G620" s="2" t="str">
        <f t="shared" ref="G620:G683" si="21">"ON1"</f>
        <v>ON1</v>
      </c>
      <c r="H620" s="2" t="s">
        <v>20</v>
      </c>
      <c r="I620" s="2" t="s">
        <v>237</v>
      </c>
      <c r="J620" s="2" t="str">
        <f>""</f>
        <v/>
      </c>
      <c r="K620" s="2" t="str">
        <f>"PFES1162671164_0001"</f>
        <v>PFES1162671164_0001</v>
      </c>
      <c r="L620" s="2">
        <v>1</v>
      </c>
      <c r="M620" s="2">
        <v>1</v>
      </c>
    </row>
    <row r="621" spans="1:13">
      <c r="A621" s="6">
        <v>43501</v>
      </c>
      <c r="B621" s="7">
        <v>0.51458333333333328</v>
      </c>
      <c r="C621" s="2" t="str">
        <f>"FES1162671243"</f>
        <v>FES1162671243</v>
      </c>
      <c r="D621" s="2" t="s">
        <v>18</v>
      </c>
      <c r="E621" s="2" t="s">
        <v>180</v>
      </c>
      <c r="F621" s="2" t="str">
        <f>"2170672596 "</f>
        <v xml:space="preserve">2170672596 </v>
      </c>
      <c r="G621" s="2" t="str">
        <f t="shared" si="21"/>
        <v>ON1</v>
      </c>
      <c r="H621" s="2" t="s">
        <v>20</v>
      </c>
      <c r="I621" s="2" t="s">
        <v>93</v>
      </c>
      <c r="J621" s="2" t="str">
        <f>""</f>
        <v/>
      </c>
      <c r="K621" s="2" t="str">
        <f>"PFES1162671243_0001"</f>
        <v>PFES1162671243_0001</v>
      </c>
      <c r="L621" s="2">
        <v>1</v>
      </c>
      <c r="M621" s="2">
        <v>1</v>
      </c>
    </row>
    <row r="622" spans="1:13">
      <c r="A622" s="6">
        <v>43501</v>
      </c>
      <c r="B622" s="7">
        <v>0.51388888888888895</v>
      </c>
      <c r="C622" s="2" t="str">
        <f>"FES1162671082"</f>
        <v>FES1162671082</v>
      </c>
      <c r="D622" s="2" t="s">
        <v>18</v>
      </c>
      <c r="E622" s="2" t="s">
        <v>516</v>
      </c>
      <c r="F622" s="2" t="str">
        <f>"2170670290 "</f>
        <v xml:space="preserve">2170670290 </v>
      </c>
      <c r="G622" s="2" t="str">
        <f t="shared" si="21"/>
        <v>ON1</v>
      </c>
      <c r="H622" s="2" t="s">
        <v>20</v>
      </c>
      <c r="I622" s="2" t="s">
        <v>237</v>
      </c>
      <c r="J622" s="2" t="str">
        <f>""</f>
        <v/>
      </c>
      <c r="K622" s="2" t="str">
        <f>"PFES1162671082_0001"</f>
        <v>PFES1162671082_0001</v>
      </c>
      <c r="L622" s="2">
        <v>1</v>
      </c>
      <c r="M622" s="2">
        <v>1</v>
      </c>
    </row>
    <row r="623" spans="1:13">
      <c r="A623" s="6">
        <v>43501</v>
      </c>
      <c r="B623" s="7">
        <v>0.51388888888888895</v>
      </c>
      <c r="C623" s="2" t="str">
        <f>"FES1162670917"</f>
        <v>FES1162670917</v>
      </c>
      <c r="D623" s="2" t="s">
        <v>18</v>
      </c>
      <c r="E623" s="2" t="s">
        <v>203</v>
      </c>
      <c r="F623" s="2" t="str">
        <f>"2170672373 "</f>
        <v xml:space="preserve">2170672373 </v>
      </c>
      <c r="G623" s="2" t="str">
        <f t="shared" si="21"/>
        <v>ON1</v>
      </c>
      <c r="H623" s="2" t="s">
        <v>20</v>
      </c>
      <c r="I623" s="2" t="s">
        <v>204</v>
      </c>
      <c r="J623" s="2" t="str">
        <f>""</f>
        <v/>
      </c>
      <c r="K623" s="2" t="str">
        <f>"PFES1162670917_0001"</f>
        <v>PFES1162670917_0001</v>
      </c>
      <c r="L623" s="2">
        <v>1</v>
      </c>
      <c r="M623" s="2">
        <v>1</v>
      </c>
    </row>
    <row r="624" spans="1:13">
      <c r="A624" s="6">
        <v>43501</v>
      </c>
      <c r="B624" s="7">
        <v>0.51388888888888895</v>
      </c>
      <c r="C624" s="2" t="str">
        <f>"FES1162671044"</f>
        <v>FES1162671044</v>
      </c>
      <c r="D624" s="2" t="s">
        <v>18</v>
      </c>
      <c r="E624" s="2" t="s">
        <v>180</v>
      </c>
      <c r="F624" s="2" t="str">
        <f>"2170672539 "</f>
        <v xml:space="preserve">2170672539 </v>
      </c>
      <c r="G624" s="2" t="str">
        <f t="shared" si="21"/>
        <v>ON1</v>
      </c>
      <c r="H624" s="2" t="s">
        <v>20</v>
      </c>
      <c r="I624" s="2" t="s">
        <v>93</v>
      </c>
      <c r="J624" s="2" t="str">
        <f>""</f>
        <v/>
      </c>
      <c r="K624" s="2" t="str">
        <f>"PFES1162671044_0001"</f>
        <v>PFES1162671044_0001</v>
      </c>
      <c r="L624" s="2">
        <v>1</v>
      </c>
      <c r="M624" s="2">
        <v>12</v>
      </c>
    </row>
    <row r="625" spans="1:13">
      <c r="A625" s="6">
        <v>43501</v>
      </c>
      <c r="B625" s="7">
        <v>0.51250000000000007</v>
      </c>
      <c r="C625" s="2" t="str">
        <f>"FES1162671047"</f>
        <v>FES1162671047</v>
      </c>
      <c r="D625" s="2" t="s">
        <v>18</v>
      </c>
      <c r="E625" s="2" t="s">
        <v>517</v>
      </c>
      <c r="F625" s="2" t="str">
        <f>"2170672546 "</f>
        <v xml:space="preserve">2170672546 </v>
      </c>
      <c r="G625" s="2" t="str">
        <f t="shared" si="21"/>
        <v>ON1</v>
      </c>
      <c r="H625" s="2" t="s">
        <v>20</v>
      </c>
      <c r="I625" s="2" t="s">
        <v>518</v>
      </c>
      <c r="J625" s="2" t="str">
        <f>""</f>
        <v/>
      </c>
      <c r="K625" s="2" t="str">
        <f>"PFES1162671047_0001"</f>
        <v>PFES1162671047_0001</v>
      </c>
      <c r="L625" s="2">
        <v>1</v>
      </c>
      <c r="M625" s="2">
        <v>4</v>
      </c>
    </row>
    <row r="626" spans="1:13">
      <c r="A626" s="6">
        <v>43501</v>
      </c>
      <c r="B626" s="7">
        <v>0.51111111111111118</v>
      </c>
      <c r="C626" s="2" t="str">
        <f>"FES1162671068"</f>
        <v>FES1162671068</v>
      </c>
      <c r="D626" s="2" t="s">
        <v>18</v>
      </c>
      <c r="E626" s="2" t="s">
        <v>339</v>
      </c>
      <c r="F626" s="2" t="str">
        <f>"2170669405 "</f>
        <v xml:space="preserve">2170669405 </v>
      </c>
      <c r="G626" s="2" t="str">
        <f t="shared" si="21"/>
        <v>ON1</v>
      </c>
      <c r="H626" s="2" t="s">
        <v>20</v>
      </c>
      <c r="I626" s="2" t="s">
        <v>37</v>
      </c>
      <c r="J626" s="2" t="str">
        <f>""</f>
        <v/>
      </c>
      <c r="K626" s="2" t="str">
        <f>"PFES1162671068_0001"</f>
        <v>PFES1162671068_0001</v>
      </c>
      <c r="L626" s="2">
        <v>1</v>
      </c>
      <c r="M626" s="2">
        <v>15</v>
      </c>
    </row>
    <row r="627" spans="1:13">
      <c r="A627" s="6">
        <v>43501</v>
      </c>
      <c r="B627" s="7">
        <v>0.51041666666666663</v>
      </c>
      <c r="C627" s="2" t="str">
        <f>"FES1162671075"</f>
        <v>FES1162671075</v>
      </c>
      <c r="D627" s="2" t="s">
        <v>18</v>
      </c>
      <c r="E627" s="2" t="s">
        <v>97</v>
      </c>
      <c r="F627" s="2" t="str">
        <f>"2170667639 "</f>
        <v xml:space="preserve">2170667639 </v>
      </c>
      <c r="G627" s="2" t="str">
        <f t="shared" si="21"/>
        <v>ON1</v>
      </c>
      <c r="H627" s="2" t="s">
        <v>20</v>
      </c>
      <c r="I627" s="2" t="s">
        <v>70</v>
      </c>
      <c r="J627" s="2" t="str">
        <f>""</f>
        <v/>
      </c>
      <c r="K627" s="2" t="str">
        <f>"PFES1162671075_0001"</f>
        <v>PFES1162671075_0001</v>
      </c>
      <c r="L627" s="2">
        <v>1</v>
      </c>
      <c r="M627" s="2">
        <v>1</v>
      </c>
    </row>
    <row r="628" spans="1:13">
      <c r="A628" s="6">
        <v>43501</v>
      </c>
      <c r="B628" s="7">
        <v>0.50902777777777775</v>
      </c>
      <c r="C628" s="2" t="str">
        <f>"FES1162671064"</f>
        <v>FES1162671064</v>
      </c>
      <c r="D628" s="2" t="s">
        <v>18</v>
      </c>
      <c r="E628" s="2" t="s">
        <v>150</v>
      </c>
      <c r="F628" s="2" t="str">
        <f>"2170668984 "</f>
        <v xml:space="preserve">2170668984 </v>
      </c>
      <c r="G628" s="2" t="str">
        <f t="shared" si="21"/>
        <v>ON1</v>
      </c>
      <c r="H628" s="2" t="s">
        <v>20</v>
      </c>
      <c r="I628" s="2" t="s">
        <v>137</v>
      </c>
      <c r="J628" s="2" t="str">
        <f>""</f>
        <v/>
      </c>
      <c r="K628" s="2" t="str">
        <f>"PFES1162671064_0001"</f>
        <v>PFES1162671064_0001</v>
      </c>
      <c r="L628" s="2">
        <v>1</v>
      </c>
      <c r="M628" s="2">
        <v>5</v>
      </c>
    </row>
    <row r="629" spans="1:13">
      <c r="A629" s="6">
        <v>43501</v>
      </c>
      <c r="B629" s="7">
        <v>0.5083333333333333</v>
      </c>
      <c r="C629" s="2" t="str">
        <f>"FES1162671063"</f>
        <v>FES1162671063</v>
      </c>
      <c r="D629" s="2" t="s">
        <v>18</v>
      </c>
      <c r="E629" s="2" t="s">
        <v>195</v>
      </c>
      <c r="F629" s="2" t="str">
        <f>"2170668861 "</f>
        <v xml:space="preserve">2170668861 </v>
      </c>
      <c r="G629" s="2" t="str">
        <f t="shared" si="21"/>
        <v>ON1</v>
      </c>
      <c r="H629" s="2" t="s">
        <v>20</v>
      </c>
      <c r="I629" s="2" t="s">
        <v>96</v>
      </c>
      <c r="J629" s="2" t="str">
        <f>""</f>
        <v/>
      </c>
      <c r="K629" s="2" t="str">
        <f>"PFES1162671063_0001"</f>
        <v>PFES1162671063_0001</v>
      </c>
      <c r="L629" s="2">
        <v>1</v>
      </c>
      <c r="M629" s="2">
        <v>1</v>
      </c>
    </row>
    <row r="630" spans="1:13">
      <c r="A630" s="6">
        <v>43501</v>
      </c>
      <c r="B630" s="7">
        <v>0.50694444444444442</v>
      </c>
      <c r="C630" s="2" t="str">
        <f>"FES1162671071"</f>
        <v>FES1162671071</v>
      </c>
      <c r="D630" s="2" t="s">
        <v>18</v>
      </c>
      <c r="E630" s="2" t="s">
        <v>69</v>
      </c>
      <c r="F630" s="2" t="str">
        <f>"2170669604 "</f>
        <v xml:space="preserve">2170669604 </v>
      </c>
      <c r="G630" s="2" t="str">
        <f t="shared" si="21"/>
        <v>ON1</v>
      </c>
      <c r="H630" s="2" t="s">
        <v>20</v>
      </c>
      <c r="I630" s="2" t="s">
        <v>70</v>
      </c>
      <c r="J630" s="2" t="str">
        <f>""</f>
        <v/>
      </c>
      <c r="K630" s="2" t="str">
        <f>"PFES1162671071_0001"</f>
        <v>PFES1162671071_0001</v>
      </c>
      <c r="L630" s="2">
        <v>1</v>
      </c>
      <c r="M630" s="2">
        <v>2</v>
      </c>
    </row>
    <row r="631" spans="1:13">
      <c r="A631" s="6">
        <v>43501</v>
      </c>
      <c r="B631" s="7">
        <v>0.50624999999999998</v>
      </c>
      <c r="C631" s="2" t="str">
        <f>"FES1162671062"</f>
        <v>FES1162671062</v>
      </c>
      <c r="D631" s="2" t="s">
        <v>18</v>
      </c>
      <c r="E631" s="2" t="s">
        <v>519</v>
      </c>
      <c r="F631" s="2" t="str">
        <f>"2170668735 "</f>
        <v xml:space="preserve">2170668735 </v>
      </c>
      <c r="G631" s="2" t="str">
        <f t="shared" si="21"/>
        <v>ON1</v>
      </c>
      <c r="H631" s="2" t="s">
        <v>20</v>
      </c>
      <c r="I631" s="2" t="s">
        <v>520</v>
      </c>
      <c r="J631" s="2" t="str">
        <f>""</f>
        <v/>
      </c>
      <c r="K631" s="2" t="str">
        <f>"PFES1162671062_0001"</f>
        <v>PFES1162671062_0001</v>
      </c>
      <c r="L631" s="2">
        <v>1</v>
      </c>
      <c r="M631" s="2">
        <v>1</v>
      </c>
    </row>
    <row r="632" spans="1:13">
      <c r="A632" s="6">
        <v>43501</v>
      </c>
      <c r="B632" s="7">
        <v>0.50416666666666665</v>
      </c>
      <c r="C632" s="2" t="str">
        <f>"FES1162671069"</f>
        <v>FES1162671069</v>
      </c>
      <c r="D632" s="2" t="s">
        <v>18</v>
      </c>
      <c r="E632" s="2" t="s">
        <v>150</v>
      </c>
      <c r="F632" s="2" t="str">
        <f>"2170669430 "</f>
        <v xml:space="preserve">2170669430 </v>
      </c>
      <c r="G632" s="2" t="str">
        <f t="shared" si="21"/>
        <v>ON1</v>
      </c>
      <c r="H632" s="2" t="s">
        <v>20</v>
      </c>
      <c r="I632" s="2" t="s">
        <v>137</v>
      </c>
      <c r="J632" s="2" t="str">
        <f>""</f>
        <v/>
      </c>
      <c r="K632" s="2" t="str">
        <f>"PFES1162671069_0001"</f>
        <v>PFES1162671069_0001</v>
      </c>
      <c r="L632" s="2">
        <v>1</v>
      </c>
      <c r="M632" s="2">
        <v>5</v>
      </c>
    </row>
    <row r="633" spans="1:13">
      <c r="A633" s="6">
        <v>43501</v>
      </c>
      <c r="B633" s="7">
        <v>0.48194444444444445</v>
      </c>
      <c r="C633" s="2" t="str">
        <f>"FES1162671043"</f>
        <v>FES1162671043</v>
      </c>
      <c r="D633" s="2" t="s">
        <v>18</v>
      </c>
      <c r="E633" s="2" t="s">
        <v>521</v>
      </c>
      <c r="F633" s="2" t="str">
        <f>"2170672538 "</f>
        <v xml:space="preserve">2170672538 </v>
      </c>
      <c r="G633" s="2" t="str">
        <f t="shared" si="21"/>
        <v>ON1</v>
      </c>
      <c r="H633" s="2" t="s">
        <v>20</v>
      </c>
      <c r="I633" s="2" t="s">
        <v>445</v>
      </c>
      <c r="J633" s="2" t="str">
        <f>""</f>
        <v/>
      </c>
      <c r="K633" s="2" t="str">
        <f>"PFES1162671043_0001"</f>
        <v>PFES1162671043_0001</v>
      </c>
      <c r="L633" s="2">
        <v>1</v>
      </c>
      <c r="M633" s="2">
        <v>1</v>
      </c>
    </row>
    <row r="634" spans="1:13">
      <c r="A634" s="6">
        <v>43501</v>
      </c>
      <c r="B634" s="7">
        <v>0.48194444444444445</v>
      </c>
      <c r="C634" s="2" t="str">
        <f>"FES1162671034"</f>
        <v>FES1162671034</v>
      </c>
      <c r="D634" s="2" t="s">
        <v>18</v>
      </c>
      <c r="E634" s="2" t="s">
        <v>522</v>
      </c>
      <c r="F634" s="2" t="str">
        <f>"2170672526 "</f>
        <v xml:space="preserve">2170672526 </v>
      </c>
      <c r="G634" s="2" t="str">
        <f t="shared" si="21"/>
        <v>ON1</v>
      </c>
      <c r="H634" s="2" t="s">
        <v>20</v>
      </c>
      <c r="I634" s="2" t="s">
        <v>388</v>
      </c>
      <c r="J634" s="2" t="str">
        <f>""</f>
        <v/>
      </c>
      <c r="K634" s="2" t="str">
        <f>"PFES1162671034_0001"</f>
        <v>PFES1162671034_0001</v>
      </c>
      <c r="L634" s="2">
        <v>1</v>
      </c>
      <c r="M634" s="2">
        <v>1</v>
      </c>
    </row>
    <row r="635" spans="1:13">
      <c r="A635" s="6">
        <v>43501</v>
      </c>
      <c r="B635" s="7">
        <v>0.48055555555555557</v>
      </c>
      <c r="C635" s="2" t="str">
        <f>"009935791976"</f>
        <v>009935791976</v>
      </c>
      <c r="D635" s="2" t="s">
        <v>18</v>
      </c>
      <c r="E635" s="2" t="s">
        <v>47</v>
      </c>
      <c r="F635" s="2" t="str">
        <f>"1162670695 "</f>
        <v xml:space="preserve">1162670695 </v>
      </c>
      <c r="G635" s="2" t="str">
        <f t="shared" si="21"/>
        <v>ON1</v>
      </c>
      <c r="H635" s="2" t="s">
        <v>20</v>
      </c>
      <c r="I635" s="2" t="s">
        <v>48</v>
      </c>
      <c r="J635" s="2" t="str">
        <f>""</f>
        <v/>
      </c>
      <c r="K635" s="2" t="str">
        <f>"P009935791976_0001"</f>
        <v>P009935791976_0001</v>
      </c>
      <c r="L635" s="2">
        <v>1</v>
      </c>
      <c r="M635" s="2">
        <v>1</v>
      </c>
    </row>
    <row r="636" spans="1:13">
      <c r="A636" s="6">
        <v>43501</v>
      </c>
      <c r="B636" s="7">
        <v>0.4777777777777778</v>
      </c>
      <c r="C636" s="2" t="str">
        <f>"009935723036"</f>
        <v>009935723036</v>
      </c>
      <c r="D636" s="2" t="s">
        <v>18</v>
      </c>
      <c r="E636" s="2" t="s">
        <v>332</v>
      </c>
      <c r="F636" s="2" t="str">
        <f>"1162666038 "</f>
        <v xml:space="preserve">1162666038 </v>
      </c>
      <c r="G636" s="2" t="str">
        <f t="shared" si="21"/>
        <v>ON1</v>
      </c>
      <c r="H636" s="2" t="s">
        <v>20</v>
      </c>
      <c r="I636" s="2" t="s">
        <v>333</v>
      </c>
      <c r="J636" s="2" t="str">
        <f>"RE SEND STOCK RTS BY SKYNET ELANDS"</f>
        <v>RE SEND STOCK RTS BY SKYNET ELANDS</v>
      </c>
      <c r="K636" s="2" t="str">
        <f>"P009935723036_0001"</f>
        <v>P009935723036_0001</v>
      </c>
      <c r="L636" s="2">
        <v>1</v>
      </c>
      <c r="M636" s="2">
        <v>2</v>
      </c>
    </row>
    <row r="637" spans="1:13">
      <c r="A637" s="6">
        <v>43502</v>
      </c>
      <c r="B637" s="7">
        <v>0.60555555555555551</v>
      </c>
      <c r="C637" s="8" t="str">
        <f>"FES1162671513"</f>
        <v>FES1162671513</v>
      </c>
      <c r="D637" s="8" t="s">
        <v>18</v>
      </c>
      <c r="E637" s="8" t="s">
        <v>523</v>
      </c>
      <c r="F637" s="8" t="str">
        <f>"2170672858 "</f>
        <v xml:space="preserve">2170672858 </v>
      </c>
      <c r="G637" s="8" t="str">
        <f t="shared" si="21"/>
        <v>ON1</v>
      </c>
      <c r="H637" s="8" t="s">
        <v>20</v>
      </c>
      <c r="I637" s="8" t="s">
        <v>333</v>
      </c>
      <c r="J637" s="8" t="str">
        <f>""</f>
        <v/>
      </c>
      <c r="K637" s="8" t="str">
        <f>"PFES1162671513_0001"</f>
        <v>PFES1162671513_0001</v>
      </c>
      <c r="L637" s="8">
        <v>1</v>
      </c>
      <c r="M637" s="8">
        <v>10</v>
      </c>
    </row>
    <row r="638" spans="1:13">
      <c r="A638" s="6">
        <v>43502</v>
      </c>
      <c r="B638" s="7">
        <v>0.60486111111111118</v>
      </c>
      <c r="C638" s="8" t="str">
        <f>"FES1162671569"</f>
        <v>FES1162671569</v>
      </c>
      <c r="D638" s="8" t="s">
        <v>18</v>
      </c>
      <c r="E638" s="8" t="s">
        <v>524</v>
      </c>
      <c r="F638" s="8" t="str">
        <f>"2170672916 "</f>
        <v xml:space="preserve">2170672916 </v>
      </c>
      <c r="G638" s="8" t="str">
        <f t="shared" si="21"/>
        <v>ON1</v>
      </c>
      <c r="H638" s="8" t="s">
        <v>20</v>
      </c>
      <c r="I638" s="8" t="s">
        <v>525</v>
      </c>
      <c r="J638" s="8" t="str">
        <f>""</f>
        <v/>
      </c>
      <c r="K638" s="8" t="str">
        <f>"PFES1162671569_0001"</f>
        <v>PFES1162671569_0001</v>
      </c>
      <c r="L638" s="8">
        <v>1</v>
      </c>
      <c r="M638" s="8">
        <v>6</v>
      </c>
    </row>
    <row r="639" spans="1:13">
      <c r="A639" s="6">
        <v>43502</v>
      </c>
      <c r="B639" s="7">
        <v>0.60277777777777775</v>
      </c>
      <c r="C639" s="8" t="str">
        <f>"FES1162671600"</f>
        <v>FES1162671600</v>
      </c>
      <c r="D639" s="8" t="s">
        <v>18</v>
      </c>
      <c r="E639" s="8" t="s">
        <v>19</v>
      </c>
      <c r="F639" s="8" t="str">
        <f>"2170668698 "</f>
        <v xml:space="preserve">2170668698 </v>
      </c>
      <c r="G639" s="8" t="str">
        <f t="shared" si="21"/>
        <v>ON1</v>
      </c>
      <c r="H639" s="8" t="s">
        <v>20</v>
      </c>
      <c r="I639" s="8" t="s">
        <v>21</v>
      </c>
      <c r="J639" s="8" t="str">
        <f>""</f>
        <v/>
      </c>
      <c r="K639" s="8" t="str">
        <f>"PFES1162671600_0001"</f>
        <v>PFES1162671600_0001</v>
      </c>
      <c r="L639" s="8">
        <v>1</v>
      </c>
      <c r="M639" s="8">
        <v>1</v>
      </c>
    </row>
    <row r="640" spans="1:13">
      <c r="A640" s="6">
        <v>43502</v>
      </c>
      <c r="B640" s="7">
        <v>0.60277777777777775</v>
      </c>
      <c r="C640" s="8" t="str">
        <f>"FES1162671614"</f>
        <v>FES1162671614</v>
      </c>
      <c r="D640" s="8" t="s">
        <v>18</v>
      </c>
      <c r="E640" s="8" t="s">
        <v>526</v>
      </c>
      <c r="F640" s="8" t="str">
        <f>"2170672941 "</f>
        <v xml:space="preserve">2170672941 </v>
      </c>
      <c r="G640" s="8" t="str">
        <f t="shared" si="21"/>
        <v>ON1</v>
      </c>
      <c r="H640" s="8" t="s">
        <v>20</v>
      </c>
      <c r="I640" s="8" t="s">
        <v>165</v>
      </c>
      <c r="J640" s="8" t="str">
        <f>""</f>
        <v/>
      </c>
      <c r="K640" s="8" t="str">
        <f>"PFES1162671614_0001"</f>
        <v>PFES1162671614_0001</v>
      </c>
      <c r="L640" s="8">
        <v>1</v>
      </c>
      <c r="M640" s="8">
        <v>1</v>
      </c>
    </row>
    <row r="641" spans="1:13">
      <c r="A641" s="6">
        <v>43502</v>
      </c>
      <c r="B641" s="7">
        <v>0.6020833333333333</v>
      </c>
      <c r="C641" s="8" t="str">
        <f>"FES1162671538"</f>
        <v>FES1162671538</v>
      </c>
      <c r="D641" s="8" t="s">
        <v>18</v>
      </c>
      <c r="E641" s="8" t="s">
        <v>100</v>
      </c>
      <c r="F641" s="8" t="str">
        <f>"2170672881 "</f>
        <v xml:space="preserve">2170672881 </v>
      </c>
      <c r="G641" s="8" t="str">
        <f t="shared" si="21"/>
        <v>ON1</v>
      </c>
      <c r="H641" s="8" t="s">
        <v>20</v>
      </c>
      <c r="I641" s="8" t="s">
        <v>101</v>
      </c>
      <c r="J641" s="8" t="str">
        <f>""</f>
        <v/>
      </c>
      <c r="K641" s="8" t="str">
        <f>"PFES1162671538_0001"</f>
        <v>PFES1162671538_0001</v>
      </c>
      <c r="L641" s="8">
        <v>1</v>
      </c>
      <c r="M641" s="8">
        <v>1</v>
      </c>
    </row>
    <row r="642" spans="1:13">
      <c r="A642" s="6">
        <v>43502</v>
      </c>
      <c r="B642" s="7">
        <v>0.6020833333333333</v>
      </c>
      <c r="C642" s="8" t="str">
        <f>"FES1162671537"</f>
        <v>FES1162671537</v>
      </c>
      <c r="D642" s="8" t="s">
        <v>18</v>
      </c>
      <c r="E642" s="8" t="s">
        <v>527</v>
      </c>
      <c r="F642" s="8" t="str">
        <f>"2170672880 "</f>
        <v xml:space="preserve">2170672880 </v>
      </c>
      <c r="G642" s="8" t="str">
        <f t="shared" si="21"/>
        <v>ON1</v>
      </c>
      <c r="H642" s="8" t="s">
        <v>20</v>
      </c>
      <c r="I642" s="8" t="s">
        <v>276</v>
      </c>
      <c r="J642" s="8" t="str">
        <f>""</f>
        <v/>
      </c>
      <c r="K642" s="8" t="str">
        <f>"PFES1162671537_0001"</f>
        <v>PFES1162671537_0001</v>
      </c>
      <c r="L642" s="8">
        <v>1</v>
      </c>
      <c r="M642" s="8">
        <v>1</v>
      </c>
    </row>
    <row r="643" spans="1:13">
      <c r="A643" s="6">
        <v>43502</v>
      </c>
      <c r="B643" s="7">
        <v>0.6020833333333333</v>
      </c>
      <c r="C643" s="8" t="str">
        <f>"FES1162671512"</f>
        <v>FES1162671512</v>
      </c>
      <c r="D643" s="8" t="s">
        <v>18</v>
      </c>
      <c r="E643" s="8" t="s">
        <v>190</v>
      </c>
      <c r="F643" s="8" t="str">
        <f>"2170627857 "</f>
        <v xml:space="preserve">2170627857 </v>
      </c>
      <c r="G643" s="8" t="str">
        <f t="shared" si="21"/>
        <v>ON1</v>
      </c>
      <c r="H643" s="8" t="s">
        <v>20</v>
      </c>
      <c r="I643" s="8" t="s">
        <v>111</v>
      </c>
      <c r="J643" s="8" t="str">
        <f>""</f>
        <v/>
      </c>
      <c r="K643" s="8" t="str">
        <f>"PFES1162671512_0001"</f>
        <v>PFES1162671512_0001</v>
      </c>
      <c r="L643" s="8">
        <v>1</v>
      </c>
      <c r="M643" s="8">
        <v>1</v>
      </c>
    </row>
    <row r="644" spans="1:13">
      <c r="A644" s="6">
        <v>43502</v>
      </c>
      <c r="B644" s="7">
        <v>0.60138888888888886</v>
      </c>
      <c r="C644" s="8" t="str">
        <f>"FES1162671563"</f>
        <v>FES1162671563</v>
      </c>
      <c r="D644" s="8" t="s">
        <v>18</v>
      </c>
      <c r="E644" s="8" t="s">
        <v>358</v>
      </c>
      <c r="F644" s="8" t="str">
        <f>"2170672909 "</f>
        <v xml:space="preserve">2170672909 </v>
      </c>
      <c r="G644" s="8" t="str">
        <f t="shared" si="21"/>
        <v>ON1</v>
      </c>
      <c r="H644" s="8" t="s">
        <v>20</v>
      </c>
      <c r="I644" s="8" t="s">
        <v>359</v>
      </c>
      <c r="J644" s="8" t="str">
        <f>""</f>
        <v/>
      </c>
      <c r="K644" s="8" t="str">
        <f>"PFES1162671563_0001"</f>
        <v>PFES1162671563_0001</v>
      </c>
      <c r="L644" s="8">
        <v>1</v>
      </c>
      <c r="M644" s="8">
        <v>1</v>
      </c>
    </row>
    <row r="645" spans="1:13">
      <c r="A645" s="6">
        <v>43502</v>
      </c>
      <c r="B645" s="7">
        <v>0.60138888888888886</v>
      </c>
      <c r="C645" s="8" t="str">
        <f>"FES1162671519"</f>
        <v>FES1162671519</v>
      </c>
      <c r="D645" s="8" t="s">
        <v>18</v>
      </c>
      <c r="E645" s="8" t="s">
        <v>295</v>
      </c>
      <c r="F645" s="8" t="str">
        <f>"2170672862 "</f>
        <v xml:space="preserve">2170672862 </v>
      </c>
      <c r="G645" s="8" t="str">
        <f t="shared" si="21"/>
        <v>ON1</v>
      </c>
      <c r="H645" s="8" t="s">
        <v>20</v>
      </c>
      <c r="I645" s="8" t="s">
        <v>53</v>
      </c>
      <c r="J645" s="8" t="str">
        <f>""</f>
        <v/>
      </c>
      <c r="K645" s="8" t="str">
        <f>"PFES1162671519_0001"</f>
        <v>PFES1162671519_0001</v>
      </c>
      <c r="L645" s="8">
        <v>1</v>
      </c>
      <c r="M645" s="8">
        <v>1</v>
      </c>
    </row>
    <row r="646" spans="1:13">
      <c r="A646" s="6">
        <v>43502</v>
      </c>
      <c r="B646" s="7">
        <v>0.60069444444444442</v>
      </c>
      <c r="C646" s="8" t="str">
        <f>"FES1162671542"</f>
        <v>FES1162671542</v>
      </c>
      <c r="D646" s="8" t="s">
        <v>18</v>
      </c>
      <c r="E646" s="8" t="s">
        <v>92</v>
      </c>
      <c r="F646" s="8" t="str">
        <f>"2170672885 "</f>
        <v xml:space="preserve">2170672885 </v>
      </c>
      <c r="G646" s="8" t="str">
        <f t="shared" si="21"/>
        <v>ON1</v>
      </c>
      <c r="H646" s="8" t="s">
        <v>20</v>
      </c>
      <c r="I646" s="8" t="s">
        <v>93</v>
      </c>
      <c r="J646" s="8" t="str">
        <f>""</f>
        <v/>
      </c>
      <c r="K646" s="8" t="str">
        <f>"PFES1162671542_0001"</f>
        <v>PFES1162671542_0001</v>
      </c>
      <c r="L646" s="8">
        <v>1</v>
      </c>
      <c r="M646" s="8">
        <v>1</v>
      </c>
    </row>
    <row r="647" spans="1:13">
      <c r="A647" s="6">
        <v>43502</v>
      </c>
      <c r="B647" s="7">
        <v>0.60069444444444442</v>
      </c>
      <c r="C647" s="8" t="str">
        <f>"FES1162671536"</f>
        <v>FES1162671536</v>
      </c>
      <c r="D647" s="8" t="s">
        <v>18</v>
      </c>
      <c r="E647" s="8" t="s">
        <v>298</v>
      </c>
      <c r="F647" s="8" t="str">
        <f>"2170672877 "</f>
        <v xml:space="preserve">2170672877 </v>
      </c>
      <c r="G647" s="8" t="str">
        <f t="shared" si="21"/>
        <v>ON1</v>
      </c>
      <c r="H647" s="8" t="s">
        <v>20</v>
      </c>
      <c r="I647" s="8" t="s">
        <v>93</v>
      </c>
      <c r="J647" s="8" t="str">
        <f>""</f>
        <v/>
      </c>
      <c r="K647" s="8" t="str">
        <f>"PFES1162671536_0001"</f>
        <v>PFES1162671536_0001</v>
      </c>
      <c r="L647" s="8">
        <v>1</v>
      </c>
      <c r="M647" s="8">
        <v>1</v>
      </c>
    </row>
    <row r="648" spans="1:13">
      <c r="A648" s="6">
        <v>43502</v>
      </c>
      <c r="B648" s="7">
        <v>0.60069444444444442</v>
      </c>
      <c r="C648" s="8" t="str">
        <f>"FES1162671586"</f>
        <v>FES1162671586</v>
      </c>
      <c r="D648" s="8" t="s">
        <v>18</v>
      </c>
      <c r="E648" s="8" t="s">
        <v>316</v>
      </c>
      <c r="F648" s="8" t="str">
        <f>"2170671444 "</f>
        <v xml:space="preserve">2170671444 </v>
      </c>
      <c r="G648" s="8" t="str">
        <f t="shared" si="21"/>
        <v>ON1</v>
      </c>
      <c r="H648" s="8" t="s">
        <v>20</v>
      </c>
      <c r="I648" s="8" t="s">
        <v>272</v>
      </c>
      <c r="J648" s="8" t="str">
        <f>""</f>
        <v/>
      </c>
      <c r="K648" s="8" t="str">
        <f>"PFES1162671586_0001"</f>
        <v>PFES1162671586_0001</v>
      </c>
      <c r="L648" s="8">
        <v>2</v>
      </c>
      <c r="M648" s="8">
        <v>5</v>
      </c>
    </row>
    <row r="649" spans="1:13">
      <c r="A649" s="6">
        <v>43496</v>
      </c>
      <c r="B649" s="7">
        <v>0.68125000000000002</v>
      </c>
      <c r="C649" s="8" t="str">
        <f>"FES1162671586"</f>
        <v>FES1162671586</v>
      </c>
      <c r="D649" s="8" t="s">
        <v>18</v>
      </c>
      <c r="E649" s="8" t="s">
        <v>528</v>
      </c>
      <c r="F649" s="8" t="str">
        <f>"2170672046 "</f>
        <v xml:space="preserve">2170672046 </v>
      </c>
      <c r="G649" s="8" t="str">
        <f t="shared" si="21"/>
        <v>ON1</v>
      </c>
      <c r="H649" s="8" t="s">
        <v>20</v>
      </c>
      <c r="I649" s="8" t="s">
        <v>333</v>
      </c>
      <c r="J649" s="8" t="str">
        <f>""</f>
        <v/>
      </c>
      <c r="K649" s="8" t="str">
        <f>"PFES1162671586_0002"</f>
        <v>PFES1162671586_0002</v>
      </c>
      <c r="L649" s="8">
        <v>1</v>
      </c>
      <c r="M649" s="8">
        <v>4</v>
      </c>
    </row>
    <row r="650" spans="1:13">
      <c r="A650" s="6">
        <v>43502</v>
      </c>
      <c r="B650" s="7">
        <v>0.60069444444444442</v>
      </c>
      <c r="C650" s="8" t="str">
        <f>"FES1162671632"</f>
        <v>FES1162671632</v>
      </c>
      <c r="D650" s="8" t="s">
        <v>18</v>
      </c>
      <c r="E650" s="8" t="s">
        <v>529</v>
      </c>
      <c r="F650" s="8" t="str">
        <f>"2170672958 "</f>
        <v xml:space="preserve">2170672958 </v>
      </c>
      <c r="G650" s="8" t="str">
        <f t="shared" si="21"/>
        <v>ON1</v>
      </c>
      <c r="H650" s="8" t="s">
        <v>20</v>
      </c>
      <c r="I650" s="8" t="s">
        <v>161</v>
      </c>
      <c r="J650" s="8" t="str">
        <f>""</f>
        <v/>
      </c>
      <c r="K650" s="8" t="str">
        <f>"PFES1162671632_0001"</f>
        <v>PFES1162671632_0001</v>
      </c>
      <c r="L650" s="8">
        <v>1</v>
      </c>
      <c r="M650" s="8">
        <v>1</v>
      </c>
    </row>
    <row r="651" spans="1:13">
      <c r="A651" s="6">
        <v>43502</v>
      </c>
      <c r="B651" s="7">
        <v>0.6</v>
      </c>
      <c r="C651" s="8" t="str">
        <f>"FES1162671630"</f>
        <v>FES1162671630</v>
      </c>
      <c r="D651" s="8" t="s">
        <v>18</v>
      </c>
      <c r="E651" s="8" t="s">
        <v>530</v>
      </c>
      <c r="F651" s="8" t="str">
        <f>"2170672956 "</f>
        <v xml:space="preserve">2170672956 </v>
      </c>
      <c r="G651" s="8" t="str">
        <f t="shared" si="21"/>
        <v>ON1</v>
      </c>
      <c r="H651" s="8" t="s">
        <v>20</v>
      </c>
      <c r="I651" s="8" t="s">
        <v>531</v>
      </c>
      <c r="J651" s="8" t="str">
        <f>""</f>
        <v/>
      </c>
      <c r="K651" s="8" t="str">
        <f>"PFES1162671630_0001"</f>
        <v>PFES1162671630_0001</v>
      </c>
      <c r="L651" s="8">
        <v>1</v>
      </c>
      <c r="M651" s="8">
        <v>1</v>
      </c>
    </row>
    <row r="652" spans="1:13">
      <c r="A652" s="6">
        <v>43502</v>
      </c>
      <c r="B652" s="7">
        <v>0.6</v>
      </c>
      <c r="C652" s="8" t="str">
        <f>"FES1162671597"</f>
        <v>FES1162671597</v>
      </c>
      <c r="D652" s="8" t="s">
        <v>18</v>
      </c>
      <c r="E652" s="8" t="s">
        <v>138</v>
      </c>
      <c r="F652" s="8" t="str">
        <f>"217067298 "</f>
        <v xml:space="preserve">217067298 </v>
      </c>
      <c r="G652" s="8" t="str">
        <f t="shared" si="21"/>
        <v>ON1</v>
      </c>
      <c r="H652" s="8" t="s">
        <v>20</v>
      </c>
      <c r="I652" s="8" t="s">
        <v>139</v>
      </c>
      <c r="J652" s="8" t="str">
        <f>""</f>
        <v/>
      </c>
      <c r="K652" s="8" t="str">
        <f>"PFES1162671597_0001"</f>
        <v>PFES1162671597_0001</v>
      </c>
      <c r="L652" s="8">
        <v>1</v>
      </c>
      <c r="M652" s="8">
        <v>1</v>
      </c>
    </row>
    <row r="653" spans="1:13">
      <c r="A653" s="6">
        <v>43502</v>
      </c>
      <c r="B653" s="7">
        <v>0.6</v>
      </c>
      <c r="C653" s="8" t="str">
        <f>"FES1162671595"</f>
        <v>FES1162671595</v>
      </c>
      <c r="D653" s="8" t="s">
        <v>18</v>
      </c>
      <c r="E653" s="8" t="s">
        <v>532</v>
      </c>
      <c r="F653" s="8" t="str">
        <f>"2170672926 "</f>
        <v xml:space="preserve">2170672926 </v>
      </c>
      <c r="G653" s="8" t="str">
        <f t="shared" si="21"/>
        <v>ON1</v>
      </c>
      <c r="H653" s="8" t="s">
        <v>20</v>
      </c>
      <c r="I653" s="8" t="s">
        <v>533</v>
      </c>
      <c r="J653" s="8" t="str">
        <f>""</f>
        <v/>
      </c>
      <c r="K653" s="8" t="str">
        <f>"PFES1162671595_0001"</f>
        <v>PFES1162671595_0001</v>
      </c>
      <c r="L653" s="8">
        <v>1</v>
      </c>
      <c r="M653" s="8">
        <v>7</v>
      </c>
    </row>
    <row r="654" spans="1:13">
      <c r="A654" s="6">
        <v>43502</v>
      </c>
      <c r="B654" s="7">
        <v>0.59861111111111109</v>
      </c>
      <c r="C654" s="8" t="str">
        <f>"FES1162671577"</f>
        <v>FES1162671577</v>
      </c>
      <c r="D654" s="8" t="s">
        <v>18</v>
      </c>
      <c r="E654" s="8" t="s">
        <v>534</v>
      </c>
      <c r="F654" s="8" t="str">
        <f>"2170668048 "</f>
        <v xml:space="preserve">2170668048 </v>
      </c>
      <c r="G654" s="8" t="str">
        <f t="shared" si="21"/>
        <v>ON1</v>
      </c>
      <c r="H654" s="8" t="s">
        <v>20</v>
      </c>
      <c r="I654" s="8" t="s">
        <v>535</v>
      </c>
      <c r="J654" s="8" t="str">
        <f>""</f>
        <v/>
      </c>
      <c r="K654" s="8" t="str">
        <f>"PFES1162671577_0001"</f>
        <v>PFES1162671577_0001</v>
      </c>
      <c r="L654" s="8">
        <v>1</v>
      </c>
      <c r="M654" s="8">
        <v>10</v>
      </c>
    </row>
    <row r="655" spans="1:13">
      <c r="A655" s="6">
        <v>43502</v>
      </c>
      <c r="B655" s="7">
        <v>0.59791666666666665</v>
      </c>
      <c r="C655" s="8" t="str">
        <f>"FES1162671573"</f>
        <v>FES1162671573</v>
      </c>
      <c r="D655" s="8" t="s">
        <v>18</v>
      </c>
      <c r="E655" s="8" t="s">
        <v>32</v>
      </c>
      <c r="F655" s="8" t="str">
        <f>"2170672483 "</f>
        <v xml:space="preserve">2170672483 </v>
      </c>
      <c r="G655" s="8" t="str">
        <f t="shared" si="21"/>
        <v>ON1</v>
      </c>
      <c r="H655" s="8" t="s">
        <v>20</v>
      </c>
      <c r="I655" s="8" t="s">
        <v>33</v>
      </c>
      <c r="J655" s="8" t="str">
        <f>""</f>
        <v/>
      </c>
      <c r="K655" s="8" t="str">
        <f>"PFES1162671573_0001"</f>
        <v>PFES1162671573_0001</v>
      </c>
      <c r="L655" s="8">
        <v>1</v>
      </c>
      <c r="M655" s="8">
        <v>9</v>
      </c>
    </row>
    <row r="656" spans="1:13">
      <c r="A656" s="6">
        <v>43502</v>
      </c>
      <c r="B656" s="7">
        <v>0.59652777777777777</v>
      </c>
      <c r="C656" s="8" t="str">
        <f>"FES1162671565"</f>
        <v>FES1162671565</v>
      </c>
      <c r="D656" s="8" t="s">
        <v>18</v>
      </c>
      <c r="E656" s="8" t="s">
        <v>32</v>
      </c>
      <c r="F656" s="8" t="str">
        <f>"2170671940 "</f>
        <v xml:space="preserve">2170671940 </v>
      </c>
      <c r="G656" s="8" t="str">
        <f t="shared" si="21"/>
        <v>ON1</v>
      </c>
      <c r="H656" s="8" t="s">
        <v>20</v>
      </c>
      <c r="I656" s="8" t="s">
        <v>33</v>
      </c>
      <c r="J656" s="8" t="str">
        <f>""</f>
        <v/>
      </c>
      <c r="K656" s="8" t="str">
        <f>"PFES1162671565_0001"</f>
        <v>PFES1162671565_0001</v>
      </c>
      <c r="L656" s="8">
        <v>1</v>
      </c>
      <c r="M656" s="8">
        <v>8</v>
      </c>
    </row>
    <row r="657" spans="1:13">
      <c r="A657" s="6">
        <v>43502</v>
      </c>
      <c r="B657" s="7">
        <v>0.59444444444444444</v>
      </c>
      <c r="C657" s="8" t="str">
        <f>"FES1162671599"</f>
        <v>FES1162671599</v>
      </c>
      <c r="D657" s="8" t="s">
        <v>18</v>
      </c>
      <c r="E657" s="8" t="s">
        <v>47</v>
      </c>
      <c r="F657" s="8" t="str">
        <f>"2170668922 "</f>
        <v xml:space="preserve">2170668922 </v>
      </c>
      <c r="G657" s="8" t="str">
        <f t="shared" si="21"/>
        <v>ON1</v>
      </c>
      <c r="H657" s="8" t="s">
        <v>20</v>
      </c>
      <c r="I657" s="8" t="s">
        <v>48</v>
      </c>
      <c r="J657" s="8" t="str">
        <f>""</f>
        <v/>
      </c>
      <c r="K657" s="8" t="str">
        <f>"PFES1162671599_0001"</f>
        <v>PFES1162671599_0001</v>
      </c>
      <c r="L657" s="8">
        <v>2</v>
      </c>
      <c r="M657" s="8">
        <v>12</v>
      </c>
    </row>
    <row r="658" spans="1:13">
      <c r="A658" s="6">
        <v>43496</v>
      </c>
      <c r="B658" s="7">
        <v>0.6694444444444444</v>
      </c>
      <c r="C658" s="8" t="str">
        <f>"FES1162671599"</f>
        <v>FES1162671599</v>
      </c>
      <c r="D658" s="8" t="s">
        <v>18</v>
      </c>
      <c r="E658" s="8" t="s">
        <v>421</v>
      </c>
      <c r="F658" s="8" t="str">
        <f>"2170672052 "</f>
        <v xml:space="preserve">2170672052 </v>
      </c>
      <c r="G658" s="8" t="str">
        <f t="shared" si="21"/>
        <v>ON1</v>
      </c>
      <c r="H658" s="8" t="s">
        <v>20</v>
      </c>
      <c r="I658" s="8" t="s">
        <v>99</v>
      </c>
      <c r="J658" s="8" t="str">
        <f>""</f>
        <v/>
      </c>
      <c r="K658" s="8" t="str">
        <f>"PFES1162671599_0002"</f>
        <v>PFES1162671599_0002</v>
      </c>
      <c r="L658" s="8">
        <v>1</v>
      </c>
      <c r="M658" s="8">
        <v>3</v>
      </c>
    </row>
    <row r="659" spans="1:13">
      <c r="A659" s="6">
        <v>43502</v>
      </c>
      <c r="B659" s="7">
        <v>0.59375</v>
      </c>
      <c r="C659" s="8" t="str">
        <f>"FES1162671591"</f>
        <v>FES1162671591</v>
      </c>
      <c r="D659" s="8" t="s">
        <v>18</v>
      </c>
      <c r="E659" s="8" t="s">
        <v>49</v>
      </c>
      <c r="F659" s="8" t="str">
        <f>"2170672701 "</f>
        <v xml:space="preserve">2170672701 </v>
      </c>
      <c r="G659" s="8" t="str">
        <f t="shared" si="21"/>
        <v>ON1</v>
      </c>
      <c r="H659" s="8" t="s">
        <v>20</v>
      </c>
      <c r="I659" s="8" t="s">
        <v>50</v>
      </c>
      <c r="J659" s="8" t="str">
        <f>""</f>
        <v/>
      </c>
      <c r="K659" s="8" t="str">
        <f>"PFES1162671591_0001"</f>
        <v>PFES1162671591_0001</v>
      </c>
      <c r="L659" s="8">
        <v>1</v>
      </c>
      <c r="M659" s="8">
        <v>8</v>
      </c>
    </row>
    <row r="660" spans="1:13">
      <c r="A660" s="6">
        <v>43502</v>
      </c>
      <c r="B660" s="7">
        <v>0.59236111111111112</v>
      </c>
      <c r="C660" s="8" t="str">
        <f>"FES1162671588"</f>
        <v>FES1162671588</v>
      </c>
      <c r="D660" s="8" t="s">
        <v>18</v>
      </c>
      <c r="E660" s="8" t="s">
        <v>397</v>
      </c>
      <c r="F660" s="8" t="str">
        <f>"2170672639 "</f>
        <v xml:space="preserve">2170672639 </v>
      </c>
      <c r="G660" s="8" t="str">
        <f t="shared" si="21"/>
        <v>ON1</v>
      </c>
      <c r="H660" s="8" t="s">
        <v>20</v>
      </c>
      <c r="I660" s="8" t="s">
        <v>228</v>
      </c>
      <c r="J660" s="8" t="str">
        <f>""</f>
        <v/>
      </c>
      <c r="K660" s="8" t="str">
        <f>"PFES1162671588_0001"</f>
        <v>PFES1162671588_0001</v>
      </c>
      <c r="L660" s="8">
        <v>1</v>
      </c>
      <c r="M660" s="8">
        <v>9</v>
      </c>
    </row>
    <row r="661" spans="1:13">
      <c r="A661" s="6">
        <v>43502</v>
      </c>
      <c r="B661" s="7">
        <v>0.59027777777777779</v>
      </c>
      <c r="C661" s="8" t="str">
        <f>"FES1162671584"</f>
        <v>FES1162671584</v>
      </c>
      <c r="D661" s="8" t="s">
        <v>18</v>
      </c>
      <c r="E661" s="8" t="s">
        <v>536</v>
      </c>
      <c r="F661" s="8" t="str">
        <f>"2170670422 "</f>
        <v xml:space="preserve">2170670422 </v>
      </c>
      <c r="G661" s="8" t="str">
        <f t="shared" si="21"/>
        <v>ON1</v>
      </c>
      <c r="H661" s="8" t="s">
        <v>20</v>
      </c>
      <c r="I661" s="8" t="s">
        <v>362</v>
      </c>
      <c r="J661" s="8" t="str">
        <f>""</f>
        <v/>
      </c>
      <c r="K661" s="8" t="str">
        <f>"PFES1162671584_0001"</f>
        <v>PFES1162671584_0001</v>
      </c>
      <c r="L661" s="8">
        <v>1</v>
      </c>
      <c r="M661" s="8">
        <v>10</v>
      </c>
    </row>
    <row r="662" spans="1:13">
      <c r="A662" s="6">
        <v>43502</v>
      </c>
      <c r="B662" s="7">
        <v>0.58680555555555558</v>
      </c>
      <c r="C662" s="8" t="str">
        <f>"FES1162671580"</f>
        <v>FES1162671580</v>
      </c>
      <c r="D662" s="8" t="s">
        <v>18</v>
      </c>
      <c r="E662" s="8" t="s">
        <v>537</v>
      </c>
      <c r="F662" s="8" t="str">
        <f>"2170669188 "</f>
        <v xml:space="preserve">2170669188 </v>
      </c>
      <c r="G662" s="8" t="str">
        <f t="shared" si="21"/>
        <v>ON1</v>
      </c>
      <c r="H662" s="8" t="s">
        <v>20</v>
      </c>
      <c r="I662" s="8" t="s">
        <v>93</v>
      </c>
      <c r="J662" s="8" t="str">
        <f>""</f>
        <v/>
      </c>
      <c r="K662" s="8" t="str">
        <f>"PFES1162671580_0001"</f>
        <v>PFES1162671580_0001</v>
      </c>
      <c r="L662" s="8">
        <v>2</v>
      </c>
      <c r="M662" s="8">
        <v>4</v>
      </c>
    </row>
    <row r="663" spans="1:13">
      <c r="A663" s="6">
        <v>43496</v>
      </c>
      <c r="B663" s="7">
        <v>0.66388888888888886</v>
      </c>
      <c r="C663" s="8" t="str">
        <f>"FES1162671580"</f>
        <v>FES1162671580</v>
      </c>
      <c r="D663" s="8" t="s">
        <v>18</v>
      </c>
      <c r="E663" s="8" t="s">
        <v>115</v>
      </c>
      <c r="F663" s="8" t="str">
        <f>"2170663099 "</f>
        <v xml:space="preserve">2170663099 </v>
      </c>
      <c r="G663" s="8" t="str">
        <f t="shared" si="21"/>
        <v>ON1</v>
      </c>
      <c r="H663" s="8" t="s">
        <v>20</v>
      </c>
      <c r="I663" s="8" t="s">
        <v>93</v>
      </c>
      <c r="J663" s="8" t="str">
        <f>""</f>
        <v/>
      </c>
      <c r="K663" s="8" t="str">
        <f>"PFES1162671580_0002"</f>
        <v>PFES1162671580_0002</v>
      </c>
      <c r="L663" s="8">
        <v>1</v>
      </c>
      <c r="M663" s="8">
        <v>4</v>
      </c>
    </row>
    <row r="664" spans="1:13">
      <c r="A664" s="6">
        <v>43502</v>
      </c>
      <c r="B664" s="7">
        <v>0.58611111111111114</v>
      </c>
      <c r="C664" s="8" t="str">
        <f>"FES1162671502"</f>
        <v>FES1162671502</v>
      </c>
      <c r="D664" s="8" t="s">
        <v>18</v>
      </c>
      <c r="E664" s="8" t="s">
        <v>88</v>
      </c>
      <c r="F664" s="8" t="str">
        <f>"2170672842 "</f>
        <v xml:space="preserve">2170672842 </v>
      </c>
      <c r="G664" s="8" t="str">
        <f t="shared" si="21"/>
        <v>ON1</v>
      </c>
      <c r="H664" s="8" t="s">
        <v>20</v>
      </c>
      <c r="I664" s="8" t="s">
        <v>89</v>
      </c>
      <c r="J664" s="8" t="str">
        <f>""</f>
        <v/>
      </c>
      <c r="K664" s="8" t="str">
        <f>"PFES1162671502_0001"</f>
        <v>PFES1162671502_0001</v>
      </c>
      <c r="L664" s="8">
        <v>1</v>
      </c>
      <c r="M664" s="8">
        <v>2</v>
      </c>
    </row>
    <row r="665" spans="1:13">
      <c r="A665" s="6">
        <v>43502</v>
      </c>
      <c r="B665" s="7">
        <v>0.58472222222222225</v>
      </c>
      <c r="C665" s="8" t="str">
        <f>"FES1162267511"</f>
        <v>FES1162267511</v>
      </c>
      <c r="D665" s="8" t="s">
        <v>18</v>
      </c>
      <c r="E665" s="8" t="s">
        <v>405</v>
      </c>
      <c r="F665" s="8" t="str">
        <f>"2170672856 "</f>
        <v xml:space="preserve">2170672856 </v>
      </c>
      <c r="G665" s="8" t="str">
        <f t="shared" si="21"/>
        <v>ON1</v>
      </c>
      <c r="H665" s="8" t="s">
        <v>20</v>
      </c>
      <c r="I665" s="8" t="s">
        <v>445</v>
      </c>
      <c r="J665" s="8" t="str">
        <f>""</f>
        <v/>
      </c>
      <c r="K665" s="8" t="str">
        <f>"PFES1162267511_0001"</f>
        <v>PFES1162267511_0001</v>
      </c>
      <c r="L665" s="8">
        <v>1</v>
      </c>
      <c r="M665" s="8">
        <v>4</v>
      </c>
    </row>
    <row r="666" spans="1:13">
      <c r="A666" s="6">
        <v>43502</v>
      </c>
      <c r="B666" s="7">
        <v>0.58333333333333337</v>
      </c>
      <c r="C666" s="8" t="str">
        <f>"FES11626711583"</f>
        <v>FES11626711583</v>
      </c>
      <c r="D666" s="8" t="s">
        <v>18</v>
      </c>
      <c r="E666" s="8" t="s">
        <v>148</v>
      </c>
      <c r="F666" s="8" t="str">
        <f>"2170670095 "</f>
        <v xml:space="preserve">2170670095 </v>
      </c>
      <c r="G666" s="8" t="str">
        <f t="shared" si="21"/>
        <v>ON1</v>
      </c>
      <c r="H666" s="8" t="s">
        <v>20</v>
      </c>
      <c r="I666" s="8" t="s">
        <v>149</v>
      </c>
      <c r="J666" s="8" t="str">
        <f>""</f>
        <v/>
      </c>
      <c r="K666" s="8" t="str">
        <f>"PFES11626711583_0001"</f>
        <v>PFES11626711583_0001</v>
      </c>
      <c r="L666" s="8">
        <v>1</v>
      </c>
      <c r="M666" s="8">
        <v>2</v>
      </c>
    </row>
    <row r="667" spans="1:13">
      <c r="A667" s="6">
        <v>43502</v>
      </c>
      <c r="B667" s="7">
        <v>0.58263888888888882</v>
      </c>
      <c r="C667" s="8" t="str">
        <f>"FES1162671582"</f>
        <v>FES1162671582</v>
      </c>
      <c r="D667" s="8" t="s">
        <v>18</v>
      </c>
      <c r="E667" s="8" t="s">
        <v>523</v>
      </c>
      <c r="F667" s="8" t="str">
        <f>"2170669897 "</f>
        <v xml:space="preserve">2170669897 </v>
      </c>
      <c r="G667" s="8" t="str">
        <f t="shared" si="21"/>
        <v>ON1</v>
      </c>
      <c r="H667" s="8" t="s">
        <v>20</v>
      </c>
      <c r="I667" s="8" t="s">
        <v>258</v>
      </c>
      <c r="J667" s="8" t="str">
        <f>""</f>
        <v/>
      </c>
      <c r="K667" s="8" t="str">
        <f>"PFES1162671582_0001"</f>
        <v>PFES1162671582_0001</v>
      </c>
      <c r="L667" s="8">
        <v>1</v>
      </c>
      <c r="M667" s="8">
        <v>3</v>
      </c>
    </row>
    <row r="668" spans="1:13">
      <c r="A668" s="6">
        <v>43502</v>
      </c>
      <c r="B668" s="7">
        <v>0.57500000000000007</v>
      </c>
      <c r="C668" s="8" t="str">
        <f>"FES1162671556"</f>
        <v>FES1162671556</v>
      </c>
      <c r="D668" s="8" t="s">
        <v>18</v>
      </c>
      <c r="E668" s="8" t="s">
        <v>300</v>
      </c>
      <c r="F668" s="8" t="str">
        <f>"2170672895 "</f>
        <v xml:space="preserve">2170672895 </v>
      </c>
      <c r="G668" s="8" t="str">
        <f t="shared" si="21"/>
        <v>ON1</v>
      </c>
      <c r="H668" s="8" t="s">
        <v>20</v>
      </c>
      <c r="I668" s="8" t="s">
        <v>276</v>
      </c>
      <c r="J668" s="8" t="str">
        <f>""</f>
        <v/>
      </c>
      <c r="K668" s="8" t="str">
        <f>"PFES1162671556_0001"</f>
        <v>PFES1162671556_0001</v>
      </c>
      <c r="L668" s="8">
        <v>1</v>
      </c>
      <c r="M668" s="8">
        <v>1</v>
      </c>
    </row>
    <row r="669" spans="1:13">
      <c r="A669" s="6">
        <v>43502</v>
      </c>
      <c r="B669" s="7">
        <v>0.57430555555555551</v>
      </c>
      <c r="C669" s="8" t="str">
        <f>"FES1162671529"</f>
        <v>FES1162671529</v>
      </c>
      <c r="D669" s="8" t="s">
        <v>18</v>
      </c>
      <c r="E669" s="8" t="s">
        <v>479</v>
      </c>
      <c r="F669" s="8" t="str">
        <f>"2170672854 "</f>
        <v xml:space="preserve">2170672854 </v>
      </c>
      <c r="G669" s="8" t="str">
        <f t="shared" si="21"/>
        <v>ON1</v>
      </c>
      <c r="H669" s="8" t="s">
        <v>20</v>
      </c>
      <c r="I669" s="8" t="s">
        <v>233</v>
      </c>
      <c r="J669" s="8" t="str">
        <f>""</f>
        <v/>
      </c>
      <c r="K669" s="8" t="str">
        <f>"PFES1162671529_0001"</f>
        <v>PFES1162671529_0001</v>
      </c>
      <c r="L669" s="8">
        <v>1</v>
      </c>
      <c r="M669" s="8">
        <v>1</v>
      </c>
    </row>
    <row r="670" spans="1:13">
      <c r="A670" s="6">
        <v>43502</v>
      </c>
      <c r="B670" s="7">
        <v>0.56666666666666665</v>
      </c>
      <c r="C670" s="8" t="str">
        <f>"FES1162671309"</f>
        <v>FES1162671309</v>
      </c>
      <c r="D670" s="8" t="s">
        <v>18</v>
      </c>
      <c r="E670" s="8" t="s">
        <v>538</v>
      </c>
      <c r="F670" s="8" t="str">
        <f>"2170672650 "</f>
        <v xml:space="preserve">2170672650 </v>
      </c>
      <c r="G670" s="8" t="str">
        <f t="shared" si="21"/>
        <v>ON1</v>
      </c>
      <c r="H670" s="8" t="s">
        <v>20</v>
      </c>
      <c r="I670" s="8" t="s">
        <v>539</v>
      </c>
      <c r="J670" s="8" t="str">
        <f>""</f>
        <v/>
      </c>
      <c r="K670" s="8" t="str">
        <f>"PFES1162671309_0001"</f>
        <v>PFES1162671309_0001</v>
      </c>
      <c r="L670" s="8">
        <v>1</v>
      </c>
      <c r="M670" s="8">
        <v>1</v>
      </c>
    </row>
    <row r="671" spans="1:13">
      <c r="A671" s="6">
        <v>43502</v>
      </c>
      <c r="B671" s="7">
        <v>0.53472222222222221</v>
      </c>
      <c r="C671" s="8" t="str">
        <f>"FES1162671399"</f>
        <v>FES1162671399</v>
      </c>
      <c r="D671" s="8" t="s">
        <v>18</v>
      </c>
      <c r="E671" s="8" t="s">
        <v>358</v>
      </c>
      <c r="F671" s="8" t="str">
        <f>"2170672769 "</f>
        <v xml:space="preserve">2170672769 </v>
      </c>
      <c r="G671" s="8" t="str">
        <f t="shared" si="21"/>
        <v>ON1</v>
      </c>
      <c r="H671" s="8" t="s">
        <v>20</v>
      </c>
      <c r="I671" s="8" t="s">
        <v>359</v>
      </c>
      <c r="J671" s="8" t="str">
        <f>""</f>
        <v/>
      </c>
      <c r="K671" s="8" t="str">
        <f>"PFES1162671399_0001"</f>
        <v>PFES1162671399_0001</v>
      </c>
      <c r="L671" s="8">
        <v>1</v>
      </c>
      <c r="M671" s="8">
        <v>1</v>
      </c>
    </row>
    <row r="672" spans="1:13">
      <c r="A672" s="6">
        <v>43502</v>
      </c>
      <c r="B672" s="7">
        <v>0.53263888888888888</v>
      </c>
      <c r="C672" s="8" t="str">
        <f>"FES1162671198"</f>
        <v>FES1162671198</v>
      </c>
      <c r="D672" s="8" t="s">
        <v>18</v>
      </c>
      <c r="E672" s="8" t="s">
        <v>447</v>
      </c>
      <c r="F672" s="8" t="str">
        <f>"2170669942 "</f>
        <v xml:space="preserve">2170669942 </v>
      </c>
      <c r="G672" s="8" t="str">
        <f t="shared" si="21"/>
        <v>ON1</v>
      </c>
      <c r="H672" s="8" t="s">
        <v>20</v>
      </c>
      <c r="I672" s="8" t="s">
        <v>182</v>
      </c>
      <c r="J672" s="8" t="str">
        <f>""</f>
        <v/>
      </c>
      <c r="K672" s="8" t="str">
        <f>"PFES1162671198_0001"</f>
        <v>PFES1162671198_0001</v>
      </c>
      <c r="L672" s="8">
        <v>2</v>
      </c>
      <c r="M672" s="8">
        <v>6</v>
      </c>
    </row>
    <row r="673" spans="1:13">
      <c r="A673" s="6">
        <v>43496</v>
      </c>
      <c r="B673" s="7">
        <v>0.66041666666666665</v>
      </c>
      <c r="C673" s="8" t="str">
        <f>"FES1162671198"</f>
        <v>FES1162671198</v>
      </c>
      <c r="D673" s="8" t="s">
        <v>18</v>
      </c>
      <c r="E673" s="8" t="s">
        <v>540</v>
      </c>
      <c r="F673" s="8" t="str">
        <f>"2170672005 "</f>
        <v xml:space="preserve">2170672005 </v>
      </c>
      <c r="G673" s="8" t="str">
        <f t="shared" si="21"/>
        <v>ON1</v>
      </c>
      <c r="H673" s="8" t="s">
        <v>20</v>
      </c>
      <c r="I673" s="8" t="s">
        <v>541</v>
      </c>
      <c r="J673" s="8" t="str">
        <f>""</f>
        <v/>
      </c>
      <c r="K673" s="8" t="str">
        <f>"PFES1162671198_0002"</f>
        <v>PFES1162671198_0002</v>
      </c>
      <c r="L673" s="8">
        <v>1</v>
      </c>
      <c r="M673" s="8">
        <v>1</v>
      </c>
    </row>
    <row r="674" spans="1:13">
      <c r="A674" s="6">
        <v>43502</v>
      </c>
      <c r="B674" s="7">
        <v>0.52916666666666667</v>
      </c>
      <c r="C674" s="8" t="str">
        <f>"FES1162671560"</f>
        <v>FES1162671560</v>
      </c>
      <c r="D674" s="8" t="s">
        <v>18</v>
      </c>
      <c r="E674" s="8" t="s">
        <v>542</v>
      </c>
      <c r="F674" s="8" t="str">
        <f>"2170672694 "</f>
        <v xml:space="preserve">2170672694 </v>
      </c>
      <c r="G674" s="8" t="str">
        <f t="shared" si="21"/>
        <v>ON1</v>
      </c>
      <c r="H674" s="8" t="s">
        <v>20</v>
      </c>
      <c r="I674" s="8" t="s">
        <v>351</v>
      </c>
      <c r="J674" s="8" t="str">
        <f>""</f>
        <v/>
      </c>
      <c r="K674" s="8" t="str">
        <f>"PFES1162671560_0001"</f>
        <v>PFES1162671560_0001</v>
      </c>
      <c r="L674" s="8">
        <v>1</v>
      </c>
      <c r="M674" s="8">
        <v>2</v>
      </c>
    </row>
    <row r="675" spans="1:13">
      <c r="A675" s="6">
        <v>43502</v>
      </c>
      <c r="B675" s="7">
        <v>0.52847222222222223</v>
      </c>
      <c r="C675" s="8" t="str">
        <f>"FES1162671533"</f>
        <v>FES1162671533</v>
      </c>
      <c r="D675" s="8" t="s">
        <v>18</v>
      </c>
      <c r="E675" s="8" t="s">
        <v>132</v>
      </c>
      <c r="F675" s="8" t="str">
        <f>"2170672873 "</f>
        <v xml:space="preserve">2170672873 </v>
      </c>
      <c r="G675" s="8" t="str">
        <f t="shared" si="21"/>
        <v>ON1</v>
      </c>
      <c r="H675" s="8" t="s">
        <v>20</v>
      </c>
      <c r="I675" s="8" t="s">
        <v>133</v>
      </c>
      <c r="J675" s="8" t="str">
        <f>""</f>
        <v/>
      </c>
      <c r="K675" s="8" t="str">
        <f>"PFES1162671533_0001"</f>
        <v>PFES1162671533_0001</v>
      </c>
      <c r="L675" s="8">
        <v>1</v>
      </c>
      <c r="M675" s="8">
        <v>2</v>
      </c>
    </row>
    <row r="676" spans="1:13">
      <c r="A676" s="6">
        <v>43502</v>
      </c>
      <c r="B676" s="7">
        <v>0.52708333333333335</v>
      </c>
      <c r="C676" s="8" t="str">
        <f>"FES1162671525"</f>
        <v>FES1162671525</v>
      </c>
      <c r="D676" s="8" t="s">
        <v>18</v>
      </c>
      <c r="E676" s="8" t="s">
        <v>331</v>
      </c>
      <c r="F676" s="8" t="str">
        <f>"2170653963 "</f>
        <v xml:space="preserve">2170653963 </v>
      </c>
      <c r="G676" s="8" t="str">
        <f t="shared" si="21"/>
        <v>ON1</v>
      </c>
      <c r="H676" s="8" t="s">
        <v>20</v>
      </c>
      <c r="I676" s="8" t="s">
        <v>43</v>
      </c>
      <c r="J676" s="8" t="str">
        <f>""</f>
        <v/>
      </c>
      <c r="K676" s="8" t="str">
        <f>"PFES1162671525_0001"</f>
        <v>PFES1162671525_0001</v>
      </c>
      <c r="L676" s="8">
        <v>1</v>
      </c>
      <c r="M676" s="8">
        <v>6</v>
      </c>
    </row>
    <row r="677" spans="1:13">
      <c r="A677" s="6">
        <v>43502</v>
      </c>
      <c r="B677" s="7">
        <v>0.52500000000000002</v>
      </c>
      <c r="C677" s="8" t="str">
        <f>"FES1162671549"</f>
        <v>FES1162671549</v>
      </c>
      <c r="D677" s="8" t="s">
        <v>18</v>
      </c>
      <c r="E677" s="8" t="s">
        <v>543</v>
      </c>
      <c r="F677" s="8" t="str">
        <f>"2170672896 "</f>
        <v xml:space="preserve">2170672896 </v>
      </c>
      <c r="G677" s="8" t="str">
        <f t="shared" si="21"/>
        <v>ON1</v>
      </c>
      <c r="H677" s="8" t="s">
        <v>20</v>
      </c>
      <c r="I677" s="8" t="s">
        <v>199</v>
      </c>
      <c r="J677" s="8" t="str">
        <f>""</f>
        <v/>
      </c>
      <c r="K677" s="8" t="str">
        <f>"PFES1162671549_0001"</f>
        <v>PFES1162671549_0001</v>
      </c>
      <c r="L677" s="8">
        <v>1</v>
      </c>
      <c r="M677" s="8">
        <v>1</v>
      </c>
    </row>
    <row r="678" spans="1:13">
      <c r="A678" s="6">
        <v>43502</v>
      </c>
      <c r="B678" s="7">
        <v>0.52361111111111114</v>
      </c>
      <c r="C678" s="8" t="str">
        <f>"FES1162671518"</f>
        <v>FES1162671518</v>
      </c>
      <c r="D678" s="8" t="s">
        <v>18</v>
      </c>
      <c r="E678" s="8" t="s">
        <v>148</v>
      </c>
      <c r="F678" s="8" t="str">
        <f>"2170672861 "</f>
        <v xml:space="preserve">2170672861 </v>
      </c>
      <c r="G678" s="8" t="str">
        <f t="shared" si="21"/>
        <v>ON1</v>
      </c>
      <c r="H678" s="8" t="s">
        <v>20</v>
      </c>
      <c r="I678" s="8" t="s">
        <v>149</v>
      </c>
      <c r="J678" s="8" t="str">
        <f>""</f>
        <v/>
      </c>
      <c r="K678" s="8" t="str">
        <f>"PFES1162671518_0001"</f>
        <v>PFES1162671518_0001</v>
      </c>
      <c r="L678" s="8">
        <v>1</v>
      </c>
      <c r="M678" s="8">
        <v>3</v>
      </c>
    </row>
    <row r="679" spans="1:13">
      <c r="A679" s="6">
        <v>43502</v>
      </c>
      <c r="B679" s="7">
        <v>0.5229166666666667</v>
      </c>
      <c r="C679" s="8" t="str">
        <f>"FES1162671531"</f>
        <v>FES1162671531</v>
      </c>
      <c r="D679" s="8" t="s">
        <v>18</v>
      </c>
      <c r="E679" s="8" t="s">
        <v>69</v>
      </c>
      <c r="F679" s="8" t="str">
        <f>"2170672870 "</f>
        <v xml:space="preserve">2170672870 </v>
      </c>
      <c r="G679" s="8" t="str">
        <f t="shared" si="21"/>
        <v>ON1</v>
      </c>
      <c r="H679" s="8" t="s">
        <v>20</v>
      </c>
      <c r="I679" s="8" t="s">
        <v>70</v>
      </c>
      <c r="J679" s="8" t="str">
        <f>""</f>
        <v/>
      </c>
      <c r="K679" s="8" t="str">
        <f>"PFES1162671531_0001"</f>
        <v>PFES1162671531_0001</v>
      </c>
      <c r="L679" s="8">
        <v>1</v>
      </c>
      <c r="M679" s="8">
        <v>1</v>
      </c>
    </row>
    <row r="680" spans="1:13">
      <c r="A680" s="6">
        <v>43502</v>
      </c>
      <c r="B680" s="7">
        <v>0.5229166666666667</v>
      </c>
      <c r="C680" s="8" t="str">
        <f>"FES1162671540"</f>
        <v>FES1162671540</v>
      </c>
      <c r="D680" s="8" t="s">
        <v>18</v>
      </c>
      <c r="E680" s="8" t="s">
        <v>19</v>
      </c>
      <c r="F680" s="8" t="str">
        <f>"2170672883 "</f>
        <v xml:space="preserve">2170672883 </v>
      </c>
      <c r="G680" s="8" t="str">
        <f t="shared" si="21"/>
        <v>ON1</v>
      </c>
      <c r="H680" s="8" t="s">
        <v>20</v>
      </c>
      <c r="I680" s="8" t="s">
        <v>21</v>
      </c>
      <c r="J680" s="8" t="str">
        <f>""</f>
        <v/>
      </c>
      <c r="K680" s="8" t="str">
        <f>"PFES1162671540_0001"</f>
        <v>PFES1162671540_0001</v>
      </c>
      <c r="L680" s="8">
        <v>1</v>
      </c>
      <c r="M680" s="8">
        <v>1</v>
      </c>
    </row>
    <row r="681" spans="1:13">
      <c r="A681" s="6">
        <v>43502</v>
      </c>
      <c r="B681" s="7">
        <v>0.52222222222222225</v>
      </c>
      <c r="C681" s="8" t="str">
        <f>"FES1162671522"</f>
        <v>FES1162671522</v>
      </c>
      <c r="D681" s="8" t="s">
        <v>18</v>
      </c>
      <c r="E681" s="8" t="s">
        <v>148</v>
      </c>
      <c r="F681" s="8" t="str">
        <f>"2170672866 "</f>
        <v xml:space="preserve">2170672866 </v>
      </c>
      <c r="G681" s="8" t="str">
        <f t="shared" si="21"/>
        <v>ON1</v>
      </c>
      <c r="H681" s="8" t="s">
        <v>20</v>
      </c>
      <c r="I681" s="8" t="s">
        <v>149</v>
      </c>
      <c r="J681" s="8" t="str">
        <f>""</f>
        <v/>
      </c>
      <c r="K681" s="8" t="str">
        <f>"PFES1162671522_0001"</f>
        <v>PFES1162671522_0001</v>
      </c>
      <c r="L681" s="8">
        <v>1</v>
      </c>
      <c r="M681" s="8">
        <v>3</v>
      </c>
    </row>
    <row r="682" spans="1:13">
      <c r="A682" s="6">
        <v>43502</v>
      </c>
      <c r="B682" s="7">
        <v>0.52222222222222225</v>
      </c>
      <c r="C682" s="8" t="str">
        <f>"FES1162671546"</f>
        <v>FES1162671546</v>
      </c>
      <c r="D682" s="8" t="s">
        <v>18</v>
      </c>
      <c r="E682" s="8" t="s">
        <v>58</v>
      </c>
      <c r="F682" s="8" t="str">
        <f>"2170672890 "</f>
        <v xml:space="preserve">2170672890 </v>
      </c>
      <c r="G682" s="8" t="str">
        <f t="shared" si="21"/>
        <v>ON1</v>
      </c>
      <c r="H682" s="8" t="s">
        <v>20</v>
      </c>
      <c r="I682" s="8" t="s">
        <v>59</v>
      </c>
      <c r="J682" s="8" t="str">
        <f>""</f>
        <v/>
      </c>
      <c r="K682" s="8" t="str">
        <f>"PFES1162671546_0001"</f>
        <v>PFES1162671546_0001</v>
      </c>
      <c r="L682" s="8">
        <v>1</v>
      </c>
      <c r="M682" s="8">
        <v>1</v>
      </c>
    </row>
    <row r="683" spans="1:13">
      <c r="A683" s="6">
        <v>43502</v>
      </c>
      <c r="B683" s="7">
        <v>0.52222222222222225</v>
      </c>
      <c r="C683" s="8" t="str">
        <f>"FES1162671547"</f>
        <v>FES1162671547</v>
      </c>
      <c r="D683" s="8" t="s">
        <v>18</v>
      </c>
      <c r="E683" s="8" t="s">
        <v>544</v>
      </c>
      <c r="F683" s="8" t="str">
        <f>"2170672892 "</f>
        <v xml:space="preserve">2170672892 </v>
      </c>
      <c r="G683" s="8" t="str">
        <f t="shared" si="21"/>
        <v>ON1</v>
      </c>
      <c r="H683" s="8" t="s">
        <v>20</v>
      </c>
      <c r="I683" s="8" t="s">
        <v>35</v>
      </c>
      <c r="J683" s="8" t="str">
        <f>""</f>
        <v/>
      </c>
      <c r="K683" s="8" t="str">
        <f>"PFES1162671547_0001"</f>
        <v>PFES1162671547_0001</v>
      </c>
      <c r="L683" s="8">
        <v>1</v>
      </c>
      <c r="M683" s="8">
        <v>1</v>
      </c>
    </row>
    <row r="684" spans="1:13">
      <c r="A684" s="6">
        <v>43502</v>
      </c>
      <c r="B684" s="7">
        <v>0.52222222222222225</v>
      </c>
      <c r="C684" s="8" t="str">
        <f>"FES1162671539"</f>
        <v>FES1162671539</v>
      </c>
      <c r="D684" s="8" t="s">
        <v>18</v>
      </c>
      <c r="E684" s="8" t="s">
        <v>545</v>
      </c>
      <c r="F684" s="8" t="str">
        <f>"2170672882 "</f>
        <v xml:space="preserve">2170672882 </v>
      </c>
      <c r="G684" s="8" t="str">
        <f t="shared" ref="G684:G709" si="22">"ON1"</f>
        <v>ON1</v>
      </c>
      <c r="H684" s="8" t="s">
        <v>20</v>
      </c>
      <c r="I684" s="8" t="s">
        <v>143</v>
      </c>
      <c r="J684" s="8" t="str">
        <f>""</f>
        <v/>
      </c>
      <c r="K684" s="8" t="str">
        <f>"PFES1162671539_0001"</f>
        <v>PFES1162671539_0001</v>
      </c>
      <c r="L684" s="8">
        <v>1</v>
      </c>
      <c r="M684" s="8">
        <v>1</v>
      </c>
    </row>
    <row r="685" spans="1:13">
      <c r="A685" s="6">
        <v>43502</v>
      </c>
      <c r="B685" s="7">
        <v>0.52152777777777781</v>
      </c>
      <c r="C685" s="8" t="str">
        <f>"FES1162671550"</f>
        <v>FES1162671550</v>
      </c>
      <c r="D685" s="8" t="s">
        <v>18</v>
      </c>
      <c r="E685" s="8" t="s">
        <v>19</v>
      </c>
      <c r="F685" s="8" t="str">
        <f>"2170672897 "</f>
        <v xml:space="preserve">2170672897 </v>
      </c>
      <c r="G685" s="8" t="str">
        <f t="shared" si="22"/>
        <v>ON1</v>
      </c>
      <c r="H685" s="8" t="s">
        <v>20</v>
      </c>
      <c r="I685" s="8" t="s">
        <v>21</v>
      </c>
      <c r="J685" s="8" t="str">
        <f>""</f>
        <v/>
      </c>
      <c r="K685" s="8" t="str">
        <f>"PFES1162671550_0001"</f>
        <v>PFES1162671550_0001</v>
      </c>
      <c r="L685" s="8">
        <v>1</v>
      </c>
      <c r="M685" s="8">
        <v>1</v>
      </c>
    </row>
    <row r="686" spans="1:13">
      <c r="A686" s="6">
        <v>43502</v>
      </c>
      <c r="B686" s="7">
        <v>0.52152777777777781</v>
      </c>
      <c r="C686" s="8" t="str">
        <f>"FES1162671527"</f>
        <v>FES1162671527</v>
      </c>
      <c r="D686" s="8" t="s">
        <v>18</v>
      </c>
      <c r="E686" s="8" t="s">
        <v>47</v>
      </c>
      <c r="F686" s="8" t="str">
        <f>"2170667066 "</f>
        <v xml:space="preserve">2170667066 </v>
      </c>
      <c r="G686" s="8" t="str">
        <f t="shared" si="22"/>
        <v>ON1</v>
      </c>
      <c r="H686" s="8" t="s">
        <v>20</v>
      </c>
      <c r="I686" s="8" t="s">
        <v>48</v>
      </c>
      <c r="J686" s="8" t="str">
        <f>""</f>
        <v/>
      </c>
      <c r="K686" s="8" t="str">
        <f>"PFES1162671527_0001"</f>
        <v>PFES1162671527_0001</v>
      </c>
      <c r="L686" s="8">
        <v>1</v>
      </c>
      <c r="M686" s="8">
        <v>4</v>
      </c>
    </row>
    <row r="687" spans="1:13">
      <c r="A687" s="6">
        <v>43502</v>
      </c>
      <c r="B687" s="7">
        <v>0.52152777777777781</v>
      </c>
      <c r="C687" s="8" t="str">
        <f>"FES1162671464"</f>
        <v>FES1162671464</v>
      </c>
      <c r="D687" s="8" t="s">
        <v>18</v>
      </c>
      <c r="E687" s="8" t="s">
        <v>178</v>
      </c>
      <c r="F687" s="8" t="str">
        <f>"2170672806 "</f>
        <v xml:space="preserve">2170672806 </v>
      </c>
      <c r="G687" s="8" t="str">
        <f t="shared" si="22"/>
        <v>ON1</v>
      </c>
      <c r="H687" s="8" t="s">
        <v>20</v>
      </c>
      <c r="I687" s="8" t="s">
        <v>31</v>
      </c>
      <c r="J687" s="8" t="str">
        <f>""</f>
        <v/>
      </c>
      <c r="K687" s="8" t="str">
        <f>"PFES1162671464_0001"</f>
        <v>PFES1162671464_0001</v>
      </c>
      <c r="L687" s="8">
        <v>1</v>
      </c>
      <c r="M687" s="8">
        <v>1</v>
      </c>
    </row>
    <row r="688" spans="1:13">
      <c r="A688" s="6">
        <v>43502</v>
      </c>
      <c r="B688" s="7">
        <v>0.52152777777777781</v>
      </c>
      <c r="C688" s="8" t="str">
        <f>"FES1162671524"</f>
        <v>FES1162671524</v>
      </c>
      <c r="D688" s="8" t="s">
        <v>18</v>
      </c>
      <c r="E688" s="8" t="s">
        <v>486</v>
      </c>
      <c r="F688" s="8" t="str">
        <f>"2170672869 "</f>
        <v xml:space="preserve">2170672869 </v>
      </c>
      <c r="G688" s="8" t="str">
        <f t="shared" si="22"/>
        <v>ON1</v>
      </c>
      <c r="H688" s="8" t="s">
        <v>20</v>
      </c>
      <c r="I688" s="8" t="s">
        <v>87</v>
      </c>
      <c r="J688" s="8" t="str">
        <f>""</f>
        <v/>
      </c>
      <c r="K688" s="8" t="str">
        <f>"PFES1162671524_0001"</f>
        <v>PFES1162671524_0001</v>
      </c>
      <c r="L688" s="8">
        <v>1</v>
      </c>
      <c r="M688" s="8">
        <v>1</v>
      </c>
    </row>
    <row r="689" spans="1:13">
      <c r="A689" s="6">
        <v>43502</v>
      </c>
      <c r="B689" s="7">
        <v>0.52083333333333337</v>
      </c>
      <c r="C689" s="8" t="str">
        <f>"FES1162671555"</f>
        <v>FES1162671555</v>
      </c>
      <c r="D689" s="8" t="s">
        <v>18</v>
      </c>
      <c r="E689" s="8" t="s">
        <v>431</v>
      </c>
      <c r="F689" s="8" t="str">
        <f>"2170672891 "</f>
        <v xml:space="preserve">2170672891 </v>
      </c>
      <c r="G689" s="8" t="str">
        <f t="shared" si="22"/>
        <v>ON1</v>
      </c>
      <c r="H689" s="8" t="s">
        <v>20</v>
      </c>
      <c r="I689" s="8" t="s">
        <v>25</v>
      </c>
      <c r="J689" s="8" t="str">
        <f>""</f>
        <v/>
      </c>
      <c r="K689" s="8" t="str">
        <f>"PFES1162671555_0001"</f>
        <v>PFES1162671555_0001</v>
      </c>
      <c r="L689" s="8">
        <v>1</v>
      </c>
      <c r="M689" s="8">
        <v>1</v>
      </c>
    </row>
    <row r="690" spans="1:13">
      <c r="A690" s="6">
        <v>43502</v>
      </c>
      <c r="B690" s="7">
        <v>0.52083333333333337</v>
      </c>
      <c r="C690" s="8" t="str">
        <f>"FES1162671506"</f>
        <v>FES1162671506</v>
      </c>
      <c r="D690" s="8" t="s">
        <v>18</v>
      </c>
      <c r="E690" s="8" t="s">
        <v>385</v>
      </c>
      <c r="F690" s="8" t="str">
        <f>"2170672848 "</f>
        <v xml:space="preserve">2170672848 </v>
      </c>
      <c r="G690" s="8" t="str">
        <f t="shared" si="22"/>
        <v>ON1</v>
      </c>
      <c r="H690" s="8" t="s">
        <v>20</v>
      </c>
      <c r="I690" s="8" t="s">
        <v>158</v>
      </c>
      <c r="J690" s="8" t="str">
        <f>""</f>
        <v/>
      </c>
      <c r="K690" s="8" t="str">
        <f>"PFES1162671506_0001"</f>
        <v>PFES1162671506_0001</v>
      </c>
      <c r="L690" s="8">
        <v>1</v>
      </c>
      <c r="M690" s="8">
        <v>1</v>
      </c>
    </row>
    <row r="691" spans="1:13">
      <c r="A691" s="6">
        <v>43502</v>
      </c>
      <c r="B691" s="7">
        <v>0.52083333333333337</v>
      </c>
      <c r="C691" s="8" t="str">
        <f>"FES1162671545"</f>
        <v>FES1162671545</v>
      </c>
      <c r="D691" s="8" t="s">
        <v>18</v>
      </c>
      <c r="E691" s="8" t="s">
        <v>323</v>
      </c>
      <c r="F691" s="8" t="str">
        <f>"2170672889 "</f>
        <v xml:space="preserve">2170672889 </v>
      </c>
      <c r="G691" s="8" t="str">
        <f t="shared" si="22"/>
        <v>ON1</v>
      </c>
      <c r="H691" s="8" t="s">
        <v>20</v>
      </c>
      <c r="I691" s="8" t="s">
        <v>324</v>
      </c>
      <c r="J691" s="8" t="str">
        <f>""</f>
        <v/>
      </c>
      <c r="K691" s="8" t="str">
        <f>"PFES1162671545_0001"</f>
        <v>PFES1162671545_0001</v>
      </c>
      <c r="L691" s="8">
        <v>1</v>
      </c>
      <c r="M691" s="8">
        <v>1</v>
      </c>
    </row>
    <row r="692" spans="1:13">
      <c r="A692" s="6">
        <v>43502</v>
      </c>
      <c r="B692" s="7">
        <v>0.52013888888888882</v>
      </c>
      <c r="C692" s="8" t="str">
        <f>"FES1162671528"</f>
        <v>FES1162671528</v>
      </c>
      <c r="D692" s="8" t="s">
        <v>18</v>
      </c>
      <c r="E692" s="8" t="s">
        <v>47</v>
      </c>
      <c r="F692" s="8" t="str">
        <f>"2170668211 "</f>
        <v xml:space="preserve">2170668211 </v>
      </c>
      <c r="G692" s="8" t="str">
        <f t="shared" si="22"/>
        <v>ON1</v>
      </c>
      <c r="H692" s="8" t="s">
        <v>20</v>
      </c>
      <c r="I692" s="8" t="s">
        <v>48</v>
      </c>
      <c r="J692" s="8" t="str">
        <f>""</f>
        <v/>
      </c>
      <c r="K692" s="8" t="str">
        <f>"PFES1162671528_0001"</f>
        <v>PFES1162671528_0001</v>
      </c>
      <c r="L692" s="8">
        <v>1</v>
      </c>
      <c r="M692" s="8">
        <v>4</v>
      </c>
    </row>
    <row r="693" spans="1:13">
      <c r="A693" s="6">
        <v>43502</v>
      </c>
      <c r="B693" s="7">
        <v>0.52013888888888882</v>
      </c>
      <c r="C693" s="8" t="str">
        <f>"FES1162671530"</f>
        <v>FES1162671530</v>
      </c>
      <c r="D693" s="8" t="s">
        <v>18</v>
      </c>
      <c r="E693" s="8" t="s">
        <v>546</v>
      </c>
      <c r="F693" s="8" t="str">
        <f>"2170672860 "</f>
        <v xml:space="preserve">2170672860 </v>
      </c>
      <c r="G693" s="8" t="str">
        <f t="shared" si="22"/>
        <v>ON1</v>
      </c>
      <c r="H693" s="8" t="s">
        <v>20</v>
      </c>
      <c r="I693" s="8" t="s">
        <v>96</v>
      </c>
      <c r="J693" s="8" t="str">
        <f>""</f>
        <v/>
      </c>
      <c r="K693" s="8" t="str">
        <f>"PFES1162671530_0001"</f>
        <v>PFES1162671530_0001</v>
      </c>
      <c r="L693" s="8">
        <v>1</v>
      </c>
      <c r="M693" s="8">
        <v>1</v>
      </c>
    </row>
    <row r="694" spans="1:13">
      <c r="A694" s="6">
        <v>43502</v>
      </c>
      <c r="B694" s="7">
        <v>0.52013888888888882</v>
      </c>
      <c r="C694" s="8" t="str">
        <f>"FES1162671424"</f>
        <v>FES1162671424</v>
      </c>
      <c r="D694" s="8" t="s">
        <v>18</v>
      </c>
      <c r="E694" s="8" t="s">
        <v>547</v>
      </c>
      <c r="F694" s="8" t="str">
        <f>"2170671347 "</f>
        <v xml:space="preserve">2170671347 </v>
      </c>
      <c r="G694" s="8" t="str">
        <f t="shared" si="22"/>
        <v>ON1</v>
      </c>
      <c r="H694" s="8" t="s">
        <v>20</v>
      </c>
      <c r="I694" s="8" t="s">
        <v>548</v>
      </c>
      <c r="J694" s="8" t="str">
        <f>""</f>
        <v/>
      </c>
      <c r="K694" s="8" t="str">
        <f>"PFES1162671424_0001"</f>
        <v>PFES1162671424_0001</v>
      </c>
      <c r="L694" s="8">
        <v>1</v>
      </c>
      <c r="M694" s="8">
        <v>1</v>
      </c>
    </row>
    <row r="695" spans="1:13">
      <c r="A695" s="6">
        <v>43502</v>
      </c>
      <c r="B695" s="7">
        <v>0.51944444444444449</v>
      </c>
      <c r="C695" s="8" t="str">
        <f>"FES1162671507"</f>
        <v>FES1162671507</v>
      </c>
      <c r="D695" s="8" t="s">
        <v>18</v>
      </c>
      <c r="E695" s="8" t="s">
        <v>138</v>
      </c>
      <c r="F695" s="8" t="str">
        <f>"2170672849 "</f>
        <v xml:space="preserve">2170672849 </v>
      </c>
      <c r="G695" s="8" t="str">
        <f t="shared" si="22"/>
        <v>ON1</v>
      </c>
      <c r="H695" s="8" t="s">
        <v>20</v>
      </c>
      <c r="I695" s="8" t="s">
        <v>139</v>
      </c>
      <c r="J695" s="8" t="str">
        <f>""</f>
        <v/>
      </c>
      <c r="K695" s="8" t="str">
        <f>"PFES1162671507_0001"</f>
        <v>PFES1162671507_0001</v>
      </c>
      <c r="L695" s="8">
        <v>1</v>
      </c>
      <c r="M695" s="8">
        <v>1</v>
      </c>
    </row>
    <row r="696" spans="1:13">
      <c r="A696" s="6">
        <v>43502</v>
      </c>
      <c r="B696" s="7">
        <v>0.51944444444444449</v>
      </c>
      <c r="C696" s="8" t="str">
        <f>"FES1162671416"</f>
        <v>FES1162671416</v>
      </c>
      <c r="D696" s="8" t="s">
        <v>18</v>
      </c>
      <c r="E696" s="8" t="s">
        <v>549</v>
      </c>
      <c r="F696" s="8" t="str">
        <f>"2170669241 "</f>
        <v xml:space="preserve">2170669241 </v>
      </c>
      <c r="G696" s="8" t="str">
        <f t="shared" si="22"/>
        <v>ON1</v>
      </c>
      <c r="H696" s="8" t="s">
        <v>20</v>
      </c>
      <c r="I696" s="8" t="s">
        <v>130</v>
      </c>
      <c r="J696" s="8" t="str">
        <f>""</f>
        <v/>
      </c>
      <c r="K696" s="8" t="str">
        <f>"PFES1162671416_0001"</f>
        <v>PFES1162671416_0001</v>
      </c>
      <c r="L696" s="8">
        <v>1</v>
      </c>
      <c r="M696" s="8">
        <v>4</v>
      </c>
    </row>
    <row r="697" spans="1:13">
      <c r="A697" s="6">
        <v>43502</v>
      </c>
      <c r="B697" s="7">
        <v>0.51944444444444449</v>
      </c>
      <c r="C697" s="8" t="str">
        <f>"FES1162671465"</f>
        <v>FES1162671465</v>
      </c>
      <c r="D697" s="8" t="s">
        <v>18</v>
      </c>
      <c r="E697" s="8" t="s">
        <v>550</v>
      </c>
      <c r="F697" s="8" t="str">
        <f>"2170672807 "</f>
        <v xml:space="preserve">2170672807 </v>
      </c>
      <c r="G697" s="8" t="str">
        <f t="shared" si="22"/>
        <v>ON1</v>
      </c>
      <c r="H697" s="8" t="s">
        <v>20</v>
      </c>
      <c r="I697" s="8" t="s">
        <v>213</v>
      </c>
      <c r="J697" s="8" t="str">
        <f>""</f>
        <v/>
      </c>
      <c r="K697" s="8" t="str">
        <f>"PFES1162671465_0001"</f>
        <v>PFES1162671465_0001</v>
      </c>
      <c r="L697" s="8">
        <v>1</v>
      </c>
      <c r="M697" s="8">
        <v>1</v>
      </c>
    </row>
    <row r="698" spans="1:13">
      <c r="A698" s="6">
        <v>43502</v>
      </c>
      <c r="B698" s="7">
        <v>0.51944444444444449</v>
      </c>
      <c r="C698" s="8" t="str">
        <f>"FES1162671455"</f>
        <v>FES1162671455</v>
      </c>
      <c r="D698" s="8" t="s">
        <v>18</v>
      </c>
      <c r="E698" s="8" t="s">
        <v>551</v>
      </c>
      <c r="F698" s="8" t="str">
        <f>"2170672797 "</f>
        <v xml:space="preserve">2170672797 </v>
      </c>
      <c r="G698" s="8" t="str">
        <f t="shared" si="22"/>
        <v>ON1</v>
      </c>
      <c r="H698" s="8" t="s">
        <v>20</v>
      </c>
      <c r="I698" s="8" t="s">
        <v>552</v>
      </c>
      <c r="J698" s="8" t="str">
        <f>""</f>
        <v/>
      </c>
      <c r="K698" s="8" t="str">
        <f>"PFES1162671455_0001"</f>
        <v>PFES1162671455_0001</v>
      </c>
      <c r="L698" s="8">
        <v>1</v>
      </c>
      <c r="M698" s="8">
        <v>1</v>
      </c>
    </row>
    <row r="699" spans="1:13">
      <c r="A699" s="6">
        <v>43502</v>
      </c>
      <c r="B699" s="7">
        <v>0.51874999999999993</v>
      </c>
      <c r="C699" s="8" t="str">
        <f>"FES1162671548"</f>
        <v>FES1162671548</v>
      </c>
      <c r="D699" s="8" t="s">
        <v>18</v>
      </c>
      <c r="E699" s="8" t="s">
        <v>553</v>
      </c>
      <c r="F699" s="8" t="str">
        <f>"2170672894 "</f>
        <v xml:space="preserve">2170672894 </v>
      </c>
      <c r="G699" s="8" t="str">
        <f t="shared" si="22"/>
        <v>ON1</v>
      </c>
      <c r="H699" s="8" t="s">
        <v>20</v>
      </c>
      <c r="I699" s="8" t="s">
        <v>121</v>
      </c>
      <c r="J699" s="8" t="str">
        <f>""</f>
        <v/>
      </c>
      <c r="K699" s="8" t="str">
        <f>"PFES1162671548_0001"</f>
        <v>PFES1162671548_0001</v>
      </c>
      <c r="L699" s="8">
        <v>1</v>
      </c>
      <c r="M699" s="8">
        <v>1</v>
      </c>
    </row>
    <row r="700" spans="1:13">
      <c r="A700" s="6">
        <v>43502</v>
      </c>
      <c r="B700" s="7">
        <v>0.51874999999999993</v>
      </c>
      <c r="C700" s="8" t="str">
        <f>"FES1162671532"</f>
        <v>FES1162671532</v>
      </c>
      <c r="D700" s="8" t="s">
        <v>18</v>
      </c>
      <c r="E700" s="8" t="s">
        <v>554</v>
      </c>
      <c r="F700" s="8" t="str">
        <f>"2170672871 "</f>
        <v xml:space="preserve">2170672871 </v>
      </c>
      <c r="G700" s="8" t="str">
        <f t="shared" si="22"/>
        <v>ON1</v>
      </c>
      <c r="H700" s="8" t="s">
        <v>20</v>
      </c>
      <c r="I700" s="8" t="s">
        <v>555</v>
      </c>
      <c r="J700" s="8" t="str">
        <f>""</f>
        <v/>
      </c>
      <c r="K700" s="8" t="str">
        <f>"PFES1162671532_0001"</f>
        <v>PFES1162671532_0001</v>
      </c>
      <c r="L700" s="8">
        <v>1</v>
      </c>
      <c r="M700" s="8">
        <v>1</v>
      </c>
    </row>
    <row r="701" spans="1:13">
      <c r="A701" s="6">
        <v>43502</v>
      </c>
      <c r="B701" s="7">
        <v>0.51874999999999993</v>
      </c>
      <c r="C701" s="8" t="str">
        <f>"FES1162671558"</f>
        <v>FES1162671558</v>
      </c>
      <c r="D701" s="8" t="s">
        <v>18</v>
      </c>
      <c r="E701" s="8" t="s">
        <v>120</v>
      </c>
      <c r="F701" s="8" t="str">
        <f>"2170672905 "</f>
        <v xml:space="preserve">2170672905 </v>
      </c>
      <c r="G701" s="8" t="str">
        <f t="shared" si="22"/>
        <v>ON1</v>
      </c>
      <c r="H701" s="8" t="s">
        <v>20</v>
      </c>
      <c r="I701" s="8" t="s">
        <v>121</v>
      </c>
      <c r="J701" s="8" t="str">
        <f>""</f>
        <v/>
      </c>
      <c r="K701" s="8" t="str">
        <f>"PFES1162671558_0001"</f>
        <v>PFES1162671558_0001</v>
      </c>
      <c r="L701" s="8">
        <v>1</v>
      </c>
      <c r="M701" s="8">
        <v>1</v>
      </c>
    </row>
    <row r="702" spans="1:13">
      <c r="A702" s="6">
        <v>43502</v>
      </c>
      <c r="B702" s="7">
        <v>0.5180555555555556</v>
      </c>
      <c r="C702" s="8" t="str">
        <f>"FES1162671413"</f>
        <v>FES1162671413</v>
      </c>
      <c r="D702" s="8" t="s">
        <v>18</v>
      </c>
      <c r="E702" s="8" t="s">
        <v>47</v>
      </c>
      <c r="F702" s="8" t="str">
        <f>"2170667217 "</f>
        <v xml:space="preserve">2170667217 </v>
      </c>
      <c r="G702" s="8" t="str">
        <f t="shared" si="22"/>
        <v>ON1</v>
      </c>
      <c r="H702" s="8" t="s">
        <v>20</v>
      </c>
      <c r="I702" s="8" t="s">
        <v>48</v>
      </c>
      <c r="J702" s="8" t="str">
        <f>""</f>
        <v/>
      </c>
      <c r="K702" s="8" t="str">
        <f>"PFES1162671413_0001"</f>
        <v>PFES1162671413_0001</v>
      </c>
      <c r="L702" s="8">
        <v>1</v>
      </c>
      <c r="M702" s="8">
        <v>3</v>
      </c>
    </row>
    <row r="703" spans="1:13">
      <c r="A703" s="6">
        <v>43502</v>
      </c>
      <c r="B703" s="7">
        <v>0.5180555555555556</v>
      </c>
      <c r="C703" s="8" t="str">
        <f>"FES1162671466"</f>
        <v>FES1162671466</v>
      </c>
      <c r="D703" s="8" t="s">
        <v>18</v>
      </c>
      <c r="E703" s="8" t="s">
        <v>550</v>
      </c>
      <c r="F703" s="8" t="str">
        <f>"2170672808 "</f>
        <v xml:space="preserve">2170672808 </v>
      </c>
      <c r="G703" s="8" t="str">
        <f t="shared" si="22"/>
        <v>ON1</v>
      </c>
      <c r="H703" s="8" t="s">
        <v>20</v>
      </c>
      <c r="I703" s="8" t="s">
        <v>213</v>
      </c>
      <c r="J703" s="8" t="str">
        <f>""</f>
        <v/>
      </c>
      <c r="K703" s="8" t="str">
        <f>"PFES1162671466_0001"</f>
        <v>PFES1162671466_0001</v>
      </c>
      <c r="L703" s="8">
        <v>1</v>
      </c>
      <c r="M703" s="8">
        <v>1</v>
      </c>
    </row>
    <row r="704" spans="1:13">
      <c r="A704" s="6">
        <v>43502</v>
      </c>
      <c r="B704" s="7">
        <v>0.5180555555555556</v>
      </c>
      <c r="C704" s="8" t="str">
        <f>"FES1162671552"</f>
        <v>FES1162671552</v>
      </c>
      <c r="D704" s="8" t="s">
        <v>18</v>
      </c>
      <c r="E704" s="8" t="s">
        <v>120</v>
      </c>
      <c r="F704" s="8" t="str">
        <f>"2170672899 "</f>
        <v xml:space="preserve">2170672899 </v>
      </c>
      <c r="G704" s="8" t="str">
        <f t="shared" si="22"/>
        <v>ON1</v>
      </c>
      <c r="H704" s="8" t="s">
        <v>20</v>
      </c>
      <c r="I704" s="8" t="s">
        <v>121</v>
      </c>
      <c r="J704" s="8" t="str">
        <f>""</f>
        <v/>
      </c>
      <c r="K704" s="8" t="str">
        <f>"PFES1162671552_0001"</f>
        <v>PFES1162671552_0001</v>
      </c>
      <c r="L704" s="8">
        <v>1</v>
      </c>
      <c r="M704" s="8">
        <v>1</v>
      </c>
    </row>
    <row r="705" spans="1:13">
      <c r="A705" s="6">
        <v>43502</v>
      </c>
      <c r="B705" s="7">
        <v>0.51736111111111105</v>
      </c>
      <c r="C705" s="8" t="str">
        <f>"FES1162671489"</f>
        <v>FES1162671489</v>
      </c>
      <c r="D705" s="8" t="s">
        <v>18</v>
      </c>
      <c r="E705" s="8" t="s">
        <v>556</v>
      </c>
      <c r="F705" s="8" t="str">
        <f>"2170672404 "</f>
        <v xml:space="preserve">2170672404 </v>
      </c>
      <c r="G705" s="8" t="str">
        <f t="shared" si="22"/>
        <v>ON1</v>
      </c>
      <c r="H705" s="8" t="s">
        <v>20</v>
      </c>
      <c r="I705" s="8" t="s">
        <v>435</v>
      </c>
      <c r="J705" s="8" t="str">
        <f>""</f>
        <v/>
      </c>
      <c r="K705" s="8" t="str">
        <f>"PFES1162671489_0001"</f>
        <v>PFES1162671489_0001</v>
      </c>
      <c r="L705" s="8">
        <v>1</v>
      </c>
      <c r="M705" s="8">
        <v>1</v>
      </c>
    </row>
    <row r="706" spans="1:13">
      <c r="A706" s="6">
        <v>43502</v>
      </c>
      <c r="B706" s="7">
        <v>0.51736111111111105</v>
      </c>
      <c r="C706" s="8" t="str">
        <f>"FES1162671492"</f>
        <v>FES1162671492</v>
      </c>
      <c r="D706" s="8" t="s">
        <v>18</v>
      </c>
      <c r="E706" s="8" t="s">
        <v>136</v>
      </c>
      <c r="F706" s="8" t="str">
        <f>"2170672836 "</f>
        <v xml:space="preserve">2170672836 </v>
      </c>
      <c r="G706" s="8" t="str">
        <f t="shared" si="22"/>
        <v>ON1</v>
      </c>
      <c r="H706" s="8" t="s">
        <v>20</v>
      </c>
      <c r="I706" s="8" t="s">
        <v>137</v>
      </c>
      <c r="J706" s="8" t="str">
        <f>""</f>
        <v/>
      </c>
      <c r="K706" s="8" t="str">
        <f>"PFES1162671492_0001"</f>
        <v>PFES1162671492_0001</v>
      </c>
      <c r="L706" s="8">
        <v>1</v>
      </c>
      <c r="M706" s="8">
        <v>1</v>
      </c>
    </row>
    <row r="707" spans="1:13">
      <c r="A707" s="6">
        <v>43502</v>
      </c>
      <c r="B707" s="7">
        <v>0.51666666666666672</v>
      </c>
      <c r="C707" s="8" t="str">
        <f>"FES1162671441"</f>
        <v>FES1162671441</v>
      </c>
      <c r="D707" s="8" t="s">
        <v>18</v>
      </c>
      <c r="E707" s="8" t="s">
        <v>185</v>
      </c>
      <c r="F707" s="8" t="str">
        <f>"2170672656 "</f>
        <v xml:space="preserve">2170672656 </v>
      </c>
      <c r="G707" s="8" t="str">
        <f t="shared" si="22"/>
        <v>ON1</v>
      </c>
      <c r="H707" s="8" t="s">
        <v>20</v>
      </c>
      <c r="I707" s="8" t="s">
        <v>93</v>
      </c>
      <c r="J707" s="8" t="str">
        <f>""</f>
        <v/>
      </c>
      <c r="K707" s="8" t="str">
        <f>"PFES1162671441_0001"</f>
        <v>PFES1162671441_0001</v>
      </c>
      <c r="L707" s="8">
        <v>3</v>
      </c>
      <c r="M707" s="8">
        <v>15</v>
      </c>
    </row>
    <row r="708" spans="1:13">
      <c r="A708" s="6">
        <v>43502</v>
      </c>
      <c r="B708" s="7">
        <v>0.51666666666666672</v>
      </c>
      <c r="C708" s="8" t="str">
        <f>"FES1162671441"</f>
        <v>FES1162671441</v>
      </c>
      <c r="D708" s="8" t="s">
        <v>18</v>
      </c>
      <c r="E708" s="8" t="s">
        <v>185</v>
      </c>
      <c r="F708" s="8" t="str">
        <f t="shared" ref="F708:F709" si="23">"2170672656 "</f>
        <v xml:space="preserve">2170672656 </v>
      </c>
      <c r="G708" s="8" t="str">
        <f t="shared" si="22"/>
        <v>ON1</v>
      </c>
      <c r="H708" s="8" t="s">
        <v>20</v>
      </c>
      <c r="I708" s="8" t="s">
        <v>93</v>
      </c>
      <c r="J708" s="8"/>
      <c r="K708" s="8" t="str">
        <f>"PFES1162671441_0002"</f>
        <v>PFES1162671441_0002</v>
      </c>
      <c r="L708" s="8">
        <v>3</v>
      </c>
      <c r="M708" s="8">
        <v>15</v>
      </c>
    </row>
    <row r="709" spans="1:13">
      <c r="A709" s="6">
        <v>43502</v>
      </c>
      <c r="B709" s="7">
        <v>0.51666666666666672</v>
      </c>
      <c r="C709" s="8" t="str">
        <f>"FES1162671441"</f>
        <v>FES1162671441</v>
      </c>
      <c r="D709" s="8" t="s">
        <v>18</v>
      </c>
      <c r="E709" s="8" t="s">
        <v>185</v>
      </c>
      <c r="F709" s="8" t="str">
        <f t="shared" si="23"/>
        <v xml:space="preserve">2170672656 </v>
      </c>
      <c r="G709" s="8" t="str">
        <f t="shared" si="22"/>
        <v>ON1</v>
      </c>
      <c r="H709" s="8" t="s">
        <v>20</v>
      </c>
      <c r="I709" s="8" t="s">
        <v>93</v>
      </c>
      <c r="J709" s="8"/>
      <c r="K709" s="8" t="str">
        <f>"PFES1162671441_0003"</f>
        <v>PFES1162671441_0003</v>
      </c>
      <c r="L709" s="8">
        <v>3</v>
      </c>
      <c r="M709" s="8">
        <v>15</v>
      </c>
    </row>
    <row r="710" spans="1:13">
      <c r="A710" s="6">
        <v>43502</v>
      </c>
      <c r="B710" s="7">
        <v>0.51527777777777783</v>
      </c>
      <c r="C710" s="8" t="str">
        <f>"FES1162671440"</f>
        <v>FES1162671440</v>
      </c>
      <c r="D710" s="8" t="s">
        <v>18</v>
      </c>
      <c r="E710" s="8" t="s">
        <v>358</v>
      </c>
      <c r="F710" s="8" t="str">
        <f>"2170672643 "</f>
        <v xml:space="preserve">2170672643 </v>
      </c>
      <c r="G710" s="8" t="str">
        <f>"ON1"</f>
        <v>ON1</v>
      </c>
      <c r="H710" s="8" t="s">
        <v>20</v>
      </c>
      <c r="I710" s="8" t="s">
        <v>359</v>
      </c>
      <c r="J710" s="8" t="str">
        <f>""</f>
        <v/>
      </c>
      <c r="K710" s="8" t="str">
        <f>"PFES1162671440_0001"</f>
        <v>PFES1162671440_0001</v>
      </c>
      <c r="L710" s="8">
        <v>1</v>
      </c>
      <c r="M710" s="8">
        <v>1</v>
      </c>
    </row>
    <row r="711" spans="1:13">
      <c r="A711" s="6">
        <v>43502</v>
      </c>
      <c r="B711" s="7">
        <v>0.51388888888888895</v>
      </c>
      <c r="C711" s="8" t="str">
        <f>"FES1162671461"</f>
        <v>FES1162671461</v>
      </c>
      <c r="D711" s="8" t="s">
        <v>18</v>
      </c>
      <c r="E711" s="8" t="s">
        <v>150</v>
      </c>
      <c r="F711" s="8" t="str">
        <f>"2170672803 "</f>
        <v xml:space="preserve">2170672803 </v>
      </c>
      <c r="G711" s="8" t="str">
        <f>"ON1"</f>
        <v>ON1</v>
      </c>
      <c r="H711" s="8" t="s">
        <v>20</v>
      </c>
      <c r="I711" s="8" t="s">
        <v>137</v>
      </c>
      <c r="J711" s="8" t="str">
        <f>""</f>
        <v/>
      </c>
      <c r="K711" s="8" t="str">
        <f>"PFES1162671461_0001"</f>
        <v>PFES1162671461_0001</v>
      </c>
      <c r="L711" s="8">
        <v>1</v>
      </c>
      <c r="M711" s="8">
        <v>7</v>
      </c>
    </row>
    <row r="712" spans="1:13">
      <c r="A712" s="6">
        <v>43502</v>
      </c>
      <c r="B712" s="7">
        <v>0.51250000000000007</v>
      </c>
      <c r="C712" s="8" t="str">
        <f>"FES1162671403"</f>
        <v>FES1162671403</v>
      </c>
      <c r="D712" s="8" t="s">
        <v>18</v>
      </c>
      <c r="E712" s="8" t="s">
        <v>47</v>
      </c>
      <c r="F712" s="8" t="str">
        <f>"2170668933 "</f>
        <v xml:space="preserve">2170668933 </v>
      </c>
      <c r="G712" s="8" t="str">
        <f>"ON1"</f>
        <v>ON1</v>
      </c>
      <c r="H712" s="8" t="s">
        <v>20</v>
      </c>
      <c r="I712" s="8" t="s">
        <v>48</v>
      </c>
      <c r="J712" s="8" t="str">
        <f>""</f>
        <v/>
      </c>
      <c r="K712" s="8" t="str">
        <f>"PFES1162671403_0001"</f>
        <v>PFES1162671403_0001</v>
      </c>
      <c r="L712" s="8">
        <v>2</v>
      </c>
      <c r="M712" s="8">
        <v>14</v>
      </c>
    </row>
    <row r="713" spans="1:13">
      <c r="A713" s="6">
        <v>43502</v>
      </c>
      <c r="B713" s="7">
        <v>0.51250000000000007</v>
      </c>
      <c r="C713" s="8" t="str">
        <f>"FES1162671403"</f>
        <v>FES1162671403</v>
      </c>
      <c r="D713" s="8" t="s">
        <v>18</v>
      </c>
      <c r="E713" s="8" t="s">
        <v>47</v>
      </c>
      <c r="F713" s="8" t="str">
        <f>"2170668933 "</f>
        <v xml:space="preserve">2170668933 </v>
      </c>
      <c r="G713" s="8" t="str">
        <f>"ON1"</f>
        <v>ON1</v>
      </c>
      <c r="H713" s="8" t="s">
        <v>20</v>
      </c>
      <c r="I713" s="8" t="s">
        <v>48</v>
      </c>
      <c r="J713" s="8"/>
      <c r="K713" s="8" t="str">
        <f>"PFES1162671403_0002"</f>
        <v>PFES1162671403_0002</v>
      </c>
      <c r="L713" s="8">
        <v>2</v>
      </c>
      <c r="M713" s="8">
        <v>14</v>
      </c>
    </row>
    <row r="714" spans="1:13">
      <c r="A714" s="6">
        <v>43502</v>
      </c>
      <c r="B714" s="7">
        <v>0.51180555555555551</v>
      </c>
      <c r="C714" s="8" t="str">
        <f>"FES1162671400"</f>
        <v>FES1162671400</v>
      </c>
      <c r="D714" s="8" t="s">
        <v>18</v>
      </c>
      <c r="E714" s="8" t="s">
        <v>557</v>
      </c>
      <c r="F714" s="8" t="str">
        <f>"2170672770 "</f>
        <v xml:space="preserve">2170672770 </v>
      </c>
      <c r="G714" s="8" t="str">
        <f t="shared" ref="G714:G777" si="24">"ON1"</f>
        <v>ON1</v>
      </c>
      <c r="H714" s="8" t="s">
        <v>20</v>
      </c>
      <c r="I714" s="8" t="s">
        <v>558</v>
      </c>
      <c r="J714" s="8" t="str">
        <f>""</f>
        <v/>
      </c>
      <c r="K714" s="8" t="str">
        <f>"PFES1162671400_0001"</f>
        <v>PFES1162671400_0001</v>
      </c>
      <c r="L714" s="8">
        <v>1</v>
      </c>
      <c r="M714" s="8">
        <v>3</v>
      </c>
    </row>
    <row r="715" spans="1:13">
      <c r="A715" s="6">
        <v>43502</v>
      </c>
      <c r="B715" s="7">
        <v>0.51111111111111118</v>
      </c>
      <c r="C715" s="8" t="str">
        <f>"FES1162671428"</f>
        <v>FES1162671428</v>
      </c>
      <c r="D715" s="8" t="s">
        <v>18</v>
      </c>
      <c r="E715" s="8" t="s">
        <v>245</v>
      </c>
      <c r="F715" s="8" t="str">
        <f>"2170671588 "</f>
        <v xml:space="preserve">2170671588 </v>
      </c>
      <c r="G715" s="8" t="str">
        <f t="shared" si="24"/>
        <v>ON1</v>
      </c>
      <c r="H715" s="8" t="s">
        <v>20</v>
      </c>
      <c r="I715" s="8" t="s">
        <v>89</v>
      </c>
      <c r="J715" s="8" t="str">
        <f>""</f>
        <v/>
      </c>
      <c r="K715" s="8" t="str">
        <f>"PFES1162671428_0001"</f>
        <v>PFES1162671428_0001</v>
      </c>
      <c r="L715" s="8">
        <v>1</v>
      </c>
      <c r="M715" s="8">
        <v>5</v>
      </c>
    </row>
    <row r="716" spans="1:13">
      <c r="A716" s="6">
        <v>43502</v>
      </c>
      <c r="B716" s="7">
        <v>0.50972222222222219</v>
      </c>
      <c r="C716" s="8" t="str">
        <f>"FES1162671410"</f>
        <v>FES1162671410</v>
      </c>
      <c r="D716" s="8" t="s">
        <v>18</v>
      </c>
      <c r="E716" s="8" t="s">
        <v>559</v>
      </c>
      <c r="F716" s="8" t="str">
        <f>"2170672778 "</f>
        <v xml:space="preserve">2170672778 </v>
      </c>
      <c r="G716" s="8" t="str">
        <f t="shared" si="24"/>
        <v>ON1</v>
      </c>
      <c r="H716" s="8" t="s">
        <v>20</v>
      </c>
      <c r="I716" s="8" t="s">
        <v>513</v>
      </c>
      <c r="J716" s="8" t="str">
        <f>""</f>
        <v/>
      </c>
      <c r="K716" s="8" t="str">
        <f>"PFES1162671410_0001"</f>
        <v>PFES1162671410_0001</v>
      </c>
      <c r="L716" s="8">
        <v>1</v>
      </c>
      <c r="M716" s="8">
        <v>2</v>
      </c>
    </row>
    <row r="717" spans="1:13">
      <c r="A717" s="6">
        <v>43502</v>
      </c>
      <c r="B717" s="7">
        <v>0.5083333333333333</v>
      </c>
      <c r="C717" s="8" t="str">
        <f>"FES1162671402"</f>
        <v>FES1162671402</v>
      </c>
      <c r="D717" s="8" t="s">
        <v>18</v>
      </c>
      <c r="E717" s="8" t="s">
        <v>132</v>
      </c>
      <c r="F717" s="8" t="str">
        <f>"2170669733 "</f>
        <v xml:space="preserve">2170669733 </v>
      </c>
      <c r="G717" s="8" t="str">
        <f t="shared" si="24"/>
        <v>ON1</v>
      </c>
      <c r="H717" s="8" t="s">
        <v>20</v>
      </c>
      <c r="I717" s="8" t="s">
        <v>133</v>
      </c>
      <c r="J717" s="8" t="str">
        <f>""</f>
        <v/>
      </c>
      <c r="K717" s="8" t="str">
        <f>"PFES1162671402_0001"</f>
        <v>PFES1162671402_0001</v>
      </c>
      <c r="L717" s="8">
        <v>1</v>
      </c>
      <c r="M717" s="8">
        <v>10</v>
      </c>
    </row>
    <row r="718" spans="1:13">
      <c r="A718" s="6">
        <v>43502</v>
      </c>
      <c r="B718" s="7">
        <v>0.50694444444444442</v>
      </c>
      <c r="C718" s="8" t="str">
        <f>"FES1162671405"</f>
        <v>FES1162671405</v>
      </c>
      <c r="D718" s="8" t="s">
        <v>18</v>
      </c>
      <c r="E718" s="8" t="s">
        <v>47</v>
      </c>
      <c r="F718" s="8" t="str">
        <f>"2170669896 "</f>
        <v xml:space="preserve">2170669896 </v>
      </c>
      <c r="G718" s="8" t="str">
        <f t="shared" si="24"/>
        <v>ON1</v>
      </c>
      <c r="H718" s="8" t="s">
        <v>20</v>
      </c>
      <c r="I718" s="8" t="s">
        <v>48</v>
      </c>
      <c r="J718" s="8" t="str">
        <f>""</f>
        <v/>
      </c>
      <c r="K718" s="8" t="str">
        <f>"PFES1162671405_0001"</f>
        <v>PFES1162671405_0001</v>
      </c>
      <c r="L718" s="8">
        <v>1</v>
      </c>
      <c r="M718" s="8">
        <v>1</v>
      </c>
    </row>
    <row r="719" spans="1:13">
      <c r="A719" s="6">
        <v>43502</v>
      </c>
      <c r="B719" s="7">
        <v>0.50694444444444442</v>
      </c>
      <c r="C719" s="8" t="str">
        <f>"FES1162671449"</f>
        <v>FES1162671449</v>
      </c>
      <c r="D719" s="8" t="s">
        <v>18</v>
      </c>
      <c r="E719" s="8" t="s">
        <v>560</v>
      </c>
      <c r="F719" s="8" t="str">
        <f>"2170672786 "</f>
        <v xml:space="preserve">2170672786 </v>
      </c>
      <c r="G719" s="8" t="str">
        <f t="shared" si="24"/>
        <v>ON1</v>
      </c>
      <c r="H719" s="8" t="s">
        <v>20</v>
      </c>
      <c r="I719" s="8" t="s">
        <v>561</v>
      </c>
      <c r="J719" s="8" t="str">
        <f>""</f>
        <v/>
      </c>
      <c r="K719" s="8" t="str">
        <f>"PFES1162671449_0001"</f>
        <v>PFES1162671449_0001</v>
      </c>
      <c r="L719" s="8">
        <v>1</v>
      </c>
      <c r="M719" s="8">
        <v>3</v>
      </c>
    </row>
    <row r="720" spans="1:13">
      <c r="A720" s="6">
        <v>43502</v>
      </c>
      <c r="B720" s="7">
        <v>0.50694444444444442</v>
      </c>
      <c r="C720" s="8" t="str">
        <f>"FES1162671458"</f>
        <v>FES1162671458</v>
      </c>
      <c r="D720" s="8" t="s">
        <v>18</v>
      </c>
      <c r="E720" s="8" t="s">
        <v>240</v>
      </c>
      <c r="F720" s="8" t="str">
        <f>"2170672800 "</f>
        <v xml:space="preserve">2170672800 </v>
      </c>
      <c r="G720" s="8" t="str">
        <f t="shared" si="24"/>
        <v>ON1</v>
      </c>
      <c r="H720" s="8" t="s">
        <v>20</v>
      </c>
      <c r="I720" s="8" t="s">
        <v>161</v>
      </c>
      <c r="J720" s="8" t="str">
        <f>""</f>
        <v/>
      </c>
      <c r="K720" s="8" t="str">
        <f>"PFES1162671458_0001"</f>
        <v>PFES1162671458_0001</v>
      </c>
      <c r="L720" s="8">
        <v>1</v>
      </c>
      <c r="M720" s="8">
        <v>1</v>
      </c>
    </row>
    <row r="721" spans="1:13">
      <c r="A721" s="6">
        <v>43502</v>
      </c>
      <c r="B721" s="7">
        <v>0.50694444444444442</v>
      </c>
      <c r="C721" s="8" t="str">
        <f>"FES1162671404"</f>
        <v>FES1162671404</v>
      </c>
      <c r="D721" s="8" t="s">
        <v>18</v>
      </c>
      <c r="E721" s="8" t="s">
        <v>47</v>
      </c>
      <c r="F721" s="8" t="str">
        <f>"21706669144 "</f>
        <v xml:space="preserve">21706669144 </v>
      </c>
      <c r="G721" s="8" t="str">
        <f t="shared" si="24"/>
        <v>ON1</v>
      </c>
      <c r="H721" s="8" t="s">
        <v>20</v>
      </c>
      <c r="I721" s="8" t="s">
        <v>48</v>
      </c>
      <c r="J721" s="8" t="str">
        <f>""</f>
        <v/>
      </c>
      <c r="K721" s="8" t="str">
        <f>"PFES1162671404_0001"</f>
        <v>PFES1162671404_0001</v>
      </c>
      <c r="L721" s="8">
        <v>1</v>
      </c>
      <c r="M721" s="8">
        <v>1</v>
      </c>
    </row>
    <row r="722" spans="1:13">
      <c r="A722" s="6">
        <v>43502</v>
      </c>
      <c r="B722" s="7">
        <v>0.50624999999999998</v>
      </c>
      <c r="C722" s="8" t="str">
        <f>"FES1162671495"</f>
        <v>FES1162671495</v>
      </c>
      <c r="D722" s="8" t="s">
        <v>18</v>
      </c>
      <c r="E722" s="8" t="s">
        <v>562</v>
      </c>
      <c r="F722" s="8" t="str">
        <f>"2170672840 "</f>
        <v xml:space="preserve">2170672840 </v>
      </c>
      <c r="G722" s="8" t="str">
        <f t="shared" si="24"/>
        <v>ON1</v>
      </c>
      <c r="H722" s="8" t="s">
        <v>20</v>
      </c>
      <c r="I722" s="8" t="s">
        <v>563</v>
      </c>
      <c r="J722" s="8" t="str">
        <f>""</f>
        <v/>
      </c>
      <c r="K722" s="8" t="str">
        <f>"PFES1162671495_0001"</f>
        <v>PFES1162671495_0001</v>
      </c>
      <c r="L722" s="8">
        <v>1</v>
      </c>
      <c r="M722" s="8">
        <v>2</v>
      </c>
    </row>
    <row r="723" spans="1:13">
      <c r="A723" s="6">
        <v>43502</v>
      </c>
      <c r="B723" s="7">
        <v>0.50486111111111109</v>
      </c>
      <c r="C723" s="8" t="str">
        <f>"FES1162671520"</f>
        <v>FES1162671520</v>
      </c>
      <c r="D723" s="8" t="s">
        <v>18</v>
      </c>
      <c r="E723" s="8" t="s">
        <v>58</v>
      </c>
      <c r="F723" s="8" t="str">
        <f>"2170672864 "</f>
        <v xml:space="preserve">2170672864 </v>
      </c>
      <c r="G723" s="8" t="str">
        <f t="shared" si="24"/>
        <v>ON1</v>
      </c>
      <c r="H723" s="8" t="s">
        <v>20</v>
      </c>
      <c r="I723" s="8" t="s">
        <v>59</v>
      </c>
      <c r="J723" s="8" t="str">
        <f>""</f>
        <v/>
      </c>
      <c r="K723" s="8" t="str">
        <f>"PFES1162671520_0001"</f>
        <v>PFES1162671520_0001</v>
      </c>
      <c r="L723" s="8">
        <v>1</v>
      </c>
      <c r="M723" s="8">
        <v>2</v>
      </c>
    </row>
    <row r="724" spans="1:13">
      <c r="A724" s="6">
        <v>43502</v>
      </c>
      <c r="B724" s="7">
        <v>0.50416666666666665</v>
      </c>
      <c r="C724" s="8" t="str">
        <f>"FES1162671460"</f>
        <v>FES1162671460</v>
      </c>
      <c r="D724" s="8" t="s">
        <v>18</v>
      </c>
      <c r="E724" s="8" t="s">
        <v>564</v>
      </c>
      <c r="F724" s="8" t="str">
        <f>"217067802 "</f>
        <v xml:space="preserve">217067802 </v>
      </c>
      <c r="G724" s="8" t="str">
        <f t="shared" si="24"/>
        <v>ON1</v>
      </c>
      <c r="H724" s="8" t="s">
        <v>20</v>
      </c>
      <c r="I724" s="8" t="s">
        <v>31</v>
      </c>
      <c r="J724" s="8" t="str">
        <f>""</f>
        <v/>
      </c>
      <c r="K724" s="8" t="str">
        <f>"PFES1162671460_0001"</f>
        <v>PFES1162671460_0001</v>
      </c>
      <c r="L724" s="8">
        <v>1</v>
      </c>
      <c r="M724" s="8">
        <v>1</v>
      </c>
    </row>
    <row r="725" spans="1:13">
      <c r="A725" s="6">
        <v>43502</v>
      </c>
      <c r="B725" s="7">
        <v>0.50416666666666665</v>
      </c>
      <c r="C725" s="8" t="str">
        <f>"FES1162671406"</f>
        <v>FES1162671406</v>
      </c>
      <c r="D725" s="8" t="s">
        <v>18</v>
      </c>
      <c r="E725" s="8" t="s">
        <v>47</v>
      </c>
      <c r="F725" s="8" t="str">
        <f>"21706666269 "</f>
        <v xml:space="preserve">21706666269 </v>
      </c>
      <c r="G725" s="8" t="str">
        <f t="shared" si="24"/>
        <v>ON1</v>
      </c>
      <c r="H725" s="8" t="s">
        <v>20</v>
      </c>
      <c r="I725" s="8" t="s">
        <v>48</v>
      </c>
      <c r="J725" s="8" t="str">
        <f>""</f>
        <v/>
      </c>
      <c r="K725" s="8" t="str">
        <f>"PFES1162671406_0001"</f>
        <v>PFES1162671406_0001</v>
      </c>
      <c r="L725" s="8">
        <v>1</v>
      </c>
      <c r="M725" s="8">
        <v>1</v>
      </c>
    </row>
    <row r="726" spans="1:13">
      <c r="A726" s="6">
        <v>43502</v>
      </c>
      <c r="B726" s="7">
        <v>0.50347222222222221</v>
      </c>
      <c r="C726" s="8" t="str">
        <f>"FES1162671521"</f>
        <v>FES1162671521</v>
      </c>
      <c r="D726" s="8" t="s">
        <v>18</v>
      </c>
      <c r="E726" s="8" t="s">
        <v>565</v>
      </c>
      <c r="F726" s="8" t="str">
        <f>"2170672865 "</f>
        <v xml:space="preserve">2170672865 </v>
      </c>
      <c r="G726" s="8" t="str">
        <f t="shared" si="24"/>
        <v>ON1</v>
      </c>
      <c r="H726" s="8" t="s">
        <v>20</v>
      </c>
      <c r="I726" s="8" t="s">
        <v>566</v>
      </c>
      <c r="J726" s="8" t="str">
        <f>""</f>
        <v/>
      </c>
      <c r="K726" s="8" t="str">
        <f>"PFES1162671521_0001"</f>
        <v>PFES1162671521_0001</v>
      </c>
      <c r="L726" s="8">
        <v>1</v>
      </c>
      <c r="M726" s="8">
        <v>1</v>
      </c>
    </row>
    <row r="727" spans="1:13">
      <c r="A727" s="6">
        <v>43502</v>
      </c>
      <c r="B727" s="7">
        <v>0.50347222222222221</v>
      </c>
      <c r="C727" s="8" t="str">
        <f>"FES1162671390"</f>
        <v>FES1162671390</v>
      </c>
      <c r="D727" s="8" t="s">
        <v>18</v>
      </c>
      <c r="E727" s="8" t="s">
        <v>567</v>
      </c>
      <c r="F727" s="8" t="str">
        <f>"2170672753 "</f>
        <v xml:space="preserve">2170672753 </v>
      </c>
      <c r="G727" s="8" t="str">
        <f t="shared" si="24"/>
        <v>ON1</v>
      </c>
      <c r="H727" s="8" t="s">
        <v>20</v>
      </c>
      <c r="I727" s="8" t="s">
        <v>99</v>
      </c>
      <c r="J727" s="8" t="str">
        <f>""</f>
        <v/>
      </c>
      <c r="K727" s="8" t="str">
        <f>"PFES1162671390_0001"</f>
        <v>PFES1162671390_0001</v>
      </c>
      <c r="L727" s="8">
        <v>1</v>
      </c>
      <c r="M727" s="8">
        <v>1</v>
      </c>
    </row>
    <row r="728" spans="1:13">
      <c r="A728" s="6">
        <v>43502</v>
      </c>
      <c r="B728" s="7">
        <v>0.50347222222222221</v>
      </c>
      <c r="C728" s="8" t="str">
        <f>"FES1162671414"</f>
        <v>FES1162671414</v>
      </c>
      <c r="D728" s="8" t="s">
        <v>18</v>
      </c>
      <c r="E728" s="8" t="s">
        <v>47</v>
      </c>
      <c r="F728" s="8" t="str">
        <f>"2170668058 "</f>
        <v xml:space="preserve">2170668058 </v>
      </c>
      <c r="G728" s="8" t="str">
        <f t="shared" si="24"/>
        <v>ON1</v>
      </c>
      <c r="H728" s="8" t="s">
        <v>20</v>
      </c>
      <c r="I728" s="8" t="s">
        <v>48</v>
      </c>
      <c r="J728" s="8" t="str">
        <f>""</f>
        <v/>
      </c>
      <c r="K728" s="8" t="str">
        <f>"PFES1162671414_0001"</f>
        <v>PFES1162671414_0001</v>
      </c>
      <c r="L728" s="8">
        <v>1</v>
      </c>
      <c r="M728" s="8">
        <v>1</v>
      </c>
    </row>
    <row r="729" spans="1:13">
      <c r="A729" s="6">
        <v>43502</v>
      </c>
      <c r="B729" s="7">
        <v>0.50277777777777777</v>
      </c>
      <c r="C729" s="8" t="str">
        <f>"FES1162671421"</f>
        <v>FES1162671421</v>
      </c>
      <c r="D729" s="8" t="s">
        <v>18</v>
      </c>
      <c r="E729" s="8" t="s">
        <v>568</v>
      </c>
      <c r="F729" s="8" t="str">
        <f>"2170671229 "</f>
        <v xml:space="preserve">2170671229 </v>
      </c>
      <c r="G729" s="8" t="str">
        <f t="shared" si="24"/>
        <v>ON1</v>
      </c>
      <c r="H729" s="8" t="s">
        <v>20</v>
      </c>
      <c r="I729" s="8" t="s">
        <v>569</v>
      </c>
      <c r="J729" s="8" t="str">
        <f>""</f>
        <v/>
      </c>
      <c r="K729" s="8" t="str">
        <f>"PFES1162671421_0001"</f>
        <v>PFES1162671421_0001</v>
      </c>
      <c r="L729" s="8">
        <v>1</v>
      </c>
      <c r="M729" s="8">
        <v>1</v>
      </c>
    </row>
    <row r="730" spans="1:13">
      <c r="A730" s="6">
        <v>43502</v>
      </c>
      <c r="B730" s="7">
        <v>0.50277777777777777</v>
      </c>
      <c r="C730" s="8" t="str">
        <f>"FES1162671442"</f>
        <v>FES1162671442</v>
      </c>
      <c r="D730" s="8" t="s">
        <v>18</v>
      </c>
      <c r="E730" s="8" t="s">
        <v>299</v>
      </c>
      <c r="F730" s="8" t="str">
        <f>"2170672679 "</f>
        <v xml:space="preserve">2170672679 </v>
      </c>
      <c r="G730" s="8" t="str">
        <f t="shared" si="24"/>
        <v>ON1</v>
      </c>
      <c r="H730" s="8" t="s">
        <v>20</v>
      </c>
      <c r="I730" s="8" t="s">
        <v>570</v>
      </c>
      <c r="J730" s="8" t="str">
        <f>""</f>
        <v/>
      </c>
      <c r="K730" s="8" t="str">
        <f>"PFES1162671442_0001"</f>
        <v>PFES1162671442_0001</v>
      </c>
      <c r="L730" s="8">
        <v>1</v>
      </c>
      <c r="M730" s="8">
        <v>1</v>
      </c>
    </row>
    <row r="731" spans="1:13">
      <c r="A731" s="6">
        <v>43502</v>
      </c>
      <c r="B731" s="7">
        <v>0.50277777777777777</v>
      </c>
      <c r="C731" s="8" t="str">
        <f>"FES1162671523"</f>
        <v>FES1162671523</v>
      </c>
      <c r="D731" s="8" t="s">
        <v>18</v>
      </c>
      <c r="E731" s="8" t="s">
        <v>438</v>
      </c>
      <c r="F731" s="8" t="str">
        <f>"2170672867 "</f>
        <v xml:space="preserve">2170672867 </v>
      </c>
      <c r="G731" s="8" t="str">
        <f t="shared" si="24"/>
        <v>ON1</v>
      </c>
      <c r="H731" s="8" t="s">
        <v>20</v>
      </c>
      <c r="I731" s="8" t="s">
        <v>390</v>
      </c>
      <c r="J731" s="8" t="str">
        <f>""</f>
        <v/>
      </c>
      <c r="K731" s="8" t="str">
        <f>"PFES1162671523_0001"</f>
        <v>PFES1162671523_0001</v>
      </c>
      <c r="L731" s="8">
        <v>1</v>
      </c>
      <c r="M731" s="8">
        <v>2</v>
      </c>
    </row>
    <row r="732" spans="1:13">
      <c r="A732" s="6">
        <v>43502</v>
      </c>
      <c r="B732" s="7">
        <v>0.50208333333333333</v>
      </c>
      <c r="C732" s="8" t="str">
        <f>"FES1162671472"</f>
        <v>FES1162671472</v>
      </c>
      <c r="D732" s="8" t="s">
        <v>18</v>
      </c>
      <c r="E732" s="8" t="s">
        <v>571</v>
      </c>
      <c r="F732" s="8" t="str">
        <f>"2170672817 "</f>
        <v xml:space="preserve">2170672817 </v>
      </c>
      <c r="G732" s="8" t="str">
        <f t="shared" si="24"/>
        <v>ON1</v>
      </c>
      <c r="H732" s="8" t="s">
        <v>20</v>
      </c>
      <c r="I732" s="8" t="s">
        <v>53</v>
      </c>
      <c r="J732" s="8" t="str">
        <f>""</f>
        <v/>
      </c>
      <c r="K732" s="8" t="str">
        <f>"PFES1162671472_0001"</f>
        <v>PFES1162671472_0001</v>
      </c>
      <c r="L732" s="8">
        <v>1</v>
      </c>
      <c r="M732" s="8">
        <v>1</v>
      </c>
    </row>
    <row r="733" spans="1:13">
      <c r="A733" s="6">
        <v>43502</v>
      </c>
      <c r="B733" s="7">
        <v>0.50208333333333333</v>
      </c>
      <c r="C733" s="8" t="str">
        <f>"FES1162671331"</f>
        <v>FES1162671331</v>
      </c>
      <c r="D733" s="8" t="s">
        <v>18</v>
      </c>
      <c r="E733" s="8" t="s">
        <v>218</v>
      </c>
      <c r="F733" s="8" t="str">
        <f>"2170672691 "</f>
        <v xml:space="preserve">2170672691 </v>
      </c>
      <c r="G733" s="8" t="str">
        <f t="shared" si="24"/>
        <v>ON1</v>
      </c>
      <c r="H733" s="8" t="s">
        <v>20</v>
      </c>
      <c r="I733" s="8" t="s">
        <v>219</v>
      </c>
      <c r="J733" s="8" t="str">
        <f>""</f>
        <v/>
      </c>
      <c r="K733" s="8" t="str">
        <f>"PFES1162671331_0001"</f>
        <v>PFES1162671331_0001</v>
      </c>
      <c r="L733" s="8">
        <v>1</v>
      </c>
      <c r="M733" s="8">
        <v>1</v>
      </c>
    </row>
    <row r="734" spans="1:13">
      <c r="A734" s="6">
        <v>43502</v>
      </c>
      <c r="B734" s="7">
        <v>0.50208333333333333</v>
      </c>
      <c r="C734" s="8" t="str">
        <f>"FES1162671407"</f>
        <v>FES1162671407</v>
      </c>
      <c r="D734" s="8" t="s">
        <v>18</v>
      </c>
      <c r="E734" s="8" t="s">
        <v>335</v>
      </c>
      <c r="F734" s="8" t="str">
        <f>"2170671329 "</f>
        <v xml:space="preserve">2170671329 </v>
      </c>
      <c r="G734" s="8" t="str">
        <f t="shared" si="24"/>
        <v>ON1</v>
      </c>
      <c r="H734" s="8" t="s">
        <v>20</v>
      </c>
      <c r="I734" s="8" t="s">
        <v>336</v>
      </c>
      <c r="J734" s="8" t="str">
        <f>""</f>
        <v/>
      </c>
      <c r="K734" s="8" t="str">
        <f>"PFES1162671407_0001"</f>
        <v>PFES1162671407_0001</v>
      </c>
      <c r="L734" s="8">
        <v>1</v>
      </c>
      <c r="M734" s="8">
        <v>1</v>
      </c>
    </row>
    <row r="735" spans="1:13">
      <c r="A735" s="6">
        <v>43502</v>
      </c>
      <c r="B735" s="7">
        <v>0.50208333333333333</v>
      </c>
      <c r="C735" s="8" t="str">
        <f>"FES1162671541"</f>
        <v>FES1162671541</v>
      </c>
      <c r="D735" s="8" t="s">
        <v>18</v>
      </c>
      <c r="E735" s="8" t="s">
        <v>225</v>
      </c>
      <c r="F735" s="8" t="str">
        <f>"2170672884 "</f>
        <v xml:space="preserve">2170672884 </v>
      </c>
      <c r="G735" s="8" t="str">
        <f t="shared" si="24"/>
        <v>ON1</v>
      </c>
      <c r="H735" s="8" t="s">
        <v>20</v>
      </c>
      <c r="I735" s="8" t="s">
        <v>226</v>
      </c>
      <c r="J735" s="8" t="str">
        <f>""</f>
        <v/>
      </c>
      <c r="K735" s="8" t="str">
        <f>"PFES1162671541_0001"</f>
        <v>PFES1162671541_0001</v>
      </c>
      <c r="L735" s="8">
        <v>1</v>
      </c>
      <c r="M735" s="8">
        <v>1</v>
      </c>
    </row>
    <row r="736" spans="1:13">
      <c r="A736" s="6">
        <v>43502</v>
      </c>
      <c r="B736" s="7">
        <v>0.50138888888888888</v>
      </c>
      <c r="C736" s="8" t="str">
        <f>"FES1162671454"</f>
        <v>FES1162671454</v>
      </c>
      <c r="D736" s="8" t="s">
        <v>18</v>
      </c>
      <c r="E736" s="8" t="s">
        <v>301</v>
      </c>
      <c r="F736" s="8" t="str">
        <f>"2170672796 "</f>
        <v xml:space="preserve">2170672796 </v>
      </c>
      <c r="G736" s="8" t="str">
        <f t="shared" si="24"/>
        <v>ON1</v>
      </c>
      <c r="H736" s="8" t="s">
        <v>20</v>
      </c>
      <c r="I736" s="8" t="s">
        <v>113</v>
      </c>
      <c r="J736" s="8" t="str">
        <f>""</f>
        <v/>
      </c>
      <c r="K736" s="8" t="str">
        <f>"PFES1162671454_0001"</f>
        <v>PFES1162671454_0001</v>
      </c>
      <c r="L736" s="8">
        <v>1</v>
      </c>
      <c r="M736" s="8">
        <v>1</v>
      </c>
    </row>
    <row r="737" spans="1:13">
      <c r="A737" s="6">
        <v>43502</v>
      </c>
      <c r="B737" s="7">
        <v>0.50138888888888888</v>
      </c>
      <c r="C737" s="8" t="str">
        <f>"FES1162671430"</f>
        <v>FES1162671430</v>
      </c>
      <c r="D737" s="8" t="s">
        <v>18</v>
      </c>
      <c r="E737" s="8" t="s">
        <v>91</v>
      </c>
      <c r="F737" s="8" t="str">
        <f>"2170672018 "</f>
        <v xml:space="preserve">2170672018 </v>
      </c>
      <c r="G737" s="8" t="str">
        <f t="shared" si="24"/>
        <v>ON1</v>
      </c>
      <c r="H737" s="8" t="s">
        <v>20</v>
      </c>
      <c r="I737" s="8" t="s">
        <v>53</v>
      </c>
      <c r="J737" s="8" t="str">
        <f>""</f>
        <v/>
      </c>
      <c r="K737" s="8" t="str">
        <f>"PFES1162671430_0001"</f>
        <v>PFES1162671430_0001</v>
      </c>
      <c r="L737" s="8">
        <v>1</v>
      </c>
      <c r="M737" s="8">
        <v>1</v>
      </c>
    </row>
    <row r="738" spans="1:13">
      <c r="A738" s="6">
        <v>43502</v>
      </c>
      <c r="B738" s="7">
        <v>0.50138888888888888</v>
      </c>
      <c r="C738" s="8" t="str">
        <f>"FES1162671498"</f>
        <v>FES1162671498</v>
      </c>
      <c r="D738" s="8" t="s">
        <v>18</v>
      </c>
      <c r="E738" s="8" t="s">
        <v>572</v>
      </c>
      <c r="F738" s="8" t="str">
        <f>"2170672758 "</f>
        <v xml:space="preserve">2170672758 </v>
      </c>
      <c r="G738" s="8" t="str">
        <f t="shared" si="24"/>
        <v>ON1</v>
      </c>
      <c r="H738" s="8" t="s">
        <v>20</v>
      </c>
      <c r="I738" s="8" t="s">
        <v>573</v>
      </c>
      <c r="J738" s="8" t="str">
        <f>""</f>
        <v/>
      </c>
      <c r="K738" s="8" t="str">
        <f>"PFES1162671498_0001"</f>
        <v>PFES1162671498_0001</v>
      </c>
      <c r="L738" s="8">
        <v>1</v>
      </c>
      <c r="M738" s="8">
        <v>1</v>
      </c>
    </row>
    <row r="739" spans="1:13">
      <c r="A739" s="6">
        <v>43502</v>
      </c>
      <c r="B739" s="7">
        <v>0.50069444444444444</v>
      </c>
      <c r="C739" s="8" t="str">
        <f>"FES1162671517"</f>
        <v>FES1162671517</v>
      </c>
      <c r="D739" s="8" t="s">
        <v>18</v>
      </c>
      <c r="E739" s="8" t="s">
        <v>574</v>
      </c>
      <c r="F739" s="8" t="str">
        <f>"2170672846 "</f>
        <v xml:space="preserve">2170672846 </v>
      </c>
      <c r="G739" s="8" t="str">
        <f t="shared" si="24"/>
        <v>ON1</v>
      </c>
      <c r="H739" s="8" t="s">
        <v>20</v>
      </c>
      <c r="I739" s="8" t="s">
        <v>575</v>
      </c>
      <c r="J739" s="8" t="str">
        <f>""</f>
        <v/>
      </c>
      <c r="K739" s="8" t="str">
        <f>"PFES1162671517_0001"</f>
        <v>PFES1162671517_0001</v>
      </c>
      <c r="L739" s="8">
        <v>1</v>
      </c>
      <c r="M739" s="8">
        <v>1</v>
      </c>
    </row>
    <row r="740" spans="1:13">
      <c r="A740" s="6">
        <v>43502</v>
      </c>
      <c r="B740" s="7">
        <v>0.50069444444444444</v>
      </c>
      <c r="C740" s="8" t="str">
        <f>"FES1162671473"</f>
        <v>FES1162671473</v>
      </c>
      <c r="D740" s="8" t="s">
        <v>18</v>
      </c>
      <c r="E740" s="8" t="s">
        <v>576</v>
      </c>
      <c r="F740" s="8" t="str">
        <f>"21706728128 "</f>
        <v xml:space="preserve">21706728128 </v>
      </c>
      <c r="G740" s="8" t="str">
        <f t="shared" si="24"/>
        <v>ON1</v>
      </c>
      <c r="H740" s="8" t="s">
        <v>20</v>
      </c>
      <c r="I740" s="8" t="s">
        <v>369</v>
      </c>
      <c r="J740" s="8" t="str">
        <f>""</f>
        <v/>
      </c>
      <c r="K740" s="8" t="str">
        <f>"PFES1162671473_0001"</f>
        <v>PFES1162671473_0001</v>
      </c>
      <c r="L740" s="8">
        <v>1</v>
      </c>
      <c r="M740" s="8">
        <v>1</v>
      </c>
    </row>
    <row r="741" spans="1:13">
      <c r="A741" s="6">
        <v>43502</v>
      </c>
      <c r="B741" s="7">
        <v>0.5</v>
      </c>
      <c r="C741" s="8" t="str">
        <f>"FES1162671493"</f>
        <v>FES1162671493</v>
      </c>
      <c r="D741" s="8" t="s">
        <v>18</v>
      </c>
      <c r="E741" s="8" t="s">
        <v>24</v>
      </c>
      <c r="F741" s="8" t="str">
        <f>"2170672837 "</f>
        <v xml:space="preserve">2170672837 </v>
      </c>
      <c r="G741" s="8" t="str">
        <f t="shared" si="24"/>
        <v>ON1</v>
      </c>
      <c r="H741" s="8" t="s">
        <v>20</v>
      </c>
      <c r="I741" s="8" t="s">
        <v>25</v>
      </c>
      <c r="J741" s="8" t="str">
        <f>""</f>
        <v/>
      </c>
      <c r="K741" s="8" t="str">
        <f>"PFES1162671493_0001"</f>
        <v>PFES1162671493_0001</v>
      </c>
      <c r="L741" s="8">
        <v>1</v>
      </c>
      <c r="M741" s="8">
        <v>1</v>
      </c>
    </row>
    <row r="742" spans="1:13">
      <c r="A742" s="6">
        <v>43502</v>
      </c>
      <c r="B742" s="7">
        <v>0.5</v>
      </c>
      <c r="C742" s="8" t="str">
        <f>"FES1162671456"</f>
        <v>FES1162671456</v>
      </c>
      <c r="D742" s="8" t="s">
        <v>18</v>
      </c>
      <c r="E742" s="8" t="s">
        <v>577</v>
      </c>
      <c r="F742" s="8" t="str">
        <f>"2170672798 "</f>
        <v xml:space="preserve">2170672798 </v>
      </c>
      <c r="G742" s="8" t="str">
        <f t="shared" si="24"/>
        <v>ON1</v>
      </c>
      <c r="H742" s="8" t="s">
        <v>20</v>
      </c>
      <c r="I742" s="8" t="s">
        <v>578</v>
      </c>
      <c r="J742" s="8" t="str">
        <f>""</f>
        <v/>
      </c>
      <c r="K742" s="8" t="str">
        <f>"PFES1162671456_0001"</f>
        <v>PFES1162671456_0001</v>
      </c>
      <c r="L742" s="8">
        <v>1</v>
      </c>
      <c r="M742" s="8">
        <v>1</v>
      </c>
    </row>
    <row r="743" spans="1:13">
      <c r="A743" s="6">
        <v>43502</v>
      </c>
      <c r="B743" s="7">
        <v>0.4993055555555555</v>
      </c>
      <c r="C743" s="8" t="str">
        <f>"FES1162671478"</f>
        <v>FES1162671478</v>
      </c>
      <c r="D743" s="8" t="s">
        <v>18</v>
      </c>
      <c r="E743" s="8" t="s">
        <v>577</v>
      </c>
      <c r="F743" s="8" t="str">
        <f>"2170672821 "</f>
        <v xml:space="preserve">2170672821 </v>
      </c>
      <c r="G743" s="8" t="str">
        <f t="shared" si="24"/>
        <v>ON1</v>
      </c>
      <c r="H743" s="8" t="s">
        <v>20</v>
      </c>
      <c r="I743" s="8" t="s">
        <v>578</v>
      </c>
      <c r="J743" s="8" t="str">
        <f>""</f>
        <v/>
      </c>
      <c r="K743" s="8" t="str">
        <f>"PFES1162671478_0001"</f>
        <v>PFES1162671478_0001</v>
      </c>
      <c r="L743" s="8">
        <v>1</v>
      </c>
      <c r="M743" s="8">
        <v>1</v>
      </c>
    </row>
    <row r="744" spans="1:13">
      <c r="A744" s="6">
        <v>43502</v>
      </c>
      <c r="B744" s="7">
        <v>0.4993055555555555</v>
      </c>
      <c r="C744" s="8" t="str">
        <f>"FES1162671488"</f>
        <v>FES1162671488</v>
      </c>
      <c r="D744" s="8" t="s">
        <v>18</v>
      </c>
      <c r="E744" s="8" t="s">
        <v>289</v>
      </c>
      <c r="F744" s="8" t="str">
        <f>"2170669881 "</f>
        <v xml:space="preserve">2170669881 </v>
      </c>
      <c r="G744" s="8" t="str">
        <f t="shared" si="24"/>
        <v>ON1</v>
      </c>
      <c r="H744" s="8" t="s">
        <v>20</v>
      </c>
      <c r="I744" s="8" t="s">
        <v>290</v>
      </c>
      <c r="J744" s="8" t="str">
        <f>""</f>
        <v/>
      </c>
      <c r="K744" s="8" t="str">
        <f>"PFES1162671488_0001"</f>
        <v>PFES1162671488_0001</v>
      </c>
      <c r="L744" s="8">
        <v>1</v>
      </c>
      <c r="M744" s="8">
        <v>4</v>
      </c>
    </row>
    <row r="745" spans="1:13">
      <c r="A745" s="6">
        <v>43502</v>
      </c>
      <c r="B745" s="7">
        <v>0.49861111111111112</v>
      </c>
      <c r="C745" s="8" t="str">
        <f>"FES1162671497"</f>
        <v>FES1162671497</v>
      </c>
      <c r="D745" s="8" t="s">
        <v>18</v>
      </c>
      <c r="E745" s="8" t="s">
        <v>579</v>
      </c>
      <c r="F745" s="8" t="str">
        <f>"2170672756 "</f>
        <v xml:space="preserve">2170672756 </v>
      </c>
      <c r="G745" s="8" t="str">
        <f t="shared" si="24"/>
        <v>ON1</v>
      </c>
      <c r="H745" s="8" t="s">
        <v>20</v>
      </c>
      <c r="I745" s="8" t="s">
        <v>580</v>
      </c>
      <c r="J745" s="8" t="str">
        <f>""</f>
        <v/>
      </c>
      <c r="K745" s="8" t="str">
        <f>"PFES1162671497_0001"</f>
        <v>PFES1162671497_0001</v>
      </c>
      <c r="L745" s="8">
        <v>1</v>
      </c>
      <c r="M745" s="8">
        <v>1</v>
      </c>
    </row>
    <row r="746" spans="1:13">
      <c r="A746" s="6">
        <v>43502</v>
      </c>
      <c r="B746" s="7">
        <v>0.49791666666666662</v>
      </c>
      <c r="C746" s="8" t="str">
        <f>"FES1162671451"</f>
        <v>FES1162671451</v>
      </c>
      <c r="D746" s="8" t="s">
        <v>18</v>
      </c>
      <c r="E746" s="8" t="s">
        <v>581</v>
      </c>
      <c r="F746" s="8" t="str">
        <f>"2170672790 "</f>
        <v xml:space="preserve">2170672790 </v>
      </c>
      <c r="G746" s="8" t="str">
        <f t="shared" si="24"/>
        <v>ON1</v>
      </c>
      <c r="H746" s="8" t="s">
        <v>20</v>
      </c>
      <c r="I746" s="8" t="s">
        <v>504</v>
      </c>
      <c r="J746" s="8" t="str">
        <f>""</f>
        <v/>
      </c>
      <c r="K746" s="8" t="str">
        <f>"PFES1162671451_0001"</f>
        <v>PFES1162671451_0001</v>
      </c>
      <c r="L746" s="8">
        <v>1</v>
      </c>
      <c r="M746" s="8">
        <v>5</v>
      </c>
    </row>
    <row r="747" spans="1:13">
      <c r="A747" s="6">
        <v>43502</v>
      </c>
      <c r="B747" s="7">
        <v>0.49791666666666662</v>
      </c>
      <c r="C747" s="8" t="str">
        <f>"FES1162671490"</f>
        <v>FES1162671490</v>
      </c>
      <c r="D747" s="8" t="s">
        <v>18</v>
      </c>
      <c r="E747" s="8" t="s">
        <v>582</v>
      </c>
      <c r="F747" s="8" t="str">
        <f>"2170672724 "</f>
        <v xml:space="preserve">2170672724 </v>
      </c>
      <c r="G747" s="8" t="str">
        <f t="shared" si="24"/>
        <v>ON1</v>
      </c>
      <c r="H747" s="8" t="s">
        <v>20</v>
      </c>
      <c r="I747" s="8" t="s">
        <v>341</v>
      </c>
      <c r="J747" s="8" t="str">
        <f>""</f>
        <v/>
      </c>
      <c r="K747" s="8" t="str">
        <f>"PFES1162671490_0001"</f>
        <v>PFES1162671490_0001</v>
      </c>
      <c r="L747" s="8">
        <v>1</v>
      </c>
      <c r="M747" s="8">
        <v>1</v>
      </c>
    </row>
    <row r="748" spans="1:13">
      <c r="A748" s="6">
        <v>43502</v>
      </c>
      <c r="B748" s="7">
        <v>0.49791666666666662</v>
      </c>
      <c r="C748" s="8" t="str">
        <f>"FES1162671463"</f>
        <v>FES1162671463</v>
      </c>
      <c r="D748" s="8" t="s">
        <v>18</v>
      </c>
      <c r="E748" s="8" t="s">
        <v>482</v>
      </c>
      <c r="F748" s="8" t="str">
        <f>"2170672805 "</f>
        <v xml:space="preserve">2170672805 </v>
      </c>
      <c r="G748" s="8" t="str">
        <f t="shared" si="24"/>
        <v>ON1</v>
      </c>
      <c r="H748" s="8" t="s">
        <v>20</v>
      </c>
      <c r="I748" s="8" t="s">
        <v>272</v>
      </c>
      <c r="J748" s="8" t="str">
        <f>""</f>
        <v/>
      </c>
      <c r="K748" s="8" t="str">
        <f>"PFES1162671463_0001"</f>
        <v>PFES1162671463_0001</v>
      </c>
      <c r="L748" s="8">
        <v>1</v>
      </c>
      <c r="M748" s="8">
        <v>1</v>
      </c>
    </row>
    <row r="749" spans="1:13">
      <c r="A749" s="6">
        <v>43502</v>
      </c>
      <c r="B749" s="7">
        <v>0.49722222222222223</v>
      </c>
      <c r="C749" s="8" t="str">
        <f>"FES1162671491"</f>
        <v>FES1162671491</v>
      </c>
      <c r="D749" s="8" t="s">
        <v>18</v>
      </c>
      <c r="E749" s="8" t="s">
        <v>19</v>
      </c>
      <c r="F749" s="8" t="str">
        <f>"2170672835 "</f>
        <v xml:space="preserve">2170672835 </v>
      </c>
      <c r="G749" s="8" t="str">
        <f t="shared" si="24"/>
        <v>ON1</v>
      </c>
      <c r="H749" s="8" t="s">
        <v>20</v>
      </c>
      <c r="I749" s="8" t="s">
        <v>21</v>
      </c>
      <c r="J749" s="8" t="str">
        <f>""</f>
        <v/>
      </c>
      <c r="K749" s="8" t="str">
        <f>"PFES1162671491_0001"</f>
        <v>PFES1162671491_0001</v>
      </c>
      <c r="L749" s="8">
        <v>1</v>
      </c>
      <c r="M749" s="8">
        <v>1</v>
      </c>
    </row>
    <row r="750" spans="1:13">
      <c r="A750" s="6">
        <v>43502</v>
      </c>
      <c r="B750" s="7">
        <v>0.49722222222222223</v>
      </c>
      <c r="C750" s="8" t="str">
        <f>"FES1162671448"</f>
        <v>FES1162671448</v>
      </c>
      <c r="D750" s="8" t="s">
        <v>18</v>
      </c>
      <c r="E750" s="8" t="s">
        <v>583</v>
      </c>
      <c r="F750" s="8" t="str">
        <f>"2170672785 "</f>
        <v xml:space="preserve">2170672785 </v>
      </c>
      <c r="G750" s="8" t="str">
        <f t="shared" si="24"/>
        <v>ON1</v>
      </c>
      <c r="H750" s="8" t="s">
        <v>20</v>
      </c>
      <c r="I750" s="8" t="s">
        <v>584</v>
      </c>
      <c r="J750" s="8" t="str">
        <f>""</f>
        <v/>
      </c>
      <c r="K750" s="8" t="str">
        <f>"PFES1162671448_0001"</f>
        <v>PFES1162671448_0001</v>
      </c>
      <c r="L750" s="8">
        <v>1</v>
      </c>
      <c r="M750" s="8">
        <v>7</v>
      </c>
    </row>
    <row r="751" spans="1:13">
      <c r="A751" s="6">
        <v>43502</v>
      </c>
      <c r="B751" s="7">
        <v>0.49722222222222223</v>
      </c>
      <c r="C751" s="8" t="str">
        <f>"FES1162671494"</f>
        <v>FES1162671494</v>
      </c>
      <c r="D751" s="8" t="s">
        <v>18</v>
      </c>
      <c r="E751" s="8" t="s">
        <v>585</v>
      </c>
      <c r="F751" s="8" t="str">
        <f>"2170672838 "</f>
        <v xml:space="preserve">2170672838 </v>
      </c>
      <c r="G751" s="8" t="str">
        <f t="shared" si="24"/>
        <v>ON1</v>
      </c>
      <c r="H751" s="8" t="s">
        <v>20</v>
      </c>
      <c r="I751" s="8" t="s">
        <v>586</v>
      </c>
      <c r="J751" s="8" t="str">
        <f>""</f>
        <v/>
      </c>
      <c r="K751" s="8" t="str">
        <f>"PFES1162671494_0001"</f>
        <v>PFES1162671494_0001</v>
      </c>
      <c r="L751" s="8">
        <v>1</v>
      </c>
      <c r="M751" s="8">
        <v>1</v>
      </c>
    </row>
    <row r="752" spans="1:13">
      <c r="A752" s="6">
        <v>43502</v>
      </c>
      <c r="B752" s="7">
        <v>0.49652777777777773</v>
      </c>
      <c r="C752" s="8" t="str">
        <f>"FES1162671482"</f>
        <v>FES1162671482</v>
      </c>
      <c r="D752" s="8" t="s">
        <v>18</v>
      </c>
      <c r="E752" s="8" t="s">
        <v>587</v>
      </c>
      <c r="F752" s="8" t="str">
        <f>"2170672830 "</f>
        <v xml:space="preserve">2170672830 </v>
      </c>
      <c r="G752" s="8" t="str">
        <f t="shared" si="24"/>
        <v>ON1</v>
      </c>
      <c r="H752" s="8" t="s">
        <v>20</v>
      </c>
      <c r="I752" s="8" t="s">
        <v>588</v>
      </c>
      <c r="J752" s="8" t="str">
        <f>""</f>
        <v/>
      </c>
      <c r="K752" s="8" t="str">
        <f>"PFES1162671482_0001"</f>
        <v>PFES1162671482_0001</v>
      </c>
      <c r="L752" s="8">
        <v>1</v>
      </c>
      <c r="M752" s="8">
        <v>1</v>
      </c>
    </row>
    <row r="753" spans="1:13">
      <c r="A753" s="6">
        <v>43502</v>
      </c>
      <c r="B753" s="7">
        <v>0.49583333333333335</v>
      </c>
      <c r="C753" s="8" t="str">
        <f>"FES1162671514"</f>
        <v>FES1162671514</v>
      </c>
      <c r="D753" s="8" t="s">
        <v>18</v>
      </c>
      <c r="E753" s="8" t="s">
        <v>589</v>
      </c>
      <c r="F753" s="8" t="str">
        <f>"2170672859 "</f>
        <v xml:space="preserve">2170672859 </v>
      </c>
      <c r="G753" s="8" t="str">
        <f t="shared" si="24"/>
        <v>ON1</v>
      </c>
      <c r="H753" s="8" t="s">
        <v>20</v>
      </c>
      <c r="I753" s="8" t="s">
        <v>341</v>
      </c>
      <c r="J753" s="8" t="str">
        <f>""</f>
        <v/>
      </c>
      <c r="K753" s="8" t="str">
        <f>"PFES1162671514_0001"</f>
        <v>PFES1162671514_0001</v>
      </c>
      <c r="L753" s="8">
        <v>1</v>
      </c>
      <c r="M753" s="8">
        <v>1</v>
      </c>
    </row>
    <row r="754" spans="1:13">
      <c r="A754" s="6">
        <v>43502</v>
      </c>
      <c r="B754" s="7">
        <v>0.47291666666666665</v>
      </c>
      <c r="C754" s="8" t="str">
        <f>"FES1162671457"</f>
        <v>FES1162671457</v>
      </c>
      <c r="D754" s="8" t="s">
        <v>18</v>
      </c>
      <c r="E754" s="8" t="s">
        <v>28</v>
      </c>
      <c r="F754" s="8" t="str">
        <f>"2170672799 "</f>
        <v xml:space="preserve">2170672799 </v>
      </c>
      <c r="G754" s="8" t="str">
        <f t="shared" si="24"/>
        <v>ON1</v>
      </c>
      <c r="H754" s="8" t="s">
        <v>20</v>
      </c>
      <c r="I754" s="8" t="s">
        <v>29</v>
      </c>
      <c r="J754" s="8" t="str">
        <f>""</f>
        <v/>
      </c>
      <c r="K754" s="8" t="str">
        <f>"PFES1162671457_0001"</f>
        <v>PFES1162671457_0001</v>
      </c>
      <c r="L754" s="8">
        <v>1</v>
      </c>
      <c r="M754" s="8">
        <v>1</v>
      </c>
    </row>
    <row r="755" spans="1:13">
      <c r="A755" s="6">
        <v>43502</v>
      </c>
      <c r="B755" s="7">
        <v>0.47291666666666665</v>
      </c>
      <c r="C755" s="8" t="str">
        <f>"FES1162671447"</f>
        <v>FES1162671447</v>
      </c>
      <c r="D755" s="8" t="s">
        <v>18</v>
      </c>
      <c r="E755" s="8" t="s">
        <v>120</v>
      </c>
      <c r="F755" s="8" t="str">
        <f>"2170672784 "</f>
        <v xml:space="preserve">2170672784 </v>
      </c>
      <c r="G755" s="8" t="str">
        <f t="shared" si="24"/>
        <v>ON1</v>
      </c>
      <c r="H755" s="8" t="s">
        <v>20</v>
      </c>
      <c r="I755" s="8" t="s">
        <v>121</v>
      </c>
      <c r="J755" s="8" t="str">
        <f>""</f>
        <v/>
      </c>
      <c r="K755" s="8" t="str">
        <f>"PFES1162671447_0001"</f>
        <v>PFES1162671447_0001</v>
      </c>
      <c r="L755" s="8">
        <v>1</v>
      </c>
      <c r="M755" s="8">
        <v>3</v>
      </c>
    </row>
    <row r="756" spans="1:13">
      <c r="A756" s="6">
        <v>43502</v>
      </c>
      <c r="B756" s="7">
        <v>0.47291666666666665</v>
      </c>
      <c r="C756" s="8" t="str">
        <f>"FES1162671207"</f>
        <v>FES1162671207</v>
      </c>
      <c r="D756" s="8" t="s">
        <v>18</v>
      </c>
      <c r="E756" s="8" t="s">
        <v>365</v>
      </c>
      <c r="F756" s="8" t="str">
        <f>"217067669120 "</f>
        <v xml:space="preserve">217067669120 </v>
      </c>
      <c r="G756" s="8" t="str">
        <f t="shared" si="24"/>
        <v>ON1</v>
      </c>
      <c r="H756" s="8" t="s">
        <v>20</v>
      </c>
      <c r="I756" s="8" t="s">
        <v>139</v>
      </c>
      <c r="J756" s="8" t="str">
        <f>""</f>
        <v/>
      </c>
      <c r="K756" s="8" t="str">
        <f>"PFES1162671207_0001"</f>
        <v>PFES1162671207_0001</v>
      </c>
      <c r="L756" s="8">
        <v>1</v>
      </c>
      <c r="M756" s="8">
        <v>1</v>
      </c>
    </row>
    <row r="757" spans="1:13">
      <c r="A757" s="6">
        <v>43502</v>
      </c>
      <c r="B757" s="7">
        <v>0.47291666666666665</v>
      </c>
      <c r="C757" s="8" t="str">
        <f>"FES1162671150"</f>
        <v>FES1162671150</v>
      </c>
      <c r="D757" s="8" t="s">
        <v>18</v>
      </c>
      <c r="E757" s="8" t="s">
        <v>590</v>
      </c>
      <c r="F757" s="8" t="str">
        <f>"2170670553 "</f>
        <v xml:space="preserve">2170670553 </v>
      </c>
      <c r="G757" s="8" t="str">
        <f t="shared" si="24"/>
        <v>ON1</v>
      </c>
      <c r="H757" s="8" t="s">
        <v>20</v>
      </c>
      <c r="I757" s="8" t="s">
        <v>99</v>
      </c>
      <c r="J757" s="8" t="str">
        <f>""</f>
        <v/>
      </c>
      <c r="K757" s="8" t="str">
        <f>"PFES1162671150_0001"</f>
        <v>PFES1162671150_0001</v>
      </c>
      <c r="L757" s="8">
        <v>1</v>
      </c>
      <c r="M757" s="8">
        <v>1</v>
      </c>
    </row>
    <row r="758" spans="1:13">
      <c r="A758" s="6">
        <v>43502</v>
      </c>
      <c r="B758" s="7">
        <v>0.47222222222222227</v>
      </c>
      <c r="C758" s="8" t="str">
        <f>"FES1162671462"</f>
        <v>FES1162671462</v>
      </c>
      <c r="D758" s="8" t="s">
        <v>18</v>
      </c>
      <c r="E758" s="8" t="s">
        <v>198</v>
      </c>
      <c r="F758" s="8" t="str">
        <f>"2170672804 "</f>
        <v xml:space="preserve">2170672804 </v>
      </c>
      <c r="G758" s="8" t="str">
        <f t="shared" si="24"/>
        <v>ON1</v>
      </c>
      <c r="H758" s="8" t="s">
        <v>20</v>
      </c>
      <c r="I758" s="8" t="s">
        <v>199</v>
      </c>
      <c r="J758" s="8" t="str">
        <f>""</f>
        <v/>
      </c>
      <c r="K758" s="8" t="str">
        <f>"PFES1162671462_0001"</f>
        <v>PFES1162671462_0001</v>
      </c>
      <c r="L758" s="8">
        <v>1</v>
      </c>
      <c r="M758" s="8">
        <v>1</v>
      </c>
    </row>
    <row r="759" spans="1:13">
      <c r="A759" s="6">
        <v>43502</v>
      </c>
      <c r="B759" s="7">
        <v>0.47152777777777777</v>
      </c>
      <c r="C759" s="8" t="str">
        <f>"FES1162671429"</f>
        <v>FES1162671429</v>
      </c>
      <c r="D759" s="8" t="s">
        <v>18</v>
      </c>
      <c r="E759" s="8" t="s">
        <v>38</v>
      </c>
      <c r="F759" s="8" t="str">
        <f>"2170671736 "</f>
        <v xml:space="preserve">2170671736 </v>
      </c>
      <c r="G759" s="8" t="str">
        <f t="shared" si="24"/>
        <v>ON1</v>
      </c>
      <c r="H759" s="8" t="s">
        <v>20</v>
      </c>
      <c r="I759" s="8" t="s">
        <v>39</v>
      </c>
      <c r="J759" s="8" t="str">
        <f>""</f>
        <v/>
      </c>
      <c r="K759" s="8" t="str">
        <f>"PFES1162671429_0001"</f>
        <v>PFES1162671429_0001</v>
      </c>
      <c r="L759" s="8">
        <v>1</v>
      </c>
      <c r="M759" s="8">
        <v>2</v>
      </c>
    </row>
    <row r="760" spans="1:13">
      <c r="A760" s="6">
        <v>43502</v>
      </c>
      <c r="B760" s="7">
        <v>0.47083333333333338</v>
      </c>
      <c r="C760" s="8" t="str">
        <f>"FES1162671189"</f>
        <v>FES1162671189</v>
      </c>
      <c r="D760" s="8" t="s">
        <v>18</v>
      </c>
      <c r="E760" s="8" t="s">
        <v>337</v>
      </c>
      <c r="F760" s="8" t="str">
        <f>"217067276 "</f>
        <v xml:space="preserve">217067276 </v>
      </c>
      <c r="G760" s="8" t="str">
        <f t="shared" si="24"/>
        <v>ON1</v>
      </c>
      <c r="H760" s="8" t="s">
        <v>20</v>
      </c>
      <c r="I760" s="8" t="s">
        <v>338</v>
      </c>
      <c r="J760" s="8" t="str">
        <f>""</f>
        <v/>
      </c>
      <c r="K760" s="8" t="str">
        <f>"PFES1162671189_0001"</f>
        <v>PFES1162671189_0001</v>
      </c>
      <c r="L760" s="8">
        <v>1</v>
      </c>
      <c r="M760" s="8">
        <v>1</v>
      </c>
    </row>
    <row r="761" spans="1:13">
      <c r="A761" s="6">
        <v>43502</v>
      </c>
      <c r="B761" s="7">
        <v>0.47083333333333338</v>
      </c>
      <c r="C761" s="8" t="str">
        <f>"FES1162671247"</f>
        <v>FES1162671247</v>
      </c>
      <c r="D761" s="8" t="s">
        <v>18</v>
      </c>
      <c r="E761" s="8" t="s">
        <v>186</v>
      </c>
      <c r="F761" s="8" t="str">
        <f>"2170672600 "</f>
        <v xml:space="preserve">2170672600 </v>
      </c>
      <c r="G761" s="8" t="str">
        <f t="shared" si="24"/>
        <v>ON1</v>
      </c>
      <c r="H761" s="8" t="s">
        <v>20</v>
      </c>
      <c r="I761" s="8" t="s">
        <v>48</v>
      </c>
      <c r="J761" s="8" t="str">
        <f>""</f>
        <v/>
      </c>
      <c r="K761" s="8" t="str">
        <f>"PFES1162671247_0001"</f>
        <v>PFES1162671247_0001</v>
      </c>
      <c r="L761" s="8">
        <v>1</v>
      </c>
      <c r="M761" s="8">
        <v>1</v>
      </c>
    </row>
    <row r="762" spans="1:13">
      <c r="A762" s="6">
        <v>43502</v>
      </c>
      <c r="B762" s="7">
        <v>0.47013888888888888</v>
      </c>
      <c r="C762" s="8" t="str">
        <f>"FES1162671072"</f>
        <v>FES1162671072</v>
      </c>
      <c r="D762" s="8" t="s">
        <v>18</v>
      </c>
      <c r="E762" s="8" t="s">
        <v>129</v>
      </c>
      <c r="F762" s="8" t="str">
        <f>"2170672551 "</f>
        <v xml:space="preserve">2170672551 </v>
      </c>
      <c r="G762" s="8" t="str">
        <f t="shared" si="24"/>
        <v>ON1</v>
      </c>
      <c r="H762" s="8" t="s">
        <v>20</v>
      </c>
      <c r="I762" s="8" t="s">
        <v>130</v>
      </c>
      <c r="J762" s="8" t="str">
        <f>""</f>
        <v/>
      </c>
      <c r="K762" s="8" t="str">
        <f>"PFES1162671072_0001"</f>
        <v>PFES1162671072_0001</v>
      </c>
      <c r="L762" s="8">
        <v>2</v>
      </c>
      <c r="M762" s="8">
        <v>5</v>
      </c>
    </row>
    <row r="763" spans="1:13">
      <c r="A763" s="6">
        <v>43502</v>
      </c>
      <c r="B763" s="7">
        <v>0.47013888888888888</v>
      </c>
      <c r="C763" s="8" t="str">
        <f>"FES1162671072"</f>
        <v>FES1162671072</v>
      </c>
      <c r="D763" s="8" t="s">
        <v>18</v>
      </c>
      <c r="E763" s="8" t="s">
        <v>129</v>
      </c>
      <c r="F763" s="8" t="str">
        <f>"2170672551 "</f>
        <v xml:space="preserve">2170672551 </v>
      </c>
      <c r="G763" s="8" t="str">
        <f t="shared" si="24"/>
        <v>ON1</v>
      </c>
      <c r="H763" s="8" t="s">
        <v>20</v>
      </c>
      <c r="I763" s="8" t="s">
        <v>130</v>
      </c>
      <c r="J763" s="8"/>
      <c r="K763" s="8" t="str">
        <f>"PFES1162671072_0002"</f>
        <v>PFES1162671072_0002</v>
      </c>
      <c r="L763" s="8">
        <v>2</v>
      </c>
      <c r="M763" s="8">
        <v>5</v>
      </c>
    </row>
    <row r="764" spans="1:13">
      <c r="A764" s="6">
        <v>43502</v>
      </c>
      <c r="B764" s="7">
        <v>0.4694444444444445</v>
      </c>
      <c r="C764" s="8" t="str">
        <f>"FES1162671419"</f>
        <v>FES1162671419</v>
      </c>
      <c r="D764" s="8" t="s">
        <v>18</v>
      </c>
      <c r="E764" s="8" t="s">
        <v>591</v>
      </c>
      <c r="F764" s="8" t="str">
        <f>"2170670973 "</f>
        <v xml:space="preserve">2170670973 </v>
      </c>
      <c r="G764" s="8" t="str">
        <f t="shared" si="24"/>
        <v>ON1</v>
      </c>
      <c r="H764" s="8" t="s">
        <v>20</v>
      </c>
      <c r="I764" s="8" t="s">
        <v>117</v>
      </c>
      <c r="J764" s="8" t="str">
        <f>""</f>
        <v/>
      </c>
      <c r="K764" s="8" t="str">
        <f>"PFES1162671419_0001"</f>
        <v>PFES1162671419_0001</v>
      </c>
      <c r="L764" s="8">
        <v>1</v>
      </c>
      <c r="M764" s="8">
        <v>3</v>
      </c>
    </row>
    <row r="765" spans="1:13">
      <c r="A765" s="6">
        <v>43502</v>
      </c>
      <c r="B765" s="7">
        <v>0.4680555555555555</v>
      </c>
      <c r="C765" s="8" t="str">
        <f>"FES1162671450"</f>
        <v>FES1162671450</v>
      </c>
      <c r="D765" s="8" t="s">
        <v>18</v>
      </c>
      <c r="E765" s="8" t="s">
        <v>592</v>
      </c>
      <c r="F765" s="8" t="str">
        <f>"2170672787 "</f>
        <v xml:space="preserve">2170672787 </v>
      </c>
      <c r="G765" s="8" t="str">
        <f t="shared" si="24"/>
        <v>ON1</v>
      </c>
      <c r="H765" s="8" t="s">
        <v>20</v>
      </c>
      <c r="I765" s="8" t="s">
        <v>63</v>
      </c>
      <c r="J765" s="8" t="str">
        <f>""</f>
        <v/>
      </c>
      <c r="K765" s="8" t="str">
        <f>"PFES1162671450_0001"</f>
        <v>PFES1162671450_0001</v>
      </c>
      <c r="L765" s="8">
        <v>1</v>
      </c>
      <c r="M765" s="8">
        <v>2</v>
      </c>
    </row>
    <row r="766" spans="1:13">
      <c r="A766" s="6">
        <v>43502</v>
      </c>
      <c r="B766" s="7">
        <v>0.46666666666666662</v>
      </c>
      <c r="C766" s="8" t="str">
        <f>"FES1162671469"</f>
        <v>FES1162671469</v>
      </c>
      <c r="D766" s="8" t="s">
        <v>18</v>
      </c>
      <c r="E766" s="8" t="s">
        <v>157</v>
      </c>
      <c r="F766" s="8" t="str">
        <f>"2170672795 "</f>
        <v xml:space="preserve">2170672795 </v>
      </c>
      <c r="G766" s="8" t="str">
        <f t="shared" si="24"/>
        <v>ON1</v>
      </c>
      <c r="H766" s="8" t="s">
        <v>20</v>
      </c>
      <c r="I766" s="8" t="s">
        <v>158</v>
      </c>
      <c r="J766" s="8" t="str">
        <f>""</f>
        <v/>
      </c>
      <c r="K766" s="8" t="str">
        <f>"PFES1162671469_0001"</f>
        <v>PFES1162671469_0001</v>
      </c>
      <c r="L766" s="8">
        <v>1</v>
      </c>
      <c r="M766" s="8">
        <v>1</v>
      </c>
    </row>
    <row r="767" spans="1:13">
      <c r="A767" s="6">
        <v>43502</v>
      </c>
      <c r="B767" s="7">
        <v>0.46666666666666662</v>
      </c>
      <c r="C767" s="8" t="str">
        <f>"FES1162671184"</f>
        <v>FES1162671184</v>
      </c>
      <c r="D767" s="8" t="s">
        <v>18</v>
      </c>
      <c r="E767" s="8" t="s">
        <v>380</v>
      </c>
      <c r="F767" s="8" t="str">
        <f>"2170671127 "</f>
        <v xml:space="preserve">2170671127 </v>
      </c>
      <c r="G767" s="8" t="str">
        <f t="shared" si="24"/>
        <v>ON1</v>
      </c>
      <c r="H767" s="8" t="s">
        <v>20</v>
      </c>
      <c r="I767" s="8" t="s">
        <v>213</v>
      </c>
      <c r="J767" s="8" t="str">
        <f>""</f>
        <v/>
      </c>
      <c r="K767" s="8" t="str">
        <f>"PFES1162671184_0001"</f>
        <v>PFES1162671184_0001</v>
      </c>
      <c r="L767" s="8">
        <v>1</v>
      </c>
      <c r="M767" s="8">
        <v>1</v>
      </c>
    </row>
    <row r="768" spans="1:13">
      <c r="A768" s="6">
        <v>43502</v>
      </c>
      <c r="B768" s="7">
        <v>0.46666666666666662</v>
      </c>
      <c r="C768" s="8" t="str">
        <f>"FES1162671246"</f>
        <v>FES1162671246</v>
      </c>
      <c r="D768" s="8" t="s">
        <v>18</v>
      </c>
      <c r="E768" s="8" t="s">
        <v>138</v>
      </c>
      <c r="F768" s="8" t="str">
        <f>"2170672599 "</f>
        <v xml:space="preserve">2170672599 </v>
      </c>
      <c r="G768" s="8" t="str">
        <f t="shared" si="24"/>
        <v>ON1</v>
      </c>
      <c r="H768" s="8" t="s">
        <v>20</v>
      </c>
      <c r="I768" s="8" t="s">
        <v>139</v>
      </c>
      <c r="J768" s="8" t="str">
        <f>""</f>
        <v/>
      </c>
      <c r="K768" s="8" t="str">
        <f>"PFES1162671246_0001"</f>
        <v>PFES1162671246_0001</v>
      </c>
      <c r="L768" s="8">
        <v>1</v>
      </c>
      <c r="M768" s="8">
        <v>1</v>
      </c>
    </row>
    <row r="769" spans="1:13">
      <c r="A769" s="6">
        <v>43502</v>
      </c>
      <c r="B769" s="7">
        <v>0.46597222222222223</v>
      </c>
      <c r="C769" s="8" t="str">
        <f>"FES1162671279"</f>
        <v>FES1162671279</v>
      </c>
      <c r="D769" s="8" t="s">
        <v>18</v>
      </c>
      <c r="E769" s="8" t="s">
        <v>132</v>
      </c>
      <c r="F769" s="8" t="str">
        <f>"2170672640 "</f>
        <v xml:space="preserve">2170672640 </v>
      </c>
      <c r="G769" s="8" t="str">
        <f t="shared" si="24"/>
        <v>ON1</v>
      </c>
      <c r="H769" s="8" t="s">
        <v>20</v>
      </c>
      <c r="I769" s="8" t="s">
        <v>133</v>
      </c>
      <c r="J769" s="8" t="str">
        <f>""</f>
        <v/>
      </c>
      <c r="K769" s="8" t="str">
        <f>"PFES1162671279_0001"</f>
        <v>PFES1162671279_0001</v>
      </c>
      <c r="L769" s="8">
        <v>1</v>
      </c>
      <c r="M769" s="8">
        <v>1</v>
      </c>
    </row>
    <row r="770" spans="1:13">
      <c r="A770" s="6">
        <v>43502</v>
      </c>
      <c r="B770" s="7">
        <v>0.46597222222222223</v>
      </c>
      <c r="C770" s="8" t="str">
        <f>"FES1162671426"</f>
        <v>FES1162671426</v>
      </c>
      <c r="D770" s="8" t="s">
        <v>18</v>
      </c>
      <c r="E770" s="8" t="s">
        <v>316</v>
      </c>
      <c r="F770" s="8" t="str">
        <f>"2170671444 "</f>
        <v xml:space="preserve">2170671444 </v>
      </c>
      <c r="G770" s="8" t="str">
        <f t="shared" si="24"/>
        <v>ON1</v>
      </c>
      <c r="H770" s="8" t="s">
        <v>20</v>
      </c>
      <c r="I770" s="8" t="s">
        <v>272</v>
      </c>
      <c r="J770" s="8" t="str">
        <f>""</f>
        <v/>
      </c>
      <c r="K770" s="8" t="str">
        <f>"PFES1162671426_0001"</f>
        <v>PFES1162671426_0001</v>
      </c>
      <c r="L770" s="8">
        <v>1</v>
      </c>
      <c r="M770" s="8">
        <v>6</v>
      </c>
    </row>
    <row r="771" spans="1:13">
      <c r="A771" s="6">
        <v>43502</v>
      </c>
      <c r="B771" s="7">
        <v>0.46527777777777773</v>
      </c>
      <c r="C771" s="8" t="str">
        <f>"FES1162671108"</f>
        <v>FES1162671108</v>
      </c>
      <c r="D771" s="8" t="s">
        <v>18</v>
      </c>
      <c r="E771" s="8" t="s">
        <v>380</v>
      </c>
      <c r="F771" s="8" t="str">
        <f>"2170672105 "</f>
        <v xml:space="preserve">2170672105 </v>
      </c>
      <c r="G771" s="8" t="str">
        <f t="shared" si="24"/>
        <v>ON1</v>
      </c>
      <c r="H771" s="8" t="s">
        <v>20</v>
      </c>
      <c r="I771" s="8" t="s">
        <v>213</v>
      </c>
      <c r="J771" s="8" t="str">
        <f>""</f>
        <v/>
      </c>
      <c r="K771" s="8" t="str">
        <f>"PFES1162671108_0001"</f>
        <v>PFES1162671108_0001</v>
      </c>
      <c r="L771" s="8">
        <v>1</v>
      </c>
      <c r="M771" s="8">
        <v>1</v>
      </c>
    </row>
    <row r="772" spans="1:13">
      <c r="A772" s="6">
        <v>43502</v>
      </c>
      <c r="B772" s="7">
        <v>0.46527777777777773</v>
      </c>
      <c r="C772" s="8" t="str">
        <f>"FES1162671229"</f>
        <v>FES1162671229</v>
      </c>
      <c r="D772" s="8" t="s">
        <v>18</v>
      </c>
      <c r="E772" s="8" t="s">
        <v>190</v>
      </c>
      <c r="F772" s="8" t="str">
        <f>"2170670724 "</f>
        <v xml:space="preserve">2170670724 </v>
      </c>
      <c r="G772" s="8" t="str">
        <f t="shared" si="24"/>
        <v>ON1</v>
      </c>
      <c r="H772" s="8" t="s">
        <v>20</v>
      </c>
      <c r="I772" s="8" t="s">
        <v>213</v>
      </c>
      <c r="J772" s="8" t="str">
        <f>""</f>
        <v/>
      </c>
      <c r="K772" s="8" t="str">
        <f>"PFES1162671229_0001"</f>
        <v>PFES1162671229_0001</v>
      </c>
      <c r="L772" s="8">
        <v>1</v>
      </c>
      <c r="M772" s="8">
        <v>1</v>
      </c>
    </row>
    <row r="773" spans="1:13">
      <c r="A773" s="6">
        <v>43502</v>
      </c>
      <c r="B773" s="7">
        <v>0.68888888888888899</v>
      </c>
      <c r="C773" s="8" t="str">
        <f>"FES1162671652"</f>
        <v>FES1162671652</v>
      </c>
      <c r="D773" s="8" t="s">
        <v>18</v>
      </c>
      <c r="E773" s="8" t="s">
        <v>593</v>
      </c>
      <c r="F773" s="8" t="str">
        <f>"2170672981 "</f>
        <v xml:space="preserve">2170672981 </v>
      </c>
      <c r="G773" s="8" t="str">
        <f t="shared" si="24"/>
        <v>ON1</v>
      </c>
      <c r="H773" s="8" t="s">
        <v>20</v>
      </c>
      <c r="I773" s="8" t="s">
        <v>594</v>
      </c>
      <c r="J773" s="8" t="str">
        <f>""</f>
        <v/>
      </c>
      <c r="K773" s="8" t="str">
        <f>"PFES1162671652_0001"</f>
        <v>PFES1162671652_0001</v>
      </c>
      <c r="L773" s="8">
        <v>1</v>
      </c>
      <c r="M773" s="8">
        <v>6</v>
      </c>
    </row>
    <row r="774" spans="1:13">
      <c r="A774" s="6">
        <v>43502</v>
      </c>
      <c r="B774" s="7">
        <v>0.68611111111111101</v>
      </c>
      <c r="C774" s="8" t="str">
        <f>"FES1162671670"</f>
        <v>FES1162671670</v>
      </c>
      <c r="D774" s="8" t="s">
        <v>18</v>
      </c>
      <c r="E774" s="8" t="s">
        <v>595</v>
      </c>
      <c r="F774" s="8" t="str">
        <f>"2170672997 "</f>
        <v xml:space="preserve">2170672997 </v>
      </c>
      <c r="G774" s="8" t="str">
        <f t="shared" si="24"/>
        <v>ON1</v>
      </c>
      <c r="H774" s="8" t="s">
        <v>20</v>
      </c>
      <c r="I774" s="8" t="s">
        <v>111</v>
      </c>
      <c r="J774" s="8" t="str">
        <f>""</f>
        <v/>
      </c>
      <c r="K774" s="8" t="str">
        <f>"PFES1162671670_0001"</f>
        <v>PFES1162671670_0001</v>
      </c>
      <c r="L774" s="8">
        <v>1</v>
      </c>
      <c r="M774" s="8">
        <v>3</v>
      </c>
    </row>
    <row r="775" spans="1:13">
      <c r="A775" s="6">
        <v>43502</v>
      </c>
      <c r="B775" s="7">
        <v>0.68541666666666667</v>
      </c>
      <c r="C775" s="8" t="str">
        <f>"FES1162671675"</f>
        <v>FES1162671675</v>
      </c>
      <c r="D775" s="8" t="s">
        <v>18</v>
      </c>
      <c r="E775" s="8" t="s">
        <v>454</v>
      </c>
      <c r="F775" s="8" t="str">
        <f>"2170672994 "</f>
        <v xml:space="preserve">2170672994 </v>
      </c>
      <c r="G775" s="8" t="str">
        <f t="shared" si="24"/>
        <v>ON1</v>
      </c>
      <c r="H775" s="8" t="s">
        <v>20</v>
      </c>
      <c r="I775" s="8" t="s">
        <v>455</v>
      </c>
      <c r="J775" s="8" t="str">
        <f>""</f>
        <v/>
      </c>
      <c r="K775" s="8" t="str">
        <f>"PFES1162671675_0001"</f>
        <v>PFES1162671675_0001</v>
      </c>
      <c r="L775" s="8">
        <v>1</v>
      </c>
      <c r="M775" s="8">
        <v>1</v>
      </c>
    </row>
    <row r="776" spans="1:13">
      <c r="A776" s="6">
        <v>43502</v>
      </c>
      <c r="B776" s="7">
        <v>0.68541666666666667</v>
      </c>
      <c r="C776" s="8" t="str">
        <f>"FES1162671665"</f>
        <v>FES1162671665</v>
      </c>
      <c r="D776" s="8" t="s">
        <v>18</v>
      </c>
      <c r="E776" s="8" t="s">
        <v>297</v>
      </c>
      <c r="F776" s="8" t="str">
        <f>"217067973 "</f>
        <v xml:space="preserve">217067973 </v>
      </c>
      <c r="G776" s="8" t="str">
        <f t="shared" si="24"/>
        <v>ON1</v>
      </c>
      <c r="H776" s="8" t="s">
        <v>20</v>
      </c>
      <c r="I776" s="8" t="s">
        <v>210</v>
      </c>
      <c r="J776" s="8" t="str">
        <f>""</f>
        <v/>
      </c>
      <c r="K776" s="8" t="str">
        <f>"PFES1162671665_0001"</f>
        <v>PFES1162671665_0001</v>
      </c>
      <c r="L776" s="8">
        <v>1</v>
      </c>
      <c r="M776" s="8">
        <v>1</v>
      </c>
    </row>
    <row r="777" spans="1:13">
      <c r="A777" s="6">
        <v>43502</v>
      </c>
      <c r="B777" s="7">
        <v>0.68472222222222223</v>
      </c>
      <c r="C777" s="8" t="str">
        <f>"FES1162671656"</f>
        <v>FES1162671656</v>
      </c>
      <c r="D777" s="8" t="s">
        <v>18</v>
      </c>
      <c r="E777" s="8" t="s">
        <v>88</v>
      </c>
      <c r="F777" s="8" t="str">
        <f>"2170672984 "</f>
        <v xml:space="preserve">2170672984 </v>
      </c>
      <c r="G777" s="8" t="str">
        <f t="shared" si="24"/>
        <v>ON1</v>
      </c>
      <c r="H777" s="8" t="s">
        <v>20</v>
      </c>
      <c r="I777" s="8" t="s">
        <v>89</v>
      </c>
      <c r="J777" s="8" t="str">
        <f>""</f>
        <v/>
      </c>
      <c r="K777" s="8" t="str">
        <f>"PFES1162671656_0001"</f>
        <v>PFES1162671656_0001</v>
      </c>
      <c r="L777" s="8">
        <v>1</v>
      </c>
      <c r="M777" s="8">
        <v>3</v>
      </c>
    </row>
    <row r="778" spans="1:13">
      <c r="A778" s="6">
        <v>43502</v>
      </c>
      <c r="B778" s="7">
        <v>0.68333333333333324</v>
      </c>
      <c r="C778" s="8" t="str">
        <f>"FES1162671666"</f>
        <v>FES1162671666</v>
      </c>
      <c r="D778" s="8" t="s">
        <v>18</v>
      </c>
      <c r="E778" s="8" t="s">
        <v>297</v>
      </c>
      <c r="F778" s="8" t="str">
        <f>"2170672989 "</f>
        <v xml:space="preserve">2170672989 </v>
      </c>
      <c r="G778" s="8" t="str">
        <f t="shared" ref="G778:G810" si="25">"ON1"</f>
        <v>ON1</v>
      </c>
      <c r="H778" s="8" t="s">
        <v>20</v>
      </c>
      <c r="I778" s="8" t="s">
        <v>210</v>
      </c>
      <c r="J778" s="8" t="str">
        <f>""</f>
        <v/>
      </c>
      <c r="K778" s="8" t="str">
        <f>"PFES1162671666_0001"</f>
        <v>PFES1162671666_0001</v>
      </c>
      <c r="L778" s="8">
        <v>1</v>
      </c>
      <c r="M778" s="8">
        <v>1</v>
      </c>
    </row>
    <row r="779" spans="1:13">
      <c r="A779" s="6">
        <v>43502</v>
      </c>
      <c r="B779" s="7">
        <v>0.68333333333333324</v>
      </c>
      <c r="C779" s="8" t="str">
        <f>"FES1162671245"</f>
        <v>FES1162671245</v>
      </c>
      <c r="D779" s="8" t="s">
        <v>18</v>
      </c>
      <c r="E779" s="8" t="s">
        <v>295</v>
      </c>
      <c r="F779" s="8" t="str">
        <f>"2170672258 "</f>
        <v xml:space="preserve">2170672258 </v>
      </c>
      <c r="G779" s="8" t="str">
        <f t="shared" si="25"/>
        <v>ON1</v>
      </c>
      <c r="H779" s="8" t="s">
        <v>20</v>
      </c>
      <c r="I779" s="8" t="s">
        <v>53</v>
      </c>
      <c r="J779" s="8" t="str">
        <f>""</f>
        <v/>
      </c>
      <c r="K779" s="8" t="str">
        <f>"PFES1162671245_0001"</f>
        <v>PFES1162671245_0001</v>
      </c>
      <c r="L779" s="8">
        <v>1</v>
      </c>
      <c r="M779" s="8">
        <v>1</v>
      </c>
    </row>
    <row r="780" spans="1:13">
      <c r="A780" s="6">
        <v>43502</v>
      </c>
      <c r="B780" s="7">
        <v>0.67847222222222225</v>
      </c>
      <c r="C780" s="8" t="str">
        <f>"FES1162671643"</f>
        <v>FES1162671643</v>
      </c>
      <c r="D780" s="8" t="s">
        <v>18</v>
      </c>
      <c r="E780" s="8" t="s">
        <v>19</v>
      </c>
      <c r="F780" s="8" t="str">
        <f>"2170672967 "</f>
        <v xml:space="preserve">2170672967 </v>
      </c>
      <c r="G780" s="8" t="str">
        <f t="shared" si="25"/>
        <v>ON1</v>
      </c>
      <c r="H780" s="8" t="s">
        <v>20</v>
      </c>
      <c r="I780" s="8" t="s">
        <v>21</v>
      </c>
      <c r="J780" s="8" t="str">
        <f>""</f>
        <v/>
      </c>
      <c r="K780" s="8" t="str">
        <f>"PFES1162671643_0001"</f>
        <v>PFES1162671643_0001</v>
      </c>
      <c r="L780" s="8">
        <v>1</v>
      </c>
      <c r="M780" s="8">
        <v>3</v>
      </c>
    </row>
    <row r="781" spans="1:13">
      <c r="A781" s="6">
        <v>43502</v>
      </c>
      <c r="B781" s="7">
        <v>0.6777777777777777</v>
      </c>
      <c r="C781" s="8" t="str">
        <f>"FES1162671668"</f>
        <v>FES1162671668</v>
      </c>
      <c r="D781" s="8" t="s">
        <v>18</v>
      </c>
      <c r="E781" s="8" t="s">
        <v>596</v>
      </c>
      <c r="F781" s="8" t="str">
        <f>"2170672995 "</f>
        <v xml:space="preserve">2170672995 </v>
      </c>
      <c r="G781" s="8" t="str">
        <f t="shared" si="25"/>
        <v>ON1</v>
      </c>
      <c r="H781" s="8" t="s">
        <v>20</v>
      </c>
      <c r="I781" s="8" t="s">
        <v>597</v>
      </c>
      <c r="J781" s="8" t="str">
        <f>""</f>
        <v/>
      </c>
      <c r="K781" s="8" t="str">
        <f>"PFES1162671668_0001"</f>
        <v>PFES1162671668_0001</v>
      </c>
      <c r="L781" s="8">
        <v>1</v>
      </c>
      <c r="M781" s="8">
        <v>1</v>
      </c>
    </row>
    <row r="782" spans="1:13">
      <c r="A782" s="6">
        <v>43502</v>
      </c>
      <c r="B782" s="7">
        <v>0.67638888888888893</v>
      </c>
      <c r="C782" s="8" t="str">
        <f>"FES1162671659"</f>
        <v>FES1162671659</v>
      </c>
      <c r="D782" s="8" t="s">
        <v>18</v>
      </c>
      <c r="E782" s="8" t="s">
        <v>74</v>
      </c>
      <c r="F782" s="8" t="str">
        <f>"2170672983 "</f>
        <v xml:space="preserve">2170672983 </v>
      </c>
      <c r="G782" s="8" t="str">
        <f t="shared" si="25"/>
        <v>ON1</v>
      </c>
      <c r="H782" s="8" t="s">
        <v>20</v>
      </c>
      <c r="I782" s="8" t="s">
        <v>75</v>
      </c>
      <c r="J782" s="8" t="str">
        <f>""</f>
        <v/>
      </c>
      <c r="K782" s="8" t="str">
        <f>"PFES1162671659_0001"</f>
        <v>PFES1162671659_0001</v>
      </c>
      <c r="L782" s="8">
        <v>1</v>
      </c>
      <c r="M782" s="8">
        <v>2</v>
      </c>
    </row>
    <row r="783" spans="1:13">
      <c r="A783" s="6">
        <v>43502</v>
      </c>
      <c r="B783" s="7">
        <v>0.67499999999999993</v>
      </c>
      <c r="C783" s="8" t="str">
        <f>"FES1162671640"</f>
        <v>FES1162671640</v>
      </c>
      <c r="D783" s="8" t="s">
        <v>18</v>
      </c>
      <c r="E783" s="8" t="s">
        <v>19</v>
      </c>
      <c r="F783" s="8" t="str">
        <f>"2170672964 "</f>
        <v xml:space="preserve">2170672964 </v>
      </c>
      <c r="G783" s="8" t="str">
        <f t="shared" si="25"/>
        <v>ON1</v>
      </c>
      <c r="H783" s="8" t="s">
        <v>20</v>
      </c>
      <c r="I783" s="8" t="s">
        <v>21</v>
      </c>
      <c r="J783" s="8" t="str">
        <f>""</f>
        <v/>
      </c>
      <c r="K783" s="8" t="str">
        <f>"PFES1162671640_0001"</f>
        <v>PFES1162671640_0001</v>
      </c>
      <c r="L783" s="8">
        <v>1</v>
      </c>
      <c r="M783" s="8">
        <v>9</v>
      </c>
    </row>
    <row r="784" spans="1:13">
      <c r="A784" s="6">
        <v>43502</v>
      </c>
      <c r="B784" s="7">
        <v>0.6694444444444444</v>
      </c>
      <c r="C784" s="8" t="str">
        <f>"FES1162671645"</f>
        <v>FES1162671645</v>
      </c>
      <c r="D784" s="8" t="s">
        <v>18</v>
      </c>
      <c r="E784" s="8" t="s">
        <v>178</v>
      </c>
      <c r="F784" s="8" t="str">
        <f>"2170672969 "</f>
        <v xml:space="preserve">2170672969 </v>
      </c>
      <c r="G784" s="8" t="str">
        <f t="shared" si="25"/>
        <v>ON1</v>
      </c>
      <c r="H784" s="8" t="s">
        <v>20</v>
      </c>
      <c r="I784" s="8" t="s">
        <v>573</v>
      </c>
      <c r="J784" s="8" t="str">
        <f>""</f>
        <v/>
      </c>
      <c r="K784" s="8" t="str">
        <f>"PFES1162671645_0001"</f>
        <v>PFES1162671645_0001</v>
      </c>
      <c r="L784" s="8">
        <v>1</v>
      </c>
      <c r="M784" s="8">
        <v>1</v>
      </c>
    </row>
    <row r="785" spans="1:13">
      <c r="A785" s="6">
        <v>43502</v>
      </c>
      <c r="B785" s="7">
        <v>0.6694444444444444</v>
      </c>
      <c r="C785" s="8" t="str">
        <f>"FES1162671664"</f>
        <v>FES1162671664</v>
      </c>
      <c r="D785" s="8" t="s">
        <v>18</v>
      </c>
      <c r="E785" s="8" t="s">
        <v>164</v>
      </c>
      <c r="F785" s="8" t="str">
        <f>"2170672036 "</f>
        <v xml:space="preserve">2170672036 </v>
      </c>
      <c r="G785" s="8" t="str">
        <f t="shared" si="25"/>
        <v>ON1</v>
      </c>
      <c r="H785" s="8" t="s">
        <v>20</v>
      </c>
      <c r="I785" s="8" t="s">
        <v>165</v>
      </c>
      <c r="J785" s="8" t="str">
        <f>""</f>
        <v/>
      </c>
      <c r="K785" s="8" t="str">
        <f>"PFES1162671664_0001"</f>
        <v>PFES1162671664_0001</v>
      </c>
      <c r="L785" s="8">
        <v>1</v>
      </c>
      <c r="M785" s="8">
        <v>1</v>
      </c>
    </row>
    <row r="786" spans="1:13">
      <c r="A786" s="6">
        <v>43502</v>
      </c>
      <c r="B786" s="7">
        <v>0.66736111111111107</v>
      </c>
      <c r="C786" s="8" t="str">
        <f>"FES1162671634"</f>
        <v>FES1162671634</v>
      </c>
      <c r="D786" s="8" t="s">
        <v>18</v>
      </c>
      <c r="E786" s="8" t="s">
        <v>19</v>
      </c>
      <c r="F786" s="8" t="str">
        <f>"2170672960 "</f>
        <v xml:space="preserve">2170672960 </v>
      </c>
      <c r="G786" s="8" t="str">
        <f t="shared" si="25"/>
        <v>ON1</v>
      </c>
      <c r="H786" s="8" t="s">
        <v>20</v>
      </c>
      <c r="I786" s="8" t="s">
        <v>21</v>
      </c>
      <c r="J786" s="8" t="str">
        <f>""</f>
        <v/>
      </c>
      <c r="K786" s="8" t="str">
        <f>"PFES1162671634_0001"</f>
        <v>PFES1162671634_0001</v>
      </c>
      <c r="L786" s="8">
        <v>1</v>
      </c>
      <c r="M786" s="8">
        <v>1</v>
      </c>
    </row>
    <row r="787" spans="1:13">
      <c r="A787" s="6">
        <v>43502</v>
      </c>
      <c r="B787" s="7">
        <v>0.66736111111111107</v>
      </c>
      <c r="C787" s="8" t="str">
        <f>"FES1162671641"</f>
        <v>FES1162671641</v>
      </c>
      <c r="D787" s="8" t="s">
        <v>18</v>
      </c>
      <c r="E787" s="8" t="s">
        <v>19</v>
      </c>
      <c r="F787" s="8" t="str">
        <f>"2170672965 "</f>
        <v xml:space="preserve">2170672965 </v>
      </c>
      <c r="G787" s="8" t="str">
        <f t="shared" si="25"/>
        <v>ON1</v>
      </c>
      <c r="H787" s="8" t="s">
        <v>20</v>
      </c>
      <c r="I787" s="8" t="s">
        <v>21</v>
      </c>
      <c r="J787" s="8" t="str">
        <f>""</f>
        <v/>
      </c>
      <c r="K787" s="8" t="str">
        <f>"PFES1162671641_0001"</f>
        <v>PFES1162671641_0001</v>
      </c>
      <c r="L787" s="8">
        <v>1</v>
      </c>
      <c r="M787" s="8">
        <v>1</v>
      </c>
    </row>
    <row r="788" spans="1:13">
      <c r="A788" s="6">
        <v>43502</v>
      </c>
      <c r="B788" s="7">
        <v>0.66666666666666663</v>
      </c>
      <c r="C788" s="8" t="str">
        <f>"FES1162671649"</f>
        <v>FES1162671649</v>
      </c>
      <c r="D788" s="8" t="s">
        <v>18</v>
      </c>
      <c r="E788" s="8" t="s">
        <v>598</v>
      </c>
      <c r="F788" s="8" t="str">
        <f>"2170672974 "</f>
        <v xml:space="preserve">2170672974 </v>
      </c>
      <c r="G788" s="8" t="str">
        <f t="shared" si="25"/>
        <v>ON1</v>
      </c>
      <c r="H788" s="8" t="s">
        <v>20</v>
      </c>
      <c r="I788" s="8" t="s">
        <v>599</v>
      </c>
      <c r="J788" s="8" t="str">
        <f>""</f>
        <v/>
      </c>
      <c r="K788" s="8" t="str">
        <f>"PFES1162671649_0001"</f>
        <v>PFES1162671649_0001</v>
      </c>
      <c r="L788" s="8">
        <v>1</v>
      </c>
      <c r="M788" s="8">
        <v>1</v>
      </c>
    </row>
    <row r="789" spans="1:13">
      <c r="A789" s="6">
        <v>43502</v>
      </c>
      <c r="B789" s="7">
        <v>0.66666666666666663</v>
      </c>
      <c r="C789" s="8" t="str">
        <f>"FES1162671635"</f>
        <v>FES1162671635</v>
      </c>
      <c r="D789" s="8" t="s">
        <v>18</v>
      </c>
      <c r="E789" s="8" t="s">
        <v>587</v>
      </c>
      <c r="F789" s="8" t="str">
        <f>"217067961 "</f>
        <v xml:space="preserve">217067961 </v>
      </c>
      <c r="G789" s="8" t="str">
        <f t="shared" si="25"/>
        <v>ON1</v>
      </c>
      <c r="H789" s="8" t="s">
        <v>20</v>
      </c>
      <c r="I789" s="8" t="s">
        <v>588</v>
      </c>
      <c r="J789" s="8" t="str">
        <f>""</f>
        <v/>
      </c>
      <c r="K789" s="8" t="str">
        <f>"PFES1162671635_0001"</f>
        <v>PFES1162671635_0001</v>
      </c>
      <c r="L789" s="8">
        <v>1</v>
      </c>
      <c r="M789" s="8">
        <v>1</v>
      </c>
    </row>
    <row r="790" spans="1:13">
      <c r="A790" s="6">
        <v>43502</v>
      </c>
      <c r="B790" s="7">
        <v>0.66597222222222219</v>
      </c>
      <c r="C790" s="8" t="str">
        <f>"FES1162671651"</f>
        <v>FES1162671651</v>
      </c>
      <c r="D790" s="8" t="s">
        <v>18</v>
      </c>
      <c r="E790" s="8" t="s">
        <v>600</v>
      </c>
      <c r="F790" s="8" t="str">
        <f>"2170672980 "</f>
        <v xml:space="preserve">2170672980 </v>
      </c>
      <c r="G790" s="8" t="str">
        <f t="shared" si="25"/>
        <v>ON1</v>
      </c>
      <c r="H790" s="8" t="s">
        <v>20</v>
      </c>
      <c r="I790" s="8" t="s">
        <v>126</v>
      </c>
      <c r="J790" s="8" t="str">
        <f>""</f>
        <v/>
      </c>
      <c r="K790" s="8" t="str">
        <f>"PFES1162671651_0001"</f>
        <v>PFES1162671651_0001</v>
      </c>
      <c r="L790" s="8">
        <v>1</v>
      </c>
      <c r="M790" s="8">
        <v>1</v>
      </c>
    </row>
    <row r="791" spans="1:13">
      <c r="A791" s="6">
        <v>43502</v>
      </c>
      <c r="B791" s="7">
        <v>0.66527777777777775</v>
      </c>
      <c r="C791" s="8" t="str">
        <f>"FES1162671622"</f>
        <v>FES1162671622</v>
      </c>
      <c r="D791" s="8" t="s">
        <v>18</v>
      </c>
      <c r="E791" s="8" t="s">
        <v>78</v>
      </c>
      <c r="F791" s="8" t="str">
        <f>"2170672950 "</f>
        <v xml:space="preserve">2170672950 </v>
      </c>
      <c r="G791" s="8" t="str">
        <f t="shared" si="25"/>
        <v>ON1</v>
      </c>
      <c r="H791" s="8" t="s">
        <v>20</v>
      </c>
      <c r="I791" s="8" t="s">
        <v>79</v>
      </c>
      <c r="J791" s="8" t="str">
        <f>""</f>
        <v/>
      </c>
      <c r="K791" s="8" t="str">
        <f>"PFES1162671622_0001"</f>
        <v>PFES1162671622_0001</v>
      </c>
      <c r="L791" s="8">
        <v>1</v>
      </c>
      <c r="M791" s="8">
        <v>7</v>
      </c>
    </row>
    <row r="792" spans="1:13">
      <c r="A792" s="6">
        <v>43502</v>
      </c>
      <c r="B792" s="7">
        <v>0.66388888888888886</v>
      </c>
      <c r="C792" s="8" t="str">
        <f>"FES1162671655"</f>
        <v>FES1162671655</v>
      </c>
      <c r="D792" s="8" t="s">
        <v>18</v>
      </c>
      <c r="E792" s="8" t="s">
        <v>291</v>
      </c>
      <c r="F792" s="8" t="str">
        <f>"2170672689 "</f>
        <v xml:space="preserve">2170672689 </v>
      </c>
      <c r="G792" s="8" t="str">
        <f t="shared" si="25"/>
        <v>ON1</v>
      </c>
      <c r="H792" s="8" t="s">
        <v>20</v>
      </c>
      <c r="I792" s="8" t="s">
        <v>139</v>
      </c>
      <c r="J792" s="8" t="str">
        <f>""</f>
        <v/>
      </c>
      <c r="K792" s="8" t="str">
        <f>"PFES1162671655_0001"</f>
        <v>PFES1162671655_0001</v>
      </c>
      <c r="L792" s="8">
        <v>1</v>
      </c>
      <c r="M792" s="8">
        <v>7</v>
      </c>
    </row>
    <row r="793" spans="1:13">
      <c r="A793" s="6">
        <v>43502</v>
      </c>
      <c r="B793" s="7">
        <v>0.66319444444444442</v>
      </c>
      <c r="C793" s="8" t="str">
        <f>"FES1162671650"</f>
        <v>FES1162671650</v>
      </c>
      <c r="D793" s="8" t="s">
        <v>18</v>
      </c>
      <c r="E793" s="8" t="s">
        <v>120</v>
      </c>
      <c r="F793" s="8" t="str">
        <f>"2170672979 "</f>
        <v xml:space="preserve">2170672979 </v>
      </c>
      <c r="G793" s="8" t="str">
        <f t="shared" si="25"/>
        <v>ON1</v>
      </c>
      <c r="H793" s="8" t="s">
        <v>20</v>
      </c>
      <c r="I793" s="8" t="s">
        <v>121</v>
      </c>
      <c r="J793" s="8" t="str">
        <f>""</f>
        <v/>
      </c>
      <c r="K793" s="8" t="str">
        <f>"PFES1162671650_0001"</f>
        <v>PFES1162671650_0001</v>
      </c>
      <c r="L793" s="8">
        <v>1</v>
      </c>
      <c r="M793" s="8">
        <v>1</v>
      </c>
    </row>
    <row r="794" spans="1:13">
      <c r="A794" s="6">
        <v>43502</v>
      </c>
      <c r="B794" s="7">
        <v>0.66249999999999998</v>
      </c>
      <c r="C794" s="8" t="str">
        <f>"FES1162671610"</f>
        <v>FES1162671610</v>
      </c>
      <c r="D794" s="8" t="s">
        <v>18</v>
      </c>
      <c r="E794" s="8" t="s">
        <v>601</v>
      </c>
      <c r="F794" s="8" t="str">
        <f>"2170672936 "</f>
        <v xml:space="preserve">2170672936 </v>
      </c>
      <c r="G794" s="8" t="str">
        <f t="shared" si="25"/>
        <v>ON1</v>
      </c>
      <c r="H794" s="8" t="s">
        <v>20</v>
      </c>
      <c r="I794" s="8" t="s">
        <v>602</v>
      </c>
      <c r="J794" s="8" t="str">
        <f>""</f>
        <v/>
      </c>
      <c r="K794" s="8" t="str">
        <f>"PFES1162671610_0001"</f>
        <v>PFES1162671610_0001</v>
      </c>
      <c r="L794" s="8">
        <v>1</v>
      </c>
      <c r="M794" s="8">
        <v>7</v>
      </c>
    </row>
    <row r="795" spans="1:13">
      <c r="A795" s="6">
        <v>43502</v>
      </c>
      <c r="B795" s="7">
        <v>0.66111111111111109</v>
      </c>
      <c r="C795" s="8" t="str">
        <f>"FES1162671601"</f>
        <v>FES1162671601</v>
      </c>
      <c r="D795" s="8" t="s">
        <v>18</v>
      </c>
      <c r="E795" s="8" t="s">
        <v>47</v>
      </c>
      <c r="F795" s="8" t="str">
        <f>"2170669211 "</f>
        <v xml:space="preserve">2170669211 </v>
      </c>
      <c r="G795" s="8" t="str">
        <f t="shared" si="25"/>
        <v>ON1</v>
      </c>
      <c r="H795" s="8" t="s">
        <v>20</v>
      </c>
      <c r="I795" s="8" t="s">
        <v>48</v>
      </c>
      <c r="J795" s="8" t="str">
        <f>""</f>
        <v/>
      </c>
      <c r="K795" s="8" t="str">
        <f>"PFES1162671601_0001"</f>
        <v>PFES1162671601_0001</v>
      </c>
      <c r="L795" s="8">
        <v>1</v>
      </c>
      <c r="M795" s="8">
        <v>6</v>
      </c>
    </row>
    <row r="796" spans="1:13">
      <c r="A796" s="6">
        <v>43502</v>
      </c>
      <c r="B796" s="7">
        <v>0.66041666666666665</v>
      </c>
      <c r="C796" s="8" t="str">
        <f>"FES1162671608"</f>
        <v>FES1162671608</v>
      </c>
      <c r="D796" s="8" t="s">
        <v>18</v>
      </c>
      <c r="E796" s="8" t="s">
        <v>88</v>
      </c>
      <c r="F796" s="8" t="str">
        <f>"217067935 "</f>
        <v xml:space="preserve">217067935 </v>
      </c>
      <c r="G796" s="8" t="str">
        <f t="shared" si="25"/>
        <v>ON1</v>
      </c>
      <c r="H796" s="8" t="s">
        <v>20</v>
      </c>
      <c r="I796" s="8" t="s">
        <v>89</v>
      </c>
      <c r="J796" s="8" t="str">
        <f>""</f>
        <v/>
      </c>
      <c r="K796" s="8" t="str">
        <f>"PFES1162671608_0001"</f>
        <v>PFES1162671608_0001</v>
      </c>
      <c r="L796" s="8">
        <v>1</v>
      </c>
      <c r="M796" s="8">
        <v>1</v>
      </c>
    </row>
    <row r="797" spans="1:13">
      <c r="A797" s="6">
        <v>43502</v>
      </c>
      <c r="B797" s="7">
        <v>0.66041666666666665</v>
      </c>
      <c r="C797" s="8" t="str">
        <f>"FES1162671619"</f>
        <v>FES1162671619</v>
      </c>
      <c r="D797" s="8" t="s">
        <v>18</v>
      </c>
      <c r="E797" s="8" t="s">
        <v>603</v>
      </c>
      <c r="F797" s="8" t="str">
        <f>"2170672609 "</f>
        <v xml:space="preserve">2170672609 </v>
      </c>
      <c r="G797" s="8" t="str">
        <f t="shared" si="25"/>
        <v>ON1</v>
      </c>
      <c r="H797" s="8" t="s">
        <v>20</v>
      </c>
      <c r="I797" s="8" t="s">
        <v>341</v>
      </c>
      <c r="J797" s="8" t="str">
        <f>""</f>
        <v/>
      </c>
      <c r="K797" s="8" t="str">
        <f>"PFES1162671619_0001"</f>
        <v>PFES1162671619_0001</v>
      </c>
      <c r="L797" s="8">
        <v>1</v>
      </c>
      <c r="M797" s="8">
        <v>1</v>
      </c>
    </row>
    <row r="798" spans="1:13">
      <c r="A798" s="6">
        <v>43502</v>
      </c>
      <c r="B798" s="7">
        <v>0.66041666666666665</v>
      </c>
      <c r="C798" s="8" t="str">
        <f>"FES1162671284"</f>
        <v>FES1162671284</v>
      </c>
      <c r="D798" s="8" t="s">
        <v>18</v>
      </c>
      <c r="E798" s="8" t="s">
        <v>298</v>
      </c>
      <c r="F798" s="8" t="str">
        <f>"2170672291 "</f>
        <v xml:space="preserve">2170672291 </v>
      </c>
      <c r="G798" s="8" t="str">
        <f t="shared" si="25"/>
        <v>ON1</v>
      </c>
      <c r="H798" s="8" t="s">
        <v>20</v>
      </c>
      <c r="I798" s="8" t="s">
        <v>93</v>
      </c>
      <c r="J798" s="8" t="str">
        <f>""</f>
        <v/>
      </c>
      <c r="K798" s="8" t="str">
        <f>"PFES1162671284_0001"</f>
        <v>PFES1162671284_0001</v>
      </c>
      <c r="L798" s="8">
        <v>1</v>
      </c>
      <c r="M798" s="8">
        <v>1</v>
      </c>
    </row>
    <row r="799" spans="1:13">
      <c r="A799" s="6">
        <v>43502</v>
      </c>
      <c r="B799" s="7">
        <v>0.65972222222222221</v>
      </c>
      <c r="C799" s="8" t="str">
        <f>"FES1162671633"</f>
        <v>FES1162671633</v>
      </c>
      <c r="D799" s="8" t="s">
        <v>18</v>
      </c>
      <c r="E799" s="8" t="s">
        <v>115</v>
      </c>
      <c r="F799" s="8" t="str">
        <f>"2170672959 "</f>
        <v xml:space="preserve">2170672959 </v>
      </c>
      <c r="G799" s="8" t="str">
        <f t="shared" si="25"/>
        <v>ON1</v>
      </c>
      <c r="H799" s="8" t="s">
        <v>20</v>
      </c>
      <c r="I799" s="8" t="s">
        <v>93</v>
      </c>
      <c r="J799" s="8" t="str">
        <f>""</f>
        <v/>
      </c>
      <c r="K799" s="8" t="str">
        <f>"PFES1162671633_0001"</f>
        <v>PFES1162671633_0001</v>
      </c>
      <c r="L799" s="8">
        <v>1</v>
      </c>
      <c r="M799" s="8">
        <v>1</v>
      </c>
    </row>
    <row r="800" spans="1:13">
      <c r="A800" s="6">
        <v>43502</v>
      </c>
      <c r="B800" s="7">
        <v>0.65972222222222221</v>
      </c>
      <c r="C800" s="8" t="str">
        <f>"FES1162671596"</f>
        <v>FES1162671596</v>
      </c>
      <c r="D800" s="8" t="s">
        <v>18</v>
      </c>
      <c r="E800" s="8" t="s">
        <v>521</v>
      </c>
      <c r="F800" s="8" t="str">
        <f>"2170672927 "</f>
        <v xml:space="preserve">2170672927 </v>
      </c>
      <c r="G800" s="8" t="str">
        <f t="shared" si="25"/>
        <v>ON1</v>
      </c>
      <c r="H800" s="8" t="s">
        <v>20</v>
      </c>
      <c r="I800" s="8" t="s">
        <v>445</v>
      </c>
      <c r="J800" s="8" t="str">
        <f>""</f>
        <v/>
      </c>
      <c r="K800" s="8" t="str">
        <f>"PFES1162671596_0001"</f>
        <v>PFES1162671596_0001</v>
      </c>
      <c r="L800" s="8">
        <v>1</v>
      </c>
      <c r="M800" s="8">
        <v>1</v>
      </c>
    </row>
    <row r="801" spans="1:13">
      <c r="A801" s="6">
        <v>43502</v>
      </c>
      <c r="B801" s="7">
        <v>0.65833333333333333</v>
      </c>
      <c r="C801" s="8" t="str">
        <f>"FES1162671611"</f>
        <v>FES1162671611</v>
      </c>
      <c r="D801" s="8" t="s">
        <v>18</v>
      </c>
      <c r="E801" s="8" t="s">
        <v>601</v>
      </c>
      <c r="F801" s="8" t="str">
        <f>"2170672937 "</f>
        <v xml:space="preserve">2170672937 </v>
      </c>
      <c r="G801" s="8" t="str">
        <f t="shared" si="25"/>
        <v>ON1</v>
      </c>
      <c r="H801" s="8" t="s">
        <v>20</v>
      </c>
      <c r="I801" s="8" t="s">
        <v>602</v>
      </c>
      <c r="J801" s="8" t="str">
        <f>""</f>
        <v/>
      </c>
      <c r="K801" s="8" t="str">
        <f>"PFES1162671611_0001"</f>
        <v>PFES1162671611_0001</v>
      </c>
      <c r="L801" s="8">
        <v>1</v>
      </c>
      <c r="M801" s="8">
        <v>1</v>
      </c>
    </row>
    <row r="802" spans="1:13">
      <c r="A802" s="6">
        <v>43502</v>
      </c>
      <c r="B802" s="7">
        <v>0.65763888888888888</v>
      </c>
      <c r="C802" s="8" t="str">
        <f>"FES1162671660"</f>
        <v>FES1162671660</v>
      </c>
      <c r="D802" s="8" t="s">
        <v>18</v>
      </c>
      <c r="E802" s="8" t="s">
        <v>287</v>
      </c>
      <c r="F802" s="8" t="str">
        <f>"2170672985 "</f>
        <v xml:space="preserve">2170672985 </v>
      </c>
      <c r="G802" s="8" t="str">
        <f t="shared" si="25"/>
        <v>ON1</v>
      </c>
      <c r="H802" s="8" t="s">
        <v>20</v>
      </c>
      <c r="I802" s="8" t="s">
        <v>288</v>
      </c>
      <c r="J802" s="8" t="str">
        <f>""</f>
        <v/>
      </c>
      <c r="K802" s="8" t="str">
        <f>"PFES1162671660_0001"</f>
        <v>PFES1162671660_0001</v>
      </c>
      <c r="L802" s="8">
        <v>1</v>
      </c>
      <c r="M802" s="8">
        <v>1</v>
      </c>
    </row>
    <row r="803" spans="1:13">
      <c r="A803" s="6">
        <v>43502</v>
      </c>
      <c r="B803" s="7">
        <v>0.65763888888888888</v>
      </c>
      <c r="C803" s="8" t="str">
        <f>"FES1162671662"</f>
        <v>FES1162671662</v>
      </c>
      <c r="D803" s="8" t="s">
        <v>18</v>
      </c>
      <c r="E803" s="8" t="s">
        <v>604</v>
      </c>
      <c r="F803" s="8" t="str">
        <f>"2170672987 "</f>
        <v xml:space="preserve">2170672987 </v>
      </c>
      <c r="G803" s="8" t="str">
        <f t="shared" si="25"/>
        <v>ON1</v>
      </c>
      <c r="H803" s="8" t="s">
        <v>20</v>
      </c>
      <c r="I803" s="8" t="s">
        <v>149</v>
      </c>
      <c r="J803" s="8" t="str">
        <f>""</f>
        <v/>
      </c>
      <c r="K803" s="8" t="str">
        <f>"PFES1162671662_0001"</f>
        <v>PFES1162671662_0001</v>
      </c>
      <c r="L803" s="8">
        <v>1</v>
      </c>
      <c r="M803" s="8">
        <v>1</v>
      </c>
    </row>
    <row r="804" spans="1:13">
      <c r="A804" s="6">
        <v>43502</v>
      </c>
      <c r="B804" s="7">
        <v>0.65763888888888888</v>
      </c>
      <c r="C804" s="8" t="str">
        <f>"FES1162671613"</f>
        <v>FES1162671613</v>
      </c>
      <c r="D804" s="8" t="s">
        <v>18</v>
      </c>
      <c r="E804" s="8" t="s">
        <v>19</v>
      </c>
      <c r="F804" s="8" t="str">
        <f>"2170672940 "</f>
        <v xml:space="preserve">2170672940 </v>
      </c>
      <c r="G804" s="8" t="str">
        <f t="shared" si="25"/>
        <v>ON1</v>
      </c>
      <c r="H804" s="8" t="s">
        <v>20</v>
      </c>
      <c r="I804" s="8" t="s">
        <v>21</v>
      </c>
      <c r="J804" s="8" t="str">
        <f>""</f>
        <v/>
      </c>
      <c r="K804" s="8" t="str">
        <f>"PFES1162671613_0001"</f>
        <v>PFES1162671613_0001</v>
      </c>
      <c r="L804" s="8">
        <v>1</v>
      </c>
      <c r="M804" s="8">
        <v>10</v>
      </c>
    </row>
    <row r="805" spans="1:13">
      <c r="A805" s="6">
        <v>43502</v>
      </c>
      <c r="B805" s="7">
        <v>0.65763888888888888</v>
      </c>
      <c r="C805" s="8" t="str">
        <f>"FES1162671661"</f>
        <v>FES1162671661</v>
      </c>
      <c r="D805" s="8" t="s">
        <v>18</v>
      </c>
      <c r="E805" s="8" t="s">
        <v>205</v>
      </c>
      <c r="F805" s="8" t="str">
        <f>"2170672986 "</f>
        <v xml:space="preserve">2170672986 </v>
      </c>
      <c r="G805" s="8" t="str">
        <f t="shared" si="25"/>
        <v>ON1</v>
      </c>
      <c r="H805" s="8" t="s">
        <v>20</v>
      </c>
      <c r="I805" s="8" t="s">
        <v>149</v>
      </c>
      <c r="J805" s="8" t="str">
        <f>""</f>
        <v/>
      </c>
      <c r="K805" s="8" t="str">
        <f>"PFES1162671661_0001"</f>
        <v>PFES1162671661_0001</v>
      </c>
      <c r="L805" s="8">
        <v>1</v>
      </c>
      <c r="M805" s="8">
        <v>1</v>
      </c>
    </row>
    <row r="806" spans="1:13">
      <c r="A806" s="6">
        <v>43502</v>
      </c>
      <c r="B806" s="7">
        <v>0.65694444444444444</v>
      </c>
      <c r="C806" s="8" t="str">
        <f>"FES1162671554"</f>
        <v>FES1162671554</v>
      </c>
      <c r="D806" s="8" t="s">
        <v>18</v>
      </c>
      <c r="E806" s="8" t="s">
        <v>47</v>
      </c>
      <c r="F806" s="8" t="str">
        <f>"2170667864 "</f>
        <v xml:space="preserve">2170667864 </v>
      </c>
      <c r="G806" s="8" t="str">
        <f t="shared" si="25"/>
        <v>ON1</v>
      </c>
      <c r="H806" s="8" t="s">
        <v>20</v>
      </c>
      <c r="I806" s="8" t="s">
        <v>48</v>
      </c>
      <c r="J806" s="8" t="str">
        <f>""</f>
        <v/>
      </c>
      <c r="K806" s="8" t="str">
        <f>"PFES1162671554_0001"</f>
        <v>PFES1162671554_0001</v>
      </c>
      <c r="L806" s="8">
        <v>1</v>
      </c>
      <c r="M806" s="8">
        <v>18</v>
      </c>
    </row>
    <row r="807" spans="1:13">
      <c r="A807" s="6">
        <v>43502</v>
      </c>
      <c r="B807" s="7">
        <v>0.65625</v>
      </c>
      <c r="C807" s="8" t="str">
        <f>"FES1162671647"</f>
        <v>FES1162671647</v>
      </c>
      <c r="D807" s="8" t="s">
        <v>18</v>
      </c>
      <c r="E807" s="8" t="s">
        <v>372</v>
      </c>
      <c r="F807" s="8" t="str">
        <f>"2170672971 "</f>
        <v xml:space="preserve">2170672971 </v>
      </c>
      <c r="G807" s="8" t="str">
        <f t="shared" si="25"/>
        <v>ON1</v>
      </c>
      <c r="H807" s="8" t="s">
        <v>20</v>
      </c>
      <c r="I807" s="8" t="s">
        <v>143</v>
      </c>
      <c r="J807" s="8" t="str">
        <f>""</f>
        <v/>
      </c>
      <c r="K807" s="8" t="str">
        <f>"PFES1162671647_0001"</f>
        <v>PFES1162671647_0001</v>
      </c>
      <c r="L807" s="8">
        <v>1</v>
      </c>
      <c r="M807" s="8">
        <v>1</v>
      </c>
    </row>
    <row r="808" spans="1:13">
      <c r="A808" s="6">
        <v>43502</v>
      </c>
      <c r="B808" s="7">
        <v>0.65555555555555556</v>
      </c>
      <c r="C808" s="8" t="str">
        <f>"FES1162671642"</f>
        <v>FES1162671642</v>
      </c>
      <c r="D808" s="8" t="s">
        <v>18</v>
      </c>
      <c r="E808" s="8" t="s">
        <v>212</v>
      </c>
      <c r="F808" s="8" t="str">
        <f>"2170672966 "</f>
        <v xml:space="preserve">2170672966 </v>
      </c>
      <c r="G808" s="8" t="str">
        <f t="shared" si="25"/>
        <v>ON1</v>
      </c>
      <c r="H808" s="8" t="s">
        <v>20</v>
      </c>
      <c r="I808" s="8" t="s">
        <v>213</v>
      </c>
      <c r="J808" s="8" t="str">
        <f>""</f>
        <v/>
      </c>
      <c r="K808" s="8" t="str">
        <f>"PFES1162671642_0001"</f>
        <v>PFES1162671642_0001</v>
      </c>
      <c r="L808" s="8">
        <v>1</v>
      </c>
      <c r="M808" s="8">
        <v>1</v>
      </c>
    </row>
    <row r="809" spans="1:13">
      <c r="A809" s="6">
        <v>43502</v>
      </c>
      <c r="B809" s="7">
        <v>0.65555555555555556</v>
      </c>
      <c r="C809" s="8" t="str">
        <f>"FES1162671567"</f>
        <v>FES1162671567</v>
      </c>
      <c r="D809" s="8" t="s">
        <v>18</v>
      </c>
      <c r="E809" s="8" t="s">
        <v>47</v>
      </c>
      <c r="F809" s="8" t="str">
        <f>"2170665896 "</f>
        <v xml:space="preserve">2170665896 </v>
      </c>
      <c r="G809" s="8" t="str">
        <f t="shared" si="25"/>
        <v>ON1</v>
      </c>
      <c r="H809" s="8" t="s">
        <v>20</v>
      </c>
      <c r="I809" s="8" t="s">
        <v>48</v>
      </c>
      <c r="J809" s="8" t="str">
        <f>""</f>
        <v/>
      </c>
      <c r="K809" s="8" t="str">
        <f>"PFES1162671567_0001"</f>
        <v>PFES1162671567_0001</v>
      </c>
      <c r="L809" s="8">
        <v>2</v>
      </c>
      <c r="M809" s="8">
        <v>7</v>
      </c>
    </row>
    <row r="810" spans="1:13">
      <c r="A810" s="6">
        <v>43502</v>
      </c>
      <c r="B810" s="7">
        <v>0.65555555555555556</v>
      </c>
      <c r="C810" s="8" t="str">
        <f>"FES1162671567"</f>
        <v>FES1162671567</v>
      </c>
      <c r="D810" s="8" t="s">
        <v>18</v>
      </c>
      <c r="E810" s="8" t="s">
        <v>47</v>
      </c>
      <c r="F810" s="8" t="str">
        <f>"2170665896 "</f>
        <v xml:space="preserve">2170665896 </v>
      </c>
      <c r="G810" s="8" t="str">
        <f t="shared" si="25"/>
        <v>ON1</v>
      </c>
      <c r="H810" s="8" t="s">
        <v>20</v>
      </c>
      <c r="I810" s="8" t="s">
        <v>48</v>
      </c>
      <c r="J810" s="8"/>
      <c r="K810" s="8" t="str">
        <f>"PFES1162671567_0002"</f>
        <v>PFES1162671567_0002</v>
      </c>
      <c r="L810" s="8">
        <v>2</v>
      </c>
      <c r="M810" s="8">
        <v>7</v>
      </c>
    </row>
    <row r="811" spans="1:13">
      <c r="A811" s="6">
        <v>43502</v>
      </c>
      <c r="B811" s="7">
        <v>0.65486111111111112</v>
      </c>
      <c r="C811" s="8" t="str">
        <f>"FES1162671566"</f>
        <v>FES1162671566</v>
      </c>
      <c r="D811" s="8" t="s">
        <v>18</v>
      </c>
      <c r="E811" s="8" t="s">
        <v>47</v>
      </c>
      <c r="F811" s="8" t="str">
        <f>"2170666300 "</f>
        <v xml:space="preserve">2170666300 </v>
      </c>
      <c r="G811" s="8" t="str">
        <f t="shared" ref="G811:G818" si="26">"ON1"</f>
        <v>ON1</v>
      </c>
      <c r="H811" s="8" t="s">
        <v>20</v>
      </c>
      <c r="I811" s="8" t="s">
        <v>48</v>
      </c>
      <c r="J811" s="8" t="str">
        <f>""</f>
        <v/>
      </c>
      <c r="K811" s="8" t="str">
        <f>"PFES1162671566_0001"</f>
        <v>PFES1162671566_0001</v>
      </c>
      <c r="L811" s="8">
        <v>1</v>
      </c>
      <c r="M811" s="8">
        <v>6</v>
      </c>
    </row>
    <row r="812" spans="1:13">
      <c r="A812" s="6">
        <v>43502</v>
      </c>
      <c r="B812" s="7">
        <v>0.65347222222222223</v>
      </c>
      <c r="C812" s="8" t="str">
        <f>"FES1162671654"</f>
        <v>FES1162671654</v>
      </c>
      <c r="D812" s="8" t="s">
        <v>18</v>
      </c>
      <c r="E812" s="8" t="s">
        <v>240</v>
      </c>
      <c r="F812" s="8" t="str">
        <f>"2170672032 "</f>
        <v xml:space="preserve">2170672032 </v>
      </c>
      <c r="G812" s="8" t="str">
        <f t="shared" si="26"/>
        <v>ON1</v>
      </c>
      <c r="H812" s="8" t="s">
        <v>20</v>
      </c>
      <c r="I812" s="8" t="s">
        <v>161</v>
      </c>
      <c r="J812" s="8" t="str">
        <f>""</f>
        <v/>
      </c>
      <c r="K812" s="8" t="str">
        <f>"PFES1162671654_0001"</f>
        <v>PFES1162671654_0001</v>
      </c>
      <c r="L812" s="8">
        <v>1</v>
      </c>
      <c r="M812" s="8">
        <v>4</v>
      </c>
    </row>
    <row r="813" spans="1:13">
      <c r="A813" s="6">
        <v>43502</v>
      </c>
      <c r="B813" s="7">
        <v>0.65347222222222223</v>
      </c>
      <c r="C813" s="8" t="str">
        <f>"FES1162671658"</f>
        <v>FES1162671658</v>
      </c>
      <c r="D813" s="8" t="s">
        <v>18</v>
      </c>
      <c r="E813" s="8" t="s">
        <v>186</v>
      </c>
      <c r="F813" s="8" t="str">
        <f>"2170672600 "</f>
        <v xml:space="preserve">2170672600 </v>
      </c>
      <c r="G813" s="8" t="str">
        <f t="shared" si="26"/>
        <v>ON1</v>
      </c>
      <c r="H813" s="8" t="s">
        <v>20</v>
      </c>
      <c r="I813" s="8" t="s">
        <v>48</v>
      </c>
      <c r="J813" s="8" t="str">
        <f>""</f>
        <v/>
      </c>
      <c r="K813" s="8" t="str">
        <f>"PFES1162671658_0001"</f>
        <v>PFES1162671658_0001</v>
      </c>
      <c r="L813" s="8">
        <v>1</v>
      </c>
      <c r="M813" s="8">
        <v>1</v>
      </c>
    </row>
    <row r="814" spans="1:13">
      <c r="A814" s="6">
        <v>43502</v>
      </c>
      <c r="B814" s="7">
        <v>0.65208333333333335</v>
      </c>
      <c r="C814" s="8" t="str">
        <f>"FES1162671571"</f>
        <v>FES1162671571</v>
      </c>
      <c r="D814" s="8" t="s">
        <v>18</v>
      </c>
      <c r="E814" s="8" t="s">
        <v>212</v>
      </c>
      <c r="F814" s="8" t="str">
        <f>"2170672919 "</f>
        <v xml:space="preserve">2170672919 </v>
      </c>
      <c r="G814" s="8" t="str">
        <f t="shared" si="26"/>
        <v>ON1</v>
      </c>
      <c r="H814" s="8" t="s">
        <v>20</v>
      </c>
      <c r="I814" s="8" t="s">
        <v>213</v>
      </c>
      <c r="J814" s="8" t="str">
        <f>""</f>
        <v/>
      </c>
      <c r="K814" s="8" t="str">
        <f>"PFES1162671571_0001"</f>
        <v>PFES1162671571_0001</v>
      </c>
      <c r="L814" s="8">
        <v>2</v>
      </c>
      <c r="M814" s="8">
        <v>4</v>
      </c>
    </row>
    <row r="815" spans="1:13">
      <c r="A815" s="6">
        <v>43502</v>
      </c>
      <c r="B815" s="7">
        <v>0.65208333333333335</v>
      </c>
      <c r="C815" s="8" t="str">
        <f>"FES1162671571"</f>
        <v>FES1162671571</v>
      </c>
      <c r="D815" s="8" t="s">
        <v>18</v>
      </c>
      <c r="E815" s="8" t="s">
        <v>212</v>
      </c>
      <c r="F815" s="8" t="str">
        <f>"2170672919 "</f>
        <v xml:space="preserve">2170672919 </v>
      </c>
      <c r="G815" s="8" t="str">
        <f t="shared" si="26"/>
        <v>ON1</v>
      </c>
      <c r="H815" s="8" t="s">
        <v>20</v>
      </c>
      <c r="I815" s="8" t="s">
        <v>213</v>
      </c>
      <c r="J815" s="8"/>
      <c r="K815" s="8" t="str">
        <f>"PFES1162671571_0002"</f>
        <v>PFES1162671571_0002</v>
      </c>
      <c r="L815" s="8">
        <v>2</v>
      </c>
      <c r="M815" s="8">
        <v>4</v>
      </c>
    </row>
    <row r="816" spans="1:13">
      <c r="A816" s="6">
        <v>43502</v>
      </c>
      <c r="B816" s="7">
        <v>0.65</v>
      </c>
      <c r="C816" s="8" t="str">
        <f>"FES1162671604"</f>
        <v>FES1162671604</v>
      </c>
      <c r="D816" s="8" t="s">
        <v>18</v>
      </c>
      <c r="E816" s="8" t="s">
        <v>150</v>
      </c>
      <c r="F816" s="8" t="str">
        <f>"2170672329 "</f>
        <v xml:space="preserve">2170672329 </v>
      </c>
      <c r="G816" s="8" t="str">
        <f t="shared" si="26"/>
        <v>ON1</v>
      </c>
      <c r="H816" s="8" t="s">
        <v>20</v>
      </c>
      <c r="I816" s="8" t="s">
        <v>137</v>
      </c>
      <c r="J816" s="8" t="str">
        <f>""</f>
        <v/>
      </c>
      <c r="K816" s="8" t="str">
        <f>"PFES1162671604_0001"</f>
        <v>PFES1162671604_0001</v>
      </c>
      <c r="L816" s="8">
        <v>1</v>
      </c>
      <c r="M816" s="8">
        <v>10</v>
      </c>
    </row>
    <row r="817" spans="1:13">
      <c r="A817" s="6">
        <v>43502</v>
      </c>
      <c r="B817" s="7">
        <v>0.64652777777777781</v>
      </c>
      <c r="C817" s="8" t="str">
        <f>"FES1162671609"</f>
        <v>FES1162671609</v>
      </c>
      <c r="D817" s="8" t="s">
        <v>18</v>
      </c>
      <c r="E817" s="8" t="s">
        <v>47</v>
      </c>
      <c r="F817" s="8" t="str">
        <f>"2170671564 "</f>
        <v xml:space="preserve">2170671564 </v>
      </c>
      <c r="G817" s="8" t="str">
        <f t="shared" si="26"/>
        <v>ON1</v>
      </c>
      <c r="H817" s="8" t="s">
        <v>20</v>
      </c>
      <c r="I817" s="8" t="s">
        <v>48</v>
      </c>
      <c r="J817" s="8" t="str">
        <f>""</f>
        <v/>
      </c>
      <c r="K817" s="8" t="str">
        <f>"PFES1162671609_0001"</f>
        <v>PFES1162671609_0001</v>
      </c>
      <c r="L817" s="8">
        <v>2</v>
      </c>
      <c r="M817" s="8">
        <v>7</v>
      </c>
    </row>
    <row r="818" spans="1:13">
      <c r="A818" s="6">
        <v>43502</v>
      </c>
      <c r="B818" s="7">
        <v>0.64652777777777781</v>
      </c>
      <c r="C818" s="8" t="str">
        <f>"FES1162671609"</f>
        <v>FES1162671609</v>
      </c>
      <c r="D818" s="8" t="s">
        <v>18</v>
      </c>
      <c r="E818" s="8" t="s">
        <v>47</v>
      </c>
      <c r="F818" s="8" t="str">
        <f>"2170671564 "</f>
        <v xml:space="preserve">2170671564 </v>
      </c>
      <c r="G818" s="8" t="str">
        <f t="shared" si="26"/>
        <v>ON1</v>
      </c>
      <c r="H818" s="8" t="s">
        <v>20</v>
      </c>
      <c r="I818" s="8" t="s">
        <v>48</v>
      </c>
      <c r="J818" s="8"/>
      <c r="K818" s="8" t="str">
        <f>"PFES1162671609_0002"</f>
        <v>PFES1162671609_0002</v>
      </c>
      <c r="L818" s="8">
        <v>2</v>
      </c>
      <c r="M818" s="8">
        <v>7</v>
      </c>
    </row>
    <row r="819" spans="1:13">
      <c r="A819" s="6">
        <v>43502</v>
      </c>
      <c r="B819" s="7">
        <v>0.62708333333333333</v>
      </c>
      <c r="C819" s="8" t="str">
        <f>"FES1162671620"</f>
        <v>FES1162671620</v>
      </c>
      <c r="D819" s="8" t="s">
        <v>18</v>
      </c>
      <c r="E819" s="8" t="s">
        <v>69</v>
      </c>
      <c r="F819" s="8" t="str">
        <f>"2170672948 "</f>
        <v xml:space="preserve">2170672948 </v>
      </c>
      <c r="G819" s="8" t="str">
        <f t="shared" ref="G819:G838" si="27">"ON1"</f>
        <v>ON1</v>
      </c>
      <c r="H819" s="8" t="s">
        <v>20</v>
      </c>
      <c r="I819" s="8" t="s">
        <v>70</v>
      </c>
      <c r="J819" s="8" t="str">
        <f>""</f>
        <v/>
      </c>
      <c r="K819" s="8" t="str">
        <f>"PFES1162671620_0001"</f>
        <v>PFES1162671620_0001</v>
      </c>
      <c r="L819" s="8">
        <v>1</v>
      </c>
      <c r="M819" s="8">
        <v>1</v>
      </c>
    </row>
    <row r="820" spans="1:13">
      <c r="A820" s="6">
        <v>43502</v>
      </c>
      <c r="B820" s="7">
        <v>0.62708333333333333</v>
      </c>
      <c r="C820" s="8" t="str">
        <f>"FES1162671636"</f>
        <v>FES1162671636</v>
      </c>
      <c r="D820" s="8" t="s">
        <v>18</v>
      </c>
      <c r="E820" s="8" t="s">
        <v>97</v>
      </c>
      <c r="F820" s="8" t="str">
        <f>"2170669693 "</f>
        <v xml:space="preserve">2170669693 </v>
      </c>
      <c r="G820" s="8" t="str">
        <f t="shared" si="27"/>
        <v>ON1</v>
      </c>
      <c r="H820" s="8" t="s">
        <v>20</v>
      </c>
      <c r="I820" s="8" t="s">
        <v>70</v>
      </c>
      <c r="J820" s="8" t="str">
        <f>""</f>
        <v/>
      </c>
      <c r="K820" s="8" t="str">
        <f>"PFES1162671636_0001"</f>
        <v>PFES1162671636_0001</v>
      </c>
      <c r="L820" s="8">
        <v>1</v>
      </c>
      <c r="M820" s="8">
        <v>1</v>
      </c>
    </row>
    <row r="821" spans="1:13">
      <c r="A821" s="6">
        <v>43502</v>
      </c>
      <c r="B821" s="7">
        <v>0.62708333333333333</v>
      </c>
      <c r="C821" s="8" t="str">
        <f>"FES1162671639"</f>
        <v>FES1162671639</v>
      </c>
      <c r="D821" s="8" t="s">
        <v>18</v>
      </c>
      <c r="E821" s="8" t="s">
        <v>287</v>
      </c>
      <c r="F821" s="8" t="str">
        <f>"2170679613 "</f>
        <v xml:space="preserve">2170679613 </v>
      </c>
      <c r="G821" s="8" t="str">
        <f t="shared" si="27"/>
        <v>ON1</v>
      </c>
      <c r="H821" s="8" t="s">
        <v>20</v>
      </c>
      <c r="I821" s="8" t="s">
        <v>288</v>
      </c>
      <c r="J821" s="8" t="str">
        <f>""</f>
        <v/>
      </c>
      <c r="K821" s="8" t="str">
        <f>"PFES1162671639_0001"</f>
        <v>PFES1162671639_0001</v>
      </c>
      <c r="L821" s="8">
        <v>1</v>
      </c>
      <c r="M821" s="8">
        <v>1</v>
      </c>
    </row>
    <row r="822" spans="1:13">
      <c r="A822" s="6">
        <v>43502</v>
      </c>
      <c r="B822" s="7">
        <v>0.62638888888888888</v>
      </c>
      <c r="C822" s="8" t="str">
        <f>"FES1162671646"</f>
        <v>FES1162671646</v>
      </c>
      <c r="D822" s="8" t="s">
        <v>18</v>
      </c>
      <c r="E822" s="8" t="s">
        <v>298</v>
      </c>
      <c r="F822" s="8" t="str">
        <f>"2170672972 "</f>
        <v xml:space="preserve">2170672972 </v>
      </c>
      <c r="G822" s="8" t="str">
        <f t="shared" si="27"/>
        <v>ON1</v>
      </c>
      <c r="H822" s="8" t="s">
        <v>20</v>
      </c>
      <c r="I822" s="8" t="s">
        <v>93</v>
      </c>
      <c r="J822" s="8" t="str">
        <f>""</f>
        <v/>
      </c>
      <c r="K822" s="8" t="str">
        <f>"PFES1162671646_0001"</f>
        <v>PFES1162671646_0001</v>
      </c>
      <c r="L822" s="8">
        <v>1</v>
      </c>
      <c r="M822" s="8">
        <v>1</v>
      </c>
    </row>
    <row r="823" spans="1:13">
      <c r="A823" s="6">
        <v>43502</v>
      </c>
      <c r="B823" s="7">
        <v>0.62638888888888888</v>
      </c>
      <c r="C823" s="8" t="str">
        <f>"FES1162671648"</f>
        <v>FES1162671648</v>
      </c>
      <c r="D823" s="8" t="s">
        <v>18</v>
      </c>
      <c r="E823" s="8" t="s">
        <v>298</v>
      </c>
      <c r="F823" s="8" t="str">
        <f>"2170672972 "</f>
        <v xml:space="preserve">2170672972 </v>
      </c>
      <c r="G823" s="8" t="str">
        <f t="shared" si="27"/>
        <v>ON1</v>
      </c>
      <c r="H823" s="8" t="s">
        <v>20</v>
      </c>
      <c r="I823" s="8" t="s">
        <v>93</v>
      </c>
      <c r="J823" s="8" t="str">
        <f>""</f>
        <v/>
      </c>
      <c r="K823" s="8" t="str">
        <f>"PFES1162671648_0001"</f>
        <v>PFES1162671648_0001</v>
      </c>
      <c r="L823" s="8">
        <v>1</v>
      </c>
      <c r="M823" s="8">
        <v>1</v>
      </c>
    </row>
    <row r="824" spans="1:13">
      <c r="A824" s="6">
        <v>43502</v>
      </c>
      <c r="B824" s="7">
        <v>0.62638888888888888</v>
      </c>
      <c r="C824" s="8" t="str">
        <f>"FES1162671644"</f>
        <v>FES1162671644</v>
      </c>
      <c r="D824" s="8" t="s">
        <v>18</v>
      </c>
      <c r="E824" s="8" t="s">
        <v>571</v>
      </c>
      <c r="F824" s="8" t="str">
        <f>"2170672968 "</f>
        <v xml:space="preserve">2170672968 </v>
      </c>
      <c r="G824" s="8" t="str">
        <f t="shared" si="27"/>
        <v>ON1</v>
      </c>
      <c r="H824" s="8" t="s">
        <v>20</v>
      </c>
      <c r="I824" s="8" t="s">
        <v>53</v>
      </c>
      <c r="J824" s="8" t="str">
        <f>""</f>
        <v/>
      </c>
      <c r="K824" s="8" t="str">
        <f>"PFES1162671644_0001"</f>
        <v>PFES1162671644_0001</v>
      </c>
      <c r="L824" s="8">
        <v>1</v>
      </c>
      <c r="M824" s="8">
        <v>1</v>
      </c>
    </row>
    <row r="825" spans="1:13">
      <c r="A825" s="6">
        <v>43502</v>
      </c>
      <c r="B825" s="7">
        <v>0.62569444444444444</v>
      </c>
      <c r="C825" s="8" t="str">
        <f>"FES1162671605"</f>
        <v>FES1162671605</v>
      </c>
      <c r="D825" s="8" t="s">
        <v>18</v>
      </c>
      <c r="E825" s="8" t="s">
        <v>297</v>
      </c>
      <c r="F825" s="8" t="str">
        <f>"2170672915 "</f>
        <v xml:space="preserve">2170672915 </v>
      </c>
      <c r="G825" s="8" t="str">
        <f t="shared" si="27"/>
        <v>ON1</v>
      </c>
      <c r="H825" s="8" t="s">
        <v>20</v>
      </c>
      <c r="I825" s="8" t="s">
        <v>210</v>
      </c>
      <c r="J825" s="8" t="str">
        <f>""</f>
        <v/>
      </c>
      <c r="K825" s="8" t="str">
        <f>"PFES1162671605_0001"</f>
        <v>PFES1162671605_0001</v>
      </c>
      <c r="L825" s="8">
        <v>1</v>
      </c>
      <c r="M825" s="8">
        <v>1</v>
      </c>
    </row>
    <row r="826" spans="1:13">
      <c r="A826" s="6">
        <v>43502</v>
      </c>
      <c r="B826" s="7">
        <v>0.62569444444444444</v>
      </c>
      <c r="C826" s="8" t="str">
        <f>"FES1162671638"</f>
        <v>FES1162671638</v>
      </c>
      <c r="D826" s="8" t="s">
        <v>18</v>
      </c>
      <c r="E826" s="8" t="s">
        <v>605</v>
      </c>
      <c r="F826" s="8" t="str">
        <f>"2170672962 "</f>
        <v xml:space="preserve">2170672962 </v>
      </c>
      <c r="G826" s="8" t="str">
        <f t="shared" si="27"/>
        <v>ON1</v>
      </c>
      <c r="H826" s="8" t="s">
        <v>20</v>
      </c>
      <c r="I826" s="8" t="s">
        <v>445</v>
      </c>
      <c r="J826" s="8" t="str">
        <f>""</f>
        <v/>
      </c>
      <c r="K826" s="8" t="str">
        <f>"PFES1162671638_0001"</f>
        <v>PFES1162671638_0001</v>
      </c>
      <c r="L826" s="8">
        <v>1</v>
      </c>
      <c r="M826" s="8">
        <v>1</v>
      </c>
    </row>
    <row r="827" spans="1:13">
      <c r="A827" s="6">
        <v>43502</v>
      </c>
      <c r="B827" s="7">
        <v>0.62291666666666667</v>
      </c>
      <c r="C827" s="8" t="str">
        <f>"FES1162671603"</f>
        <v>FES1162671603</v>
      </c>
      <c r="D827" s="8" t="s">
        <v>18</v>
      </c>
      <c r="E827" s="8" t="s">
        <v>150</v>
      </c>
      <c r="F827" s="8" t="str">
        <f>"217062096 "</f>
        <v xml:space="preserve">217062096 </v>
      </c>
      <c r="G827" s="8" t="str">
        <f t="shared" si="27"/>
        <v>ON1</v>
      </c>
      <c r="H827" s="8" t="s">
        <v>20</v>
      </c>
      <c r="I827" s="8" t="s">
        <v>137</v>
      </c>
      <c r="J827" s="8" t="str">
        <f>""</f>
        <v/>
      </c>
      <c r="K827" s="8" t="str">
        <f>"PFES1162671603_0001"</f>
        <v>PFES1162671603_0001</v>
      </c>
      <c r="L827" s="8">
        <v>1</v>
      </c>
      <c r="M827" s="8">
        <v>15</v>
      </c>
    </row>
    <row r="828" spans="1:13">
      <c r="A828" s="6">
        <v>43502</v>
      </c>
      <c r="B828" s="7">
        <v>0.62152777777777779</v>
      </c>
      <c r="C828" s="8" t="str">
        <f>"FES1162671559"</f>
        <v>FES1162671559</v>
      </c>
      <c r="D828" s="8" t="s">
        <v>18</v>
      </c>
      <c r="E828" s="8" t="s">
        <v>225</v>
      </c>
      <c r="F828" s="8" t="str">
        <f>"2170671902 "</f>
        <v xml:space="preserve">2170671902 </v>
      </c>
      <c r="G828" s="8" t="str">
        <f t="shared" si="27"/>
        <v>ON1</v>
      </c>
      <c r="H828" s="8" t="s">
        <v>20</v>
      </c>
      <c r="I828" s="8" t="s">
        <v>226</v>
      </c>
      <c r="J828" s="8" t="str">
        <f>""</f>
        <v/>
      </c>
      <c r="K828" s="8" t="str">
        <f>"PFES1162671559_0001"</f>
        <v>PFES1162671559_0001</v>
      </c>
      <c r="L828" s="8">
        <v>1</v>
      </c>
      <c r="M828" s="8">
        <v>6</v>
      </c>
    </row>
    <row r="829" spans="1:13">
      <c r="A829" s="6">
        <v>43502</v>
      </c>
      <c r="B829" s="7">
        <v>0.62013888888888891</v>
      </c>
      <c r="C829" s="8" t="str">
        <f>"FES1162671585"</f>
        <v>FES1162671585</v>
      </c>
      <c r="D829" s="8" t="s">
        <v>18</v>
      </c>
      <c r="E829" s="8" t="s">
        <v>344</v>
      </c>
      <c r="F829" s="8" t="str">
        <f>"2170670621 "</f>
        <v xml:space="preserve">2170670621 </v>
      </c>
      <c r="G829" s="8" t="str">
        <f t="shared" si="27"/>
        <v>ON1</v>
      </c>
      <c r="H829" s="8" t="s">
        <v>20</v>
      </c>
      <c r="I829" s="8" t="s">
        <v>345</v>
      </c>
      <c r="J829" s="8" t="str">
        <f>""</f>
        <v/>
      </c>
      <c r="K829" s="8" t="str">
        <f>"PFES1162671585_0001"</f>
        <v>PFES1162671585_0001</v>
      </c>
      <c r="L829" s="8">
        <v>1</v>
      </c>
      <c r="M829" s="8">
        <v>5</v>
      </c>
    </row>
    <row r="830" spans="1:13">
      <c r="A830" s="6">
        <v>43502</v>
      </c>
      <c r="B830" s="7">
        <v>0.61875000000000002</v>
      </c>
      <c r="C830" s="8" t="str">
        <f>"FES1162671505"</f>
        <v>FES1162671505</v>
      </c>
      <c r="D830" s="8" t="s">
        <v>18</v>
      </c>
      <c r="E830" s="8" t="s">
        <v>58</v>
      </c>
      <c r="F830" s="8" t="str">
        <f>"2170672633 "</f>
        <v xml:space="preserve">2170672633 </v>
      </c>
      <c r="G830" s="8" t="str">
        <f t="shared" si="27"/>
        <v>ON1</v>
      </c>
      <c r="H830" s="8" t="s">
        <v>20</v>
      </c>
      <c r="I830" s="8" t="s">
        <v>59</v>
      </c>
      <c r="J830" s="8" t="str">
        <f>""</f>
        <v/>
      </c>
      <c r="K830" s="8" t="str">
        <f>"PFES1162671505_0001"</f>
        <v>PFES1162671505_0001</v>
      </c>
      <c r="L830" s="8">
        <v>1</v>
      </c>
      <c r="M830" s="8">
        <v>2</v>
      </c>
    </row>
    <row r="831" spans="1:13">
      <c r="A831" s="6">
        <v>43502</v>
      </c>
      <c r="B831" s="7">
        <v>0.61736111111111114</v>
      </c>
      <c r="C831" s="8" t="str">
        <f>"FES1162671623"</f>
        <v>FES1162671623</v>
      </c>
      <c r="D831" s="8" t="s">
        <v>18</v>
      </c>
      <c r="E831" s="8" t="s">
        <v>122</v>
      </c>
      <c r="F831" s="8" t="str">
        <f>"2170672952 "</f>
        <v xml:space="preserve">2170672952 </v>
      </c>
      <c r="G831" s="8" t="str">
        <f t="shared" si="27"/>
        <v>ON1</v>
      </c>
      <c r="H831" s="8" t="s">
        <v>20</v>
      </c>
      <c r="I831" s="8" t="s">
        <v>41</v>
      </c>
      <c r="J831" s="8" t="str">
        <f>""</f>
        <v/>
      </c>
      <c r="K831" s="8" t="str">
        <f>"PFES1162671623_0001"</f>
        <v>PFES1162671623_0001</v>
      </c>
      <c r="L831" s="8">
        <v>1</v>
      </c>
      <c r="M831" s="8">
        <v>3</v>
      </c>
    </row>
    <row r="832" spans="1:13">
      <c r="A832" s="6">
        <v>43502</v>
      </c>
      <c r="B832" s="7">
        <v>0.6166666666666667</v>
      </c>
      <c r="C832" s="8" t="str">
        <f>"FES1162671615"</f>
        <v>FES1162671615</v>
      </c>
      <c r="D832" s="8" t="s">
        <v>18</v>
      </c>
      <c r="E832" s="8" t="s">
        <v>601</v>
      </c>
      <c r="F832" s="8" t="str">
        <f>"2170672942 "</f>
        <v xml:space="preserve">2170672942 </v>
      </c>
      <c r="G832" s="8" t="str">
        <f t="shared" si="27"/>
        <v>ON1</v>
      </c>
      <c r="H832" s="8" t="s">
        <v>20</v>
      </c>
      <c r="I832" s="8" t="s">
        <v>602</v>
      </c>
      <c r="J832" s="8" t="str">
        <f>""</f>
        <v/>
      </c>
      <c r="K832" s="8" t="str">
        <f>"PFES1162671615_0001"</f>
        <v>PFES1162671615_0001</v>
      </c>
      <c r="L832" s="8">
        <v>1</v>
      </c>
      <c r="M832" s="8">
        <v>2</v>
      </c>
    </row>
    <row r="833" spans="1:13">
      <c r="A833" s="6">
        <v>43502</v>
      </c>
      <c r="B833" s="7">
        <v>0.61527777777777781</v>
      </c>
      <c r="C833" s="8" t="str">
        <f>"FES1162671581"</f>
        <v>FES1162671581</v>
      </c>
      <c r="D833" s="8" t="s">
        <v>18</v>
      </c>
      <c r="E833" s="8" t="s">
        <v>315</v>
      </c>
      <c r="F833" s="8" t="str">
        <f>"2170669551 "</f>
        <v xml:space="preserve">2170669551 </v>
      </c>
      <c r="G833" s="8" t="str">
        <f t="shared" si="27"/>
        <v>ON1</v>
      </c>
      <c r="H833" s="8" t="s">
        <v>20</v>
      </c>
      <c r="I833" s="8" t="s">
        <v>239</v>
      </c>
      <c r="J833" s="8" t="str">
        <f>""</f>
        <v/>
      </c>
      <c r="K833" s="8" t="str">
        <f>"PFES1162671581_0001"</f>
        <v>PFES1162671581_0001</v>
      </c>
      <c r="L833" s="8">
        <v>1</v>
      </c>
      <c r="M833" s="8">
        <v>2</v>
      </c>
    </row>
    <row r="834" spans="1:13">
      <c r="A834" s="6">
        <v>43502</v>
      </c>
      <c r="B834" s="7">
        <v>0.61527777777777781</v>
      </c>
      <c r="C834" s="8" t="str">
        <f>"FES1162671587"</f>
        <v>FES1162671587</v>
      </c>
      <c r="D834" s="8" t="s">
        <v>18</v>
      </c>
      <c r="E834" s="8" t="s">
        <v>606</v>
      </c>
      <c r="F834" s="8" t="str">
        <f>"2170672351 "</f>
        <v xml:space="preserve">2170672351 </v>
      </c>
      <c r="G834" s="8" t="str">
        <f t="shared" si="27"/>
        <v>ON1</v>
      </c>
      <c r="H834" s="8" t="s">
        <v>20</v>
      </c>
      <c r="I834" s="8" t="s">
        <v>124</v>
      </c>
      <c r="J834" s="8" t="str">
        <f>""</f>
        <v/>
      </c>
      <c r="K834" s="8" t="str">
        <f>"PFES1162671587_0001"</f>
        <v>PFES1162671587_0001</v>
      </c>
      <c r="L834" s="8">
        <v>1</v>
      </c>
      <c r="M834" s="8">
        <v>1</v>
      </c>
    </row>
    <row r="835" spans="1:13">
      <c r="A835" s="6">
        <v>43502</v>
      </c>
      <c r="B835" s="7">
        <v>0.61458333333333337</v>
      </c>
      <c r="C835" s="8" t="str">
        <f>"FES1162671598"</f>
        <v>FES1162671598</v>
      </c>
      <c r="D835" s="8" t="s">
        <v>18</v>
      </c>
      <c r="E835" s="8" t="s">
        <v>40</v>
      </c>
      <c r="F835" s="8" t="str">
        <f>"2170672929 "</f>
        <v xml:space="preserve">2170672929 </v>
      </c>
      <c r="G835" s="8" t="str">
        <f t="shared" si="27"/>
        <v>ON1</v>
      </c>
      <c r="H835" s="8" t="s">
        <v>20</v>
      </c>
      <c r="I835" s="8" t="s">
        <v>41</v>
      </c>
      <c r="J835" s="8" t="str">
        <f>""</f>
        <v/>
      </c>
      <c r="K835" s="8" t="str">
        <f>"PFES1162671598_0001"</f>
        <v>PFES1162671598_0001</v>
      </c>
      <c r="L835" s="8">
        <v>1</v>
      </c>
      <c r="M835" s="8">
        <v>1</v>
      </c>
    </row>
    <row r="836" spans="1:13">
      <c r="A836" s="6">
        <v>43502</v>
      </c>
      <c r="B836" s="7">
        <v>0.61458333333333337</v>
      </c>
      <c r="C836" s="8" t="str">
        <f>"FES1162671629"</f>
        <v>FES1162671629</v>
      </c>
      <c r="D836" s="8" t="s">
        <v>18</v>
      </c>
      <c r="E836" s="8" t="s">
        <v>151</v>
      </c>
      <c r="F836" s="8" t="str">
        <f>"2170672954 "</f>
        <v xml:space="preserve">2170672954 </v>
      </c>
      <c r="G836" s="8" t="str">
        <f t="shared" si="27"/>
        <v>ON1</v>
      </c>
      <c r="H836" s="8" t="s">
        <v>20</v>
      </c>
      <c r="I836" s="8" t="s">
        <v>63</v>
      </c>
      <c r="J836" s="8" t="str">
        <f>""</f>
        <v/>
      </c>
      <c r="K836" s="8" t="str">
        <f>"PFES1162671629_0001"</f>
        <v>PFES1162671629_0001</v>
      </c>
      <c r="L836" s="8">
        <v>1</v>
      </c>
      <c r="M836" s="8">
        <v>1</v>
      </c>
    </row>
    <row r="837" spans="1:13">
      <c r="A837" s="6">
        <v>43502</v>
      </c>
      <c r="B837" s="7">
        <v>0.61388888888888882</v>
      </c>
      <c r="C837" s="8" t="str">
        <f>"FES1162671621"</f>
        <v>FES1162671621</v>
      </c>
      <c r="D837" s="8" t="s">
        <v>18</v>
      </c>
      <c r="E837" s="8" t="s">
        <v>122</v>
      </c>
      <c r="F837" s="8" t="str">
        <f>"2170672949 "</f>
        <v xml:space="preserve">2170672949 </v>
      </c>
      <c r="G837" s="8" t="str">
        <f t="shared" si="27"/>
        <v>ON1</v>
      </c>
      <c r="H837" s="8" t="s">
        <v>20</v>
      </c>
      <c r="I837" s="8" t="s">
        <v>41</v>
      </c>
      <c r="J837" s="8" t="str">
        <f>""</f>
        <v/>
      </c>
      <c r="K837" s="8" t="str">
        <f>"PFES1162671621_0001"</f>
        <v>PFES1162671621_0001</v>
      </c>
      <c r="L837" s="8">
        <v>1</v>
      </c>
      <c r="M837" s="8">
        <v>1</v>
      </c>
    </row>
    <row r="838" spans="1:13">
      <c r="A838" s="6">
        <v>43502</v>
      </c>
      <c r="B838" s="7">
        <v>0.61388888888888882</v>
      </c>
      <c r="C838" s="8" t="str">
        <f>"FES1162671607"</f>
        <v>FES1162671607</v>
      </c>
      <c r="D838" s="8" t="s">
        <v>18</v>
      </c>
      <c r="E838" s="8" t="s">
        <v>477</v>
      </c>
      <c r="F838" s="8" t="str">
        <f>"2170672933 "</f>
        <v xml:space="preserve">2170672933 </v>
      </c>
      <c r="G838" s="8" t="str">
        <f t="shared" si="27"/>
        <v>ON1</v>
      </c>
      <c r="H838" s="8" t="s">
        <v>20</v>
      </c>
      <c r="I838" s="8" t="s">
        <v>478</v>
      </c>
      <c r="J838" s="8" t="str">
        <f>""</f>
        <v/>
      </c>
      <c r="K838" s="8" t="str">
        <f>"PFES1162671607_0001"</f>
        <v>PFES1162671607_0001</v>
      </c>
      <c r="L838" s="8">
        <v>1</v>
      </c>
      <c r="M838" s="8">
        <v>1</v>
      </c>
    </row>
    <row r="839" spans="1:13">
      <c r="A839" s="6">
        <v>43502</v>
      </c>
      <c r="B839" s="7">
        <v>0.61388888888888882</v>
      </c>
      <c r="C839" s="8" t="str">
        <f>"FES1162671579"</f>
        <v>FES1162671579</v>
      </c>
      <c r="D839" s="8" t="s">
        <v>18</v>
      </c>
      <c r="E839" s="8" t="s">
        <v>301</v>
      </c>
      <c r="F839" s="8" t="str">
        <f>"2170668688 "</f>
        <v xml:space="preserve">2170668688 </v>
      </c>
      <c r="G839" s="8" t="str">
        <f>"DBC"</f>
        <v>DBC</v>
      </c>
      <c r="H839" s="8" t="s">
        <v>20</v>
      </c>
      <c r="I839" s="8" t="s">
        <v>53</v>
      </c>
      <c r="J839" s="8" t="str">
        <f>""</f>
        <v/>
      </c>
      <c r="K839" s="8" t="str">
        <f>"PFES1162671579_0001"</f>
        <v>PFES1162671579_0001</v>
      </c>
      <c r="L839" s="8">
        <v>1</v>
      </c>
      <c r="M839" s="8">
        <v>27</v>
      </c>
    </row>
    <row r="840" spans="1:13">
      <c r="A840" s="6">
        <v>43502</v>
      </c>
      <c r="B840" s="7">
        <v>0.6118055555555556</v>
      </c>
      <c r="C840" s="8" t="str">
        <f>"FES1162671574"</f>
        <v>FES1162671574</v>
      </c>
      <c r="D840" s="8" t="s">
        <v>18</v>
      </c>
      <c r="E840" s="8" t="s">
        <v>47</v>
      </c>
      <c r="F840" s="8" t="str">
        <f>"2170662389 "</f>
        <v xml:space="preserve">2170662389 </v>
      </c>
      <c r="G840" s="8" t="str">
        <f>"ON1"</f>
        <v>ON1</v>
      </c>
      <c r="H840" s="8" t="s">
        <v>20</v>
      </c>
      <c r="I840" s="8" t="s">
        <v>48</v>
      </c>
      <c r="J840" s="8" t="str">
        <f>""</f>
        <v/>
      </c>
      <c r="K840" s="8" t="str">
        <f>"PFES1162671574_0001"</f>
        <v>PFES1162671574_0001</v>
      </c>
      <c r="L840" s="8">
        <v>1</v>
      </c>
      <c r="M840" s="8">
        <v>2</v>
      </c>
    </row>
    <row r="841" spans="1:13">
      <c r="A841" s="6">
        <v>43502</v>
      </c>
      <c r="B841" s="7">
        <v>0.61041666666666672</v>
      </c>
      <c r="C841" s="8" t="str">
        <f>"FES1162671589"</f>
        <v>FES1162671589</v>
      </c>
      <c r="D841" s="8" t="s">
        <v>18</v>
      </c>
      <c r="E841" s="8" t="s">
        <v>607</v>
      </c>
      <c r="F841" s="8" t="str">
        <f>"2170672676 "</f>
        <v xml:space="preserve">2170672676 </v>
      </c>
      <c r="G841" s="8" t="str">
        <f>"ON1"</f>
        <v>ON1</v>
      </c>
      <c r="H841" s="8" t="s">
        <v>20</v>
      </c>
      <c r="I841" s="8" t="s">
        <v>608</v>
      </c>
      <c r="J841" s="8" t="str">
        <f>""</f>
        <v/>
      </c>
      <c r="K841" s="8" t="str">
        <f>"PFES1162671589_0001"</f>
        <v>PFES1162671589_0001</v>
      </c>
      <c r="L841" s="8">
        <v>2</v>
      </c>
      <c r="M841" s="8">
        <v>10</v>
      </c>
    </row>
    <row r="842" spans="1:13">
      <c r="A842" s="6">
        <v>43502</v>
      </c>
      <c r="B842" s="7">
        <v>0.61041666666666672</v>
      </c>
      <c r="C842" s="8" t="str">
        <f>"FES1162671589"</f>
        <v>FES1162671589</v>
      </c>
      <c r="D842" s="8" t="s">
        <v>18</v>
      </c>
      <c r="E842" s="8" t="s">
        <v>607</v>
      </c>
      <c r="F842" s="8" t="str">
        <f>"2170672676 "</f>
        <v xml:space="preserve">2170672676 </v>
      </c>
      <c r="G842" s="8" t="str">
        <f>"ON1"</f>
        <v>ON1</v>
      </c>
      <c r="H842" s="8" t="s">
        <v>20</v>
      </c>
      <c r="I842" s="8" t="s">
        <v>608</v>
      </c>
      <c r="J842" s="8"/>
      <c r="K842" s="8" t="str">
        <f>"PFES1162671589_0002"</f>
        <v>PFES1162671589_0002</v>
      </c>
      <c r="L842" s="8">
        <v>2</v>
      </c>
      <c r="M842" s="8">
        <v>10</v>
      </c>
    </row>
    <row r="843" spans="1:13">
      <c r="A843" s="6">
        <v>43502</v>
      </c>
      <c r="B843" s="7">
        <v>0.60972222222222217</v>
      </c>
      <c r="C843" s="8" t="str">
        <f>"FES1162671575"</f>
        <v>FES1162671575</v>
      </c>
      <c r="D843" s="8" t="s">
        <v>18</v>
      </c>
      <c r="E843" s="8" t="s">
        <v>47</v>
      </c>
      <c r="F843" s="8" t="str">
        <f>"2170666300 "</f>
        <v xml:space="preserve">2170666300 </v>
      </c>
      <c r="G843" s="8" t="str">
        <f t="shared" ref="G843:G870" si="28">"ON1"</f>
        <v>ON1</v>
      </c>
      <c r="H843" s="8" t="s">
        <v>20</v>
      </c>
      <c r="I843" s="8" t="s">
        <v>48</v>
      </c>
      <c r="J843" s="8" t="str">
        <f>""</f>
        <v/>
      </c>
      <c r="K843" s="8" t="str">
        <f>"PFES1162671575_0001"</f>
        <v>PFES1162671575_0001</v>
      </c>
      <c r="L843" s="8">
        <v>1</v>
      </c>
      <c r="M843" s="8">
        <v>2</v>
      </c>
    </row>
    <row r="844" spans="1:13">
      <c r="A844" s="6">
        <v>43502</v>
      </c>
      <c r="B844" s="7">
        <v>0.60833333333333328</v>
      </c>
      <c r="C844" s="8" t="str">
        <f>"FES1162671568"</f>
        <v>FES1162671568</v>
      </c>
      <c r="D844" s="8" t="s">
        <v>18</v>
      </c>
      <c r="E844" s="8" t="s">
        <v>47</v>
      </c>
      <c r="F844" s="8" t="str">
        <f>"2170666300 "</f>
        <v xml:space="preserve">2170666300 </v>
      </c>
      <c r="G844" s="8" t="str">
        <f t="shared" si="28"/>
        <v>ON1</v>
      </c>
      <c r="H844" s="8" t="s">
        <v>20</v>
      </c>
      <c r="I844" s="8" t="s">
        <v>48</v>
      </c>
      <c r="J844" s="8" t="str">
        <f>""</f>
        <v/>
      </c>
      <c r="K844" s="8" t="str">
        <f>"PFES1162671568_0001"</f>
        <v>PFES1162671568_0001</v>
      </c>
      <c r="L844" s="8">
        <v>1</v>
      </c>
      <c r="M844" s="8">
        <v>14</v>
      </c>
    </row>
    <row r="845" spans="1:13">
      <c r="A845" s="6">
        <v>43502</v>
      </c>
      <c r="B845" s="7">
        <v>0.60763888888888895</v>
      </c>
      <c r="C845" s="8" t="str">
        <f>"FES1162671557"</f>
        <v>FES1162671557</v>
      </c>
      <c r="D845" s="8" t="s">
        <v>18</v>
      </c>
      <c r="E845" s="8" t="s">
        <v>120</v>
      </c>
      <c r="F845" s="8" t="str">
        <f>"2170672903 "</f>
        <v xml:space="preserve">2170672903 </v>
      </c>
      <c r="G845" s="8" t="str">
        <f t="shared" si="28"/>
        <v>ON1</v>
      </c>
      <c r="H845" s="8" t="s">
        <v>20</v>
      </c>
      <c r="I845" s="8" t="s">
        <v>121</v>
      </c>
      <c r="J845" s="8" t="str">
        <f>""</f>
        <v/>
      </c>
      <c r="K845" s="8" t="str">
        <f>"PFES1162671557_0001"</f>
        <v>PFES1162671557_0001</v>
      </c>
      <c r="L845" s="8">
        <v>1</v>
      </c>
      <c r="M845" s="8">
        <v>20</v>
      </c>
    </row>
    <row r="846" spans="1:13">
      <c r="A846" s="6">
        <v>43502</v>
      </c>
      <c r="B846" s="7">
        <v>0.6069444444444444</v>
      </c>
      <c r="C846" s="8" t="str">
        <f>"FES1162671543"</f>
        <v>FES1162671543</v>
      </c>
      <c r="D846" s="8" t="s">
        <v>18</v>
      </c>
      <c r="E846" s="8" t="s">
        <v>92</v>
      </c>
      <c r="F846" s="8" t="str">
        <f>"2170672886 "</f>
        <v xml:space="preserve">2170672886 </v>
      </c>
      <c r="G846" s="8" t="str">
        <f t="shared" si="28"/>
        <v>ON1</v>
      </c>
      <c r="H846" s="8" t="s">
        <v>20</v>
      </c>
      <c r="I846" s="8" t="s">
        <v>93</v>
      </c>
      <c r="J846" s="8" t="str">
        <f>""</f>
        <v/>
      </c>
      <c r="K846" s="8" t="str">
        <f>"PFES1162671543_0001"</f>
        <v>PFES1162671543_0001</v>
      </c>
      <c r="L846" s="8">
        <v>1</v>
      </c>
      <c r="M846" s="8">
        <v>1</v>
      </c>
    </row>
    <row r="847" spans="1:13">
      <c r="A847" s="6">
        <v>43502</v>
      </c>
      <c r="B847" s="7">
        <v>0.46458333333333335</v>
      </c>
      <c r="C847" s="8" t="str">
        <f>"FES1162671420"</f>
        <v>FES1162671420</v>
      </c>
      <c r="D847" s="8" t="s">
        <v>18</v>
      </c>
      <c r="E847" s="8" t="s">
        <v>366</v>
      </c>
      <c r="F847" s="8" t="str">
        <f>"2170671208 "</f>
        <v xml:space="preserve">2170671208 </v>
      </c>
      <c r="G847" s="8" t="str">
        <f t="shared" si="28"/>
        <v>ON1</v>
      </c>
      <c r="H847" s="8" t="s">
        <v>20</v>
      </c>
      <c r="I847" s="8" t="s">
        <v>367</v>
      </c>
      <c r="J847" s="8" t="str">
        <f>""</f>
        <v/>
      </c>
      <c r="K847" s="8" t="str">
        <f>"PFES1162671420_0001"</f>
        <v>PFES1162671420_0001</v>
      </c>
      <c r="L847" s="8">
        <v>1</v>
      </c>
      <c r="M847" s="8">
        <v>1</v>
      </c>
    </row>
    <row r="848" spans="1:13">
      <c r="A848" s="6">
        <v>43502</v>
      </c>
      <c r="B848" s="7">
        <v>0.46458333333333335</v>
      </c>
      <c r="C848" s="8" t="str">
        <f>"FES1162671409"</f>
        <v>FES1162671409</v>
      </c>
      <c r="D848" s="8" t="s">
        <v>18</v>
      </c>
      <c r="E848" s="8" t="s">
        <v>299</v>
      </c>
      <c r="F848" s="8" t="str">
        <f>"2170672776 "</f>
        <v xml:space="preserve">2170672776 </v>
      </c>
      <c r="G848" s="8" t="str">
        <f t="shared" si="28"/>
        <v>ON1</v>
      </c>
      <c r="H848" s="8" t="s">
        <v>20</v>
      </c>
      <c r="I848" s="8" t="s">
        <v>43</v>
      </c>
      <c r="J848" s="8" t="str">
        <f>""</f>
        <v/>
      </c>
      <c r="K848" s="8" t="str">
        <f>"PFES1162671409_0001"</f>
        <v>PFES1162671409_0001</v>
      </c>
      <c r="L848" s="8">
        <v>1</v>
      </c>
      <c r="M848" s="8">
        <v>1</v>
      </c>
    </row>
    <row r="849" spans="1:13">
      <c r="A849" s="6">
        <v>43502</v>
      </c>
      <c r="B849" s="7">
        <v>0.46458333333333335</v>
      </c>
      <c r="C849" s="8" t="str">
        <f>"FES1162671077"</f>
        <v>FES1162671077</v>
      </c>
      <c r="D849" s="8" t="s">
        <v>18</v>
      </c>
      <c r="E849" s="8" t="s">
        <v>47</v>
      </c>
      <c r="F849" s="8" t="str">
        <f>"2170669320 "</f>
        <v xml:space="preserve">2170669320 </v>
      </c>
      <c r="G849" s="8" t="str">
        <f t="shared" si="28"/>
        <v>ON1</v>
      </c>
      <c r="H849" s="8" t="s">
        <v>20</v>
      </c>
      <c r="I849" s="8" t="s">
        <v>48</v>
      </c>
      <c r="J849" s="8" t="str">
        <f>""</f>
        <v/>
      </c>
      <c r="K849" s="8" t="str">
        <f>"PFES1162671077_0001"</f>
        <v>PFES1162671077_0001</v>
      </c>
      <c r="L849" s="8">
        <v>1</v>
      </c>
      <c r="M849" s="8">
        <v>1</v>
      </c>
    </row>
    <row r="850" spans="1:13">
      <c r="A850" s="6">
        <v>43502</v>
      </c>
      <c r="B850" s="7">
        <v>0.46388888888888885</v>
      </c>
      <c r="C850" s="8" t="str">
        <f>"FES1162671433"</f>
        <v>FES1162671433</v>
      </c>
      <c r="D850" s="8" t="s">
        <v>18</v>
      </c>
      <c r="E850" s="8" t="s">
        <v>609</v>
      </c>
      <c r="F850" s="8" t="str">
        <f>"2170672460 "</f>
        <v xml:space="preserve">2170672460 </v>
      </c>
      <c r="G850" s="8" t="str">
        <f t="shared" si="28"/>
        <v>ON1</v>
      </c>
      <c r="H850" s="8" t="s">
        <v>20</v>
      </c>
      <c r="I850" s="8" t="s">
        <v>61</v>
      </c>
      <c r="J850" s="8" t="str">
        <f>""</f>
        <v/>
      </c>
      <c r="K850" s="8" t="str">
        <f>"PFES1162671433_0001"</f>
        <v>PFES1162671433_0001</v>
      </c>
      <c r="L850" s="8">
        <v>1</v>
      </c>
      <c r="M850" s="8">
        <v>1</v>
      </c>
    </row>
    <row r="851" spans="1:13">
      <c r="A851" s="6">
        <v>43502</v>
      </c>
      <c r="B851" s="7">
        <v>0.46388888888888885</v>
      </c>
      <c r="C851" s="8" t="str">
        <f>"FES1162671468"</f>
        <v>FES1162671468</v>
      </c>
      <c r="D851" s="8" t="s">
        <v>18</v>
      </c>
      <c r="E851" s="8" t="s">
        <v>162</v>
      </c>
      <c r="F851" s="8" t="str">
        <f>"2170672773 "</f>
        <v xml:space="preserve">2170672773 </v>
      </c>
      <c r="G851" s="8" t="str">
        <f t="shared" si="28"/>
        <v>ON1</v>
      </c>
      <c r="H851" s="8" t="s">
        <v>20</v>
      </c>
      <c r="I851" s="8" t="s">
        <v>163</v>
      </c>
      <c r="J851" s="8" t="str">
        <f>""</f>
        <v/>
      </c>
      <c r="K851" s="8" t="str">
        <f>"PFES1162671468_0001"</f>
        <v>PFES1162671468_0001</v>
      </c>
      <c r="L851" s="8">
        <v>1</v>
      </c>
      <c r="M851" s="8">
        <v>1</v>
      </c>
    </row>
    <row r="852" spans="1:13">
      <c r="A852" s="6">
        <v>43502</v>
      </c>
      <c r="B852" s="7">
        <v>0.46319444444444446</v>
      </c>
      <c r="C852" s="8" t="str">
        <f>"FES1162671459"</f>
        <v>FES1162671459</v>
      </c>
      <c r="D852" s="8" t="s">
        <v>18</v>
      </c>
      <c r="E852" s="8" t="s">
        <v>159</v>
      </c>
      <c r="F852" s="8" t="str">
        <f>"2170672801 "</f>
        <v xml:space="preserve">2170672801 </v>
      </c>
      <c r="G852" s="8" t="str">
        <f t="shared" si="28"/>
        <v>ON1</v>
      </c>
      <c r="H852" s="8" t="s">
        <v>20</v>
      </c>
      <c r="I852" s="8" t="s">
        <v>137</v>
      </c>
      <c r="J852" s="8" t="str">
        <f>""</f>
        <v/>
      </c>
      <c r="K852" s="8" t="str">
        <f>"PFES1162671459_0001"</f>
        <v>PFES1162671459_0001</v>
      </c>
      <c r="L852" s="8">
        <v>1</v>
      </c>
      <c r="M852" s="8">
        <v>1</v>
      </c>
    </row>
    <row r="853" spans="1:13">
      <c r="A853" s="6">
        <v>43502</v>
      </c>
      <c r="B853" s="7">
        <v>0.46319444444444446</v>
      </c>
      <c r="C853" s="8" t="str">
        <f>"FES1162671443"</f>
        <v>FES1162671443</v>
      </c>
      <c r="D853" s="8" t="s">
        <v>18</v>
      </c>
      <c r="E853" s="8" t="s">
        <v>136</v>
      </c>
      <c r="F853" s="8" t="str">
        <f>"2170672780 "</f>
        <v xml:space="preserve">2170672780 </v>
      </c>
      <c r="G853" s="8" t="str">
        <f t="shared" si="28"/>
        <v>ON1</v>
      </c>
      <c r="H853" s="8" t="s">
        <v>20</v>
      </c>
      <c r="I853" s="8" t="s">
        <v>137</v>
      </c>
      <c r="J853" s="8" t="str">
        <f>""</f>
        <v/>
      </c>
      <c r="K853" s="8" t="str">
        <f>"PFES1162671443_0001"</f>
        <v>PFES1162671443_0001</v>
      </c>
      <c r="L853" s="8">
        <v>1</v>
      </c>
      <c r="M853" s="8">
        <v>1</v>
      </c>
    </row>
    <row r="854" spans="1:13">
      <c r="A854" s="6">
        <v>43502</v>
      </c>
      <c r="B854" s="7">
        <v>0.46249999999999997</v>
      </c>
      <c r="C854" s="8" t="str">
        <f>"FES1162671109"</f>
        <v>FES1162671109</v>
      </c>
      <c r="D854" s="8" t="s">
        <v>18</v>
      </c>
      <c r="E854" s="8" t="s">
        <v>380</v>
      </c>
      <c r="F854" s="8" t="str">
        <f>"2170672115 "</f>
        <v xml:space="preserve">2170672115 </v>
      </c>
      <c r="G854" s="8" t="str">
        <f t="shared" si="28"/>
        <v>ON1</v>
      </c>
      <c r="H854" s="8" t="s">
        <v>20</v>
      </c>
      <c r="I854" s="8" t="s">
        <v>213</v>
      </c>
      <c r="J854" s="8" t="str">
        <f>""</f>
        <v/>
      </c>
      <c r="K854" s="8" t="str">
        <f>"PFES1162671109_0001"</f>
        <v>PFES1162671109_0001</v>
      </c>
      <c r="L854" s="8">
        <v>1</v>
      </c>
      <c r="M854" s="8">
        <v>1</v>
      </c>
    </row>
    <row r="855" spans="1:13">
      <c r="A855" s="6">
        <v>43502</v>
      </c>
      <c r="B855" s="7">
        <v>0.46249999999999997</v>
      </c>
      <c r="C855" s="8" t="str">
        <f>"FES1162671431"</f>
        <v>FES1162671431</v>
      </c>
      <c r="D855" s="8" t="s">
        <v>18</v>
      </c>
      <c r="E855" s="8" t="s">
        <v>38</v>
      </c>
      <c r="F855" s="8" t="str">
        <f>"2170672275 "</f>
        <v xml:space="preserve">2170672275 </v>
      </c>
      <c r="G855" s="8" t="str">
        <f t="shared" si="28"/>
        <v>ON1</v>
      </c>
      <c r="H855" s="8" t="s">
        <v>20</v>
      </c>
      <c r="I855" s="8" t="s">
        <v>39</v>
      </c>
      <c r="J855" s="8" t="str">
        <f>""</f>
        <v/>
      </c>
      <c r="K855" s="8" t="str">
        <f>"PFES1162671431_0001"</f>
        <v>PFES1162671431_0001</v>
      </c>
      <c r="L855" s="8">
        <v>1</v>
      </c>
      <c r="M855" s="8">
        <v>1</v>
      </c>
    </row>
    <row r="856" spans="1:13">
      <c r="A856" s="6">
        <v>43502</v>
      </c>
      <c r="B856" s="7">
        <v>0.46180555555555558</v>
      </c>
      <c r="C856" s="8" t="str">
        <f>"FES1162671120"</f>
        <v>FES1162671120</v>
      </c>
      <c r="D856" s="8" t="s">
        <v>18</v>
      </c>
      <c r="E856" s="8" t="s">
        <v>538</v>
      </c>
      <c r="F856" s="8" t="str">
        <f>"2170672491 "</f>
        <v xml:space="preserve">2170672491 </v>
      </c>
      <c r="G856" s="8" t="str">
        <f t="shared" si="28"/>
        <v>ON1</v>
      </c>
      <c r="H856" s="8" t="s">
        <v>20</v>
      </c>
      <c r="I856" s="8" t="s">
        <v>539</v>
      </c>
      <c r="J856" s="8" t="str">
        <f>""</f>
        <v/>
      </c>
      <c r="K856" s="8" t="str">
        <f>"PFES1162671120_0001"</f>
        <v>PFES1162671120_0001</v>
      </c>
      <c r="L856" s="8">
        <v>1</v>
      </c>
      <c r="M856" s="8">
        <v>1</v>
      </c>
    </row>
    <row r="857" spans="1:13">
      <c r="A857" s="6">
        <v>43502</v>
      </c>
      <c r="B857" s="7">
        <v>0.46180555555555558</v>
      </c>
      <c r="C857" s="8" t="str">
        <f>"FES1162671437"</f>
        <v>FES1162671437</v>
      </c>
      <c r="D857" s="8" t="s">
        <v>18</v>
      </c>
      <c r="E857" s="8" t="s">
        <v>358</v>
      </c>
      <c r="F857" s="8" t="str">
        <f>"2170672556 "</f>
        <v xml:space="preserve">2170672556 </v>
      </c>
      <c r="G857" s="8" t="str">
        <f t="shared" si="28"/>
        <v>ON1</v>
      </c>
      <c r="H857" s="8" t="s">
        <v>20</v>
      </c>
      <c r="I857" s="8" t="s">
        <v>359</v>
      </c>
      <c r="J857" s="8" t="str">
        <f>""</f>
        <v/>
      </c>
      <c r="K857" s="8" t="str">
        <f>"PFES1162671437_0001"</f>
        <v>PFES1162671437_0001</v>
      </c>
      <c r="L857" s="8">
        <v>1</v>
      </c>
      <c r="M857" s="8">
        <v>1</v>
      </c>
    </row>
    <row r="858" spans="1:13">
      <c r="A858" s="6">
        <v>43502</v>
      </c>
      <c r="B858" s="7">
        <v>0.46111111111111108</v>
      </c>
      <c r="C858" s="8" t="str">
        <f>"FES1162671484"</f>
        <v>FES1162671484</v>
      </c>
      <c r="D858" s="8" t="s">
        <v>18</v>
      </c>
      <c r="E858" s="8" t="s">
        <v>386</v>
      </c>
      <c r="F858" s="8" t="str">
        <f>"2170672832 "</f>
        <v xml:space="preserve">2170672832 </v>
      </c>
      <c r="G858" s="8" t="str">
        <f t="shared" si="28"/>
        <v>ON1</v>
      </c>
      <c r="H858" s="8" t="s">
        <v>20</v>
      </c>
      <c r="I858" s="8" t="s">
        <v>41</v>
      </c>
      <c r="J858" s="8" t="str">
        <f>""</f>
        <v/>
      </c>
      <c r="K858" s="8" t="str">
        <f>"PFES1162671484_0001"</f>
        <v>PFES1162671484_0001</v>
      </c>
      <c r="L858" s="8">
        <v>1</v>
      </c>
      <c r="M858" s="8">
        <v>1</v>
      </c>
    </row>
    <row r="859" spans="1:13">
      <c r="A859" s="6">
        <v>43502</v>
      </c>
      <c r="B859" s="7">
        <v>0.46111111111111108</v>
      </c>
      <c r="C859" s="8" t="str">
        <f>"FES1162671387"</f>
        <v>FES1162671387</v>
      </c>
      <c r="D859" s="8" t="s">
        <v>18</v>
      </c>
      <c r="E859" s="8" t="s">
        <v>88</v>
      </c>
      <c r="F859" s="8" t="str">
        <f>"2170672749 "</f>
        <v xml:space="preserve">2170672749 </v>
      </c>
      <c r="G859" s="8" t="str">
        <f t="shared" si="28"/>
        <v>ON1</v>
      </c>
      <c r="H859" s="8" t="s">
        <v>20</v>
      </c>
      <c r="I859" s="8" t="s">
        <v>89</v>
      </c>
      <c r="J859" s="8" t="str">
        <f>""</f>
        <v/>
      </c>
      <c r="K859" s="8" t="str">
        <f>"PFES1162671387_0001"</f>
        <v>PFES1162671387_0001</v>
      </c>
      <c r="L859" s="8">
        <v>1</v>
      </c>
      <c r="M859" s="8">
        <v>1</v>
      </c>
    </row>
    <row r="860" spans="1:13">
      <c r="A860" s="6">
        <v>43502</v>
      </c>
      <c r="B860" s="7">
        <v>0.4604166666666667</v>
      </c>
      <c r="C860" s="8" t="str">
        <f>"FES1162671434"</f>
        <v>FES1162671434</v>
      </c>
      <c r="D860" s="8" t="s">
        <v>18</v>
      </c>
      <c r="E860" s="8" t="s">
        <v>610</v>
      </c>
      <c r="F860" s="8" t="str">
        <f>"2170672527 "</f>
        <v xml:space="preserve">2170672527 </v>
      </c>
      <c r="G860" s="8" t="str">
        <f t="shared" si="28"/>
        <v>ON1</v>
      </c>
      <c r="H860" s="8" t="s">
        <v>20</v>
      </c>
      <c r="I860" s="8" t="s">
        <v>272</v>
      </c>
      <c r="J860" s="8" t="str">
        <f>""</f>
        <v/>
      </c>
      <c r="K860" s="8" t="str">
        <f>"PFES1162671434_0001"</f>
        <v>PFES1162671434_0001</v>
      </c>
      <c r="L860" s="8">
        <v>2</v>
      </c>
      <c r="M860" s="8">
        <v>6</v>
      </c>
    </row>
    <row r="861" spans="1:13">
      <c r="A861" s="6">
        <v>43502</v>
      </c>
      <c r="B861" s="7">
        <v>0.4604166666666667</v>
      </c>
      <c r="C861" s="8" t="str">
        <f>"FES1162671434"</f>
        <v>FES1162671434</v>
      </c>
      <c r="D861" s="8" t="s">
        <v>18</v>
      </c>
      <c r="E861" s="8" t="s">
        <v>610</v>
      </c>
      <c r="F861" s="8" t="str">
        <f>"2170672527 "</f>
        <v xml:space="preserve">2170672527 </v>
      </c>
      <c r="G861" s="8" t="str">
        <f t="shared" si="28"/>
        <v>ON1</v>
      </c>
      <c r="H861" s="8" t="s">
        <v>20</v>
      </c>
      <c r="I861" s="8" t="s">
        <v>272</v>
      </c>
      <c r="J861" s="8"/>
      <c r="K861" s="8" t="str">
        <f>"PFES1162671434_0002"</f>
        <v>PFES1162671434_0002</v>
      </c>
      <c r="L861" s="8">
        <v>2</v>
      </c>
      <c r="M861" s="8">
        <v>6</v>
      </c>
    </row>
    <row r="862" spans="1:13">
      <c r="A862" s="6">
        <v>43502</v>
      </c>
      <c r="B862" s="7">
        <v>0.4604166666666667</v>
      </c>
      <c r="C862" s="8" t="str">
        <f>"FES1162671485"</f>
        <v>FES1162671485</v>
      </c>
      <c r="D862" s="8" t="s">
        <v>18</v>
      </c>
      <c r="E862" s="8" t="s">
        <v>232</v>
      </c>
      <c r="F862" s="8" t="str">
        <f>"2170672833 "</f>
        <v xml:space="preserve">2170672833 </v>
      </c>
      <c r="G862" s="8" t="str">
        <f t="shared" si="28"/>
        <v>ON1</v>
      </c>
      <c r="H862" s="8" t="s">
        <v>20</v>
      </c>
      <c r="I862" s="8" t="s">
        <v>233</v>
      </c>
      <c r="J862" s="8" t="str">
        <f>""</f>
        <v/>
      </c>
      <c r="K862" s="8" t="str">
        <f>"PFES1162671485_0001"</f>
        <v>PFES1162671485_0001</v>
      </c>
      <c r="L862" s="8">
        <v>1</v>
      </c>
      <c r="M862" s="8">
        <v>1</v>
      </c>
    </row>
    <row r="863" spans="1:13">
      <c r="A863" s="6">
        <v>43502</v>
      </c>
      <c r="B863" s="7">
        <v>0.4597222222222222</v>
      </c>
      <c r="C863" s="8" t="str">
        <f>"FES1162671423"</f>
        <v>FES1162671423</v>
      </c>
      <c r="D863" s="8" t="s">
        <v>18</v>
      </c>
      <c r="E863" s="8" t="s">
        <v>88</v>
      </c>
      <c r="F863" s="8" t="str">
        <f>"                                                                                                   2 "</f>
        <v xml:space="preserve">                                                                                                   2 </v>
      </c>
      <c r="G863" s="8" t="str">
        <f t="shared" si="28"/>
        <v>ON1</v>
      </c>
      <c r="H863" s="8" t="s">
        <v>20</v>
      </c>
      <c r="I863" s="8" t="s">
        <v>89</v>
      </c>
      <c r="J863" s="8" t="str">
        <f>""</f>
        <v/>
      </c>
      <c r="K863" s="8" t="str">
        <f>"PFES1162671423_0001"</f>
        <v>PFES1162671423_0001</v>
      </c>
      <c r="L863" s="8">
        <v>1</v>
      </c>
      <c r="M863" s="8">
        <v>1</v>
      </c>
    </row>
    <row r="864" spans="1:13">
      <c r="A864" s="6">
        <v>43502</v>
      </c>
      <c r="B864" s="7">
        <v>0.4597222222222222</v>
      </c>
      <c r="C864" s="8" t="str">
        <f>"FES1162671374"</f>
        <v>FES1162671374</v>
      </c>
      <c r="D864" s="8" t="s">
        <v>18</v>
      </c>
      <c r="E864" s="8" t="s">
        <v>295</v>
      </c>
      <c r="F864" s="8" t="str">
        <f>"2170672739 "</f>
        <v xml:space="preserve">2170672739 </v>
      </c>
      <c r="G864" s="8" t="str">
        <f t="shared" si="28"/>
        <v>ON1</v>
      </c>
      <c r="H864" s="8" t="s">
        <v>20</v>
      </c>
      <c r="I864" s="8" t="s">
        <v>53</v>
      </c>
      <c r="J864" s="8" t="str">
        <f>""</f>
        <v/>
      </c>
      <c r="K864" s="8" t="str">
        <f>"PFES1162671374_0001"</f>
        <v>PFES1162671374_0001</v>
      </c>
      <c r="L864" s="8">
        <v>1</v>
      </c>
      <c r="M864" s="8">
        <v>1</v>
      </c>
    </row>
    <row r="865" spans="1:13">
      <c r="A865" s="6">
        <v>43502</v>
      </c>
      <c r="B865" s="7">
        <v>0.45902777777777781</v>
      </c>
      <c r="C865" s="8" t="str">
        <f>"FES1162671480"</f>
        <v>FES1162671480</v>
      </c>
      <c r="D865" s="8" t="s">
        <v>18</v>
      </c>
      <c r="E865" s="8" t="s">
        <v>24</v>
      </c>
      <c r="F865" s="8" t="str">
        <f>"2170669461 "</f>
        <v xml:space="preserve">2170669461 </v>
      </c>
      <c r="G865" s="8" t="str">
        <f t="shared" si="28"/>
        <v>ON1</v>
      </c>
      <c r="H865" s="8" t="s">
        <v>20</v>
      </c>
      <c r="I865" s="8" t="s">
        <v>25</v>
      </c>
      <c r="J865" s="8" t="str">
        <f>""</f>
        <v/>
      </c>
      <c r="K865" s="8" t="str">
        <f>"PFES1162671480_0001"</f>
        <v>PFES1162671480_0001</v>
      </c>
      <c r="L865" s="8">
        <v>1</v>
      </c>
      <c r="M865" s="8">
        <v>1</v>
      </c>
    </row>
    <row r="866" spans="1:13">
      <c r="A866" s="6">
        <v>43502</v>
      </c>
      <c r="B866" s="7">
        <v>0.45833333333333331</v>
      </c>
      <c r="C866" s="8" t="str">
        <f>"FES1162671435"</f>
        <v>FES1162671435</v>
      </c>
      <c r="D866" s="8" t="s">
        <v>18</v>
      </c>
      <c r="E866" s="8" t="s">
        <v>315</v>
      </c>
      <c r="F866" s="8" t="str">
        <f>"2170672535 "</f>
        <v xml:space="preserve">2170672535 </v>
      </c>
      <c r="G866" s="8" t="str">
        <f t="shared" si="28"/>
        <v>ON1</v>
      </c>
      <c r="H866" s="8" t="s">
        <v>20</v>
      </c>
      <c r="I866" s="8" t="s">
        <v>239</v>
      </c>
      <c r="J866" s="8" t="str">
        <f>""</f>
        <v/>
      </c>
      <c r="K866" s="8" t="str">
        <f>"PFES1162671435_0001"</f>
        <v>PFES1162671435_0001</v>
      </c>
      <c r="L866" s="8">
        <v>1</v>
      </c>
      <c r="M866" s="8">
        <v>1</v>
      </c>
    </row>
    <row r="867" spans="1:13">
      <c r="A867" s="6">
        <v>43502</v>
      </c>
      <c r="B867" s="7">
        <v>0.45555555555555555</v>
      </c>
      <c r="C867" s="8" t="str">
        <f>"FES1162671155"</f>
        <v>FES1162671155</v>
      </c>
      <c r="D867" s="8" t="s">
        <v>18</v>
      </c>
      <c r="E867" s="8" t="s">
        <v>47</v>
      </c>
      <c r="F867" s="8" t="str">
        <f>"217066693 "</f>
        <v xml:space="preserve">217066693 </v>
      </c>
      <c r="G867" s="8" t="str">
        <f t="shared" si="28"/>
        <v>ON1</v>
      </c>
      <c r="H867" s="8" t="s">
        <v>20</v>
      </c>
      <c r="I867" s="8" t="s">
        <v>48</v>
      </c>
      <c r="J867" s="8" t="str">
        <f>""</f>
        <v/>
      </c>
      <c r="K867" s="8" t="str">
        <f>"PFES1162671155_0001"</f>
        <v>PFES1162671155_0001</v>
      </c>
      <c r="L867" s="8">
        <v>4</v>
      </c>
      <c r="M867" s="8">
        <v>5</v>
      </c>
    </row>
    <row r="868" spans="1:13">
      <c r="A868" s="6">
        <v>43502</v>
      </c>
      <c r="B868" s="7">
        <v>0.45555555555555555</v>
      </c>
      <c r="C868" s="8" t="str">
        <f>"FES1162671155"</f>
        <v>FES1162671155</v>
      </c>
      <c r="D868" s="8" t="s">
        <v>18</v>
      </c>
      <c r="E868" s="8" t="s">
        <v>47</v>
      </c>
      <c r="F868" s="8" t="str">
        <f t="shared" ref="F868:F870" si="29">"217066693 "</f>
        <v xml:space="preserve">217066693 </v>
      </c>
      <c r="G868" s="8" t="str">
        <f t="shared" si="28"/>
        <v>ON1</v>
      </c>
      <c r="H868" s="8" t="s">
        <v>20</v>
      </c>
      <c r="I868" s="8" t="s">
        <v>48</v>
      </c>
      <c r="J868" s="8"/>
      <c r="K868" s="8" t="str">
        <f>"PFES1162671155_0002"</f>
        <v>PFES1162671155_0002</v>
      </c>
      <c r="L868" s="8">
        <v>4</v>
      </c>
      <c r="M868" s="8">
        <v>5</v>
      </c>
    </row>
    <row r="869" spans="1:13">
      <c r="A869" s="6">
        <v>43502</v>
      </c>
      <c r="B869" s="7">
        <v>0.45555555555555555</v>
      </c>
      <c r="C869" s="8" t="str">
        <f>"FES1162671155"</f>
        <v>FES1162671155</v>
      </c>
      <c r="D869" s="8" t="s">
        <v>18</v>
      </c>
      <c r="E869" s="8" t="s">
        <v>47</v>
      </c>
      <c r="F869" s="8" t="str">
        <f t="shared" si="29"/>
        <v xml:space="preserve">217066693 </v>
      </c>
      <c r="G869" s="8" t="str">
        <f t="shared" si="28"/>
        <v>ON1</v>
      </c>
      <c r="H869" s="8" t="s">
        <v>20</v>
      </c>
      <c r="I869" s="8" t="s">
        <v>48</v>
      </c>
      <c r="J869" s="8"/>
      <c r="K869" s="8" t="str">
        <f>"PFES1162671155_0003"</f>
        <v>PFES1162671155_0003</v>
      </c>
      <c r="L869" s="8">
        <v>4</v>
      </c>
      <c r="M869" s="8">
        <v>5</v>
      </c>
    </row>
    <row r="870" spans="1:13">
      <c r="A870" s="6">
        <v>43502</v>
      </c>
      <c r="B870" s="7">
        <v>0.45555555555555555</v>
      </c>
      <c r="C870" s="8" t="str">
        <f>"FES1162671155"</f>
        <v>FES1162671155</v>
      </c>
      <c r="D870" s="8" t="s">
        <v>18</v>
      </c>
      <c r="E870" s="8" t="s">
        <v>47</v>
      </c>
      <c r="F870" s="8" t="str">
        <f t="shared" si="29"/>
        <v xml:space="preserve">217066693 </v>
      </c>
      <c r="G870" s="8" t="str">
        <f t="shared" si="28"/>
        <v>ON1</v>
      </c>
      <c r="H870" s="8" t="s">
        <v>20</v>
      </c>
      <c r="I870" s="8" t="s">
        <v>48</v>
      </c>
      <c r="J870" s="8"/>
      <c r="K870" s="8" t="str">
        <f>"PFES1162671155_0004"</f>
        <v>PFES1162671155_0004</v>
      </c>
      <c r="L870" s="8">
        <v>4</v>
      </c>
      <c r="M870" s="8">
        <v>5</v>
      </c>
    </row>
    <row r="871" spans="1:13">
      <c r="A871" s="6">
        <v>43502</v>
      </c>
      <c r="B871" s="7">
        <v>0.45416666666666666</v>
      </c>
      <c r="C871" s="8" t="str">
        <f>"FES1162671196"</f>
        <v>FES1162671196</v>
      </c>
      <c r="D871" s="8" t="s">
        <v>18</v>
      </c>
      <c r="E871" s="8" t="s">
        <v>47</v>
      </c>
      <c r="F871" s="8" t="str">
        <f>"2170669400 "</f>
        <v xml:space="preserve">2170669400 </v>
      </c>
      <c r="G871" s="8" t="str">
        <f>"DBC"</f>
        <v>DBC</v>
      </c>
      <c r="H871" s="8" t="s">
        <v>20</v>
      </c>
      <c r="I871" s="8" t="s">
        <v>48</v>
      </c>
      <c r="J871" s="8" t="str">
        <f>""</f>
        <v/>
      </c>
      <c r="K871" s="8" t="str">
        <f>"PFES1162671196_0001"</f>
        <v>PFES1162671196_0001</v>
      </c>
      <c r="L871" s="8">
        <v>2</v>
      </c>
      <c r="M871" s="8">
        <v>21</v>
      </c>
    </row>
    <row r="872" spans="1:13">
      <c r="A872" s="6">
        <v>43502</v>
      </c>
      <c r="B872" s="7">
        <v>0.45416666666666666</v>
      </c>
      <c r="C872" s="8" t="str">
        <f>"FES1162671196"</f>
        <v>FES1162671196</v>
      </c>
      <c r="D872" s="8" t="s">
        <v>18</v>
      </c>
      <c r="E872" s="8" t="s">
        <v>47</v>
      </c>
      <c r="F872" s="8" t="str">
        <f>"2170669400 "</f>
        <v xml:space="preserve">2170669400 </v>
      </c>
      <c r="G872" s="8" t="str">
        <f>"DBC"</f>
        <v>DBC</v>
      </c>
      <c r="H872" s="8" t="s">
        <v>20</v>
      </c>
      <c r="I872" s="8" t="s">
        <v>48</v>
      </c>
      <c r="J872" s="8"/>
      <c r="K872" s="8" t="str">
        <f>"PFES1162671196_0002"</f>
        <v>PFES1162671196_0002</v>
      </c>
      <c r="L872" s="8">
        <v>2</v>
      </c>
      <c r="M872" s="8">
        <v>21</v>
      </c>
    </row>
    <row r="873" spans="1:13">
      <c r="A873" s="6">
        <v>43502</v>
      </c>
      <c r="B873" s="7">
        <v>0.45347222222222222</v>
      </c>
      <c r="C873" s="8" t="str">
        <f>"FES1162671452"</f>
        <v>FES1162671452</v>
      </c>
      <c r="D873" s="8" t="s">
        <v>18</v>
      </c>
      <c r="E873" s="8" t="s">
        <v>185</v>
      </c>
      <c r="F873" s="8" t="str">
        <f>"2170672791 "</f>
        <v xml:space="preserve">2170672791 </v>
      </c>
      <c r="G873" s="8" t="str">
        <f>"ON1"</f>
        <v>ON1</v>
      </c>
      <c r="H873" s="8" t="s">
        <v>20</v>
      </c>
      <c r="I873" s="8" t="s">
        <v>93</v>
      </c>
      <c r="J873" s="8" t="str">
        <f>""</f>
        <v/>
      </c>
      <c r="K873" s="8" t="str">
        <f>"PFES1162671452_0001"</f>
        <v>PFES1162671452_0001</v>
      </c>
      <c r="L873" s="8">
        <v>1</v>
      </c>
      <c r="M873" s="8">
        <v>6</v>
      </c>
    </row>
    <row r="874" spans="1:13">
      <c r="A874" s="6">
        <v>43502</v>
      </c>
      <c r="B874" s="7">
        <v>0.45208333333333334</v>
      </c>
      <c r="C874" s="8" t="str">
        <f>"FES1162671408"</f>
        <v>FES1162671408</v>
      </c>
      <c r="D874" s="8" t="s">
        <v>18</v>
      </c>
      <c r="E874" s="8" t="s">
        <v>218</v>
      </c>
      <c r="F874" s="8" t="str">
        <f>"2170672767 "</f>
        <v xml:space="preserve">2170672767 </v>
      </c>
      <c r="G874" s="8" t="str">
        <f>"ON1"</f>
        <v>ON1</v>
      </c>
      <c r="H874" s="8" t="s">
        <v>20</v>
      </c>
      <c r="I874" s="8" t="s">
        <v>219</v>
      </c>
      <c r="J874" s="8" t="str">
        <f>""</f>
        <v/>
      </c>
      <c r="K874" s="8" t="str">
        <f>"PFES1162671408_0001"</f>
        <v>PFES1162671408_0001</v>
      </c>
      <c r="L874" s="8">
        <v>1</v>
      </c>
      <c r="M874" s="8">
        <v>2</v>
      </c>
    </row>
    <row r="875" spans="1:13">
      <c r="A875" s="6">
        <v>43502</v>
      </c>
      <c r="B875" s="7">
        <v>0.4513888888888889</v>
      </c>
      <c r="C875" s="8" t="str">
        <f>"FES1162671444"</f>
        <v>FES1162671444</v>
      </c>
      <c r="D875" s="8" t="s">
        <v>18</v>
      </c>
      <c r="E875" s="8" t="s">
        <v>58</v>
      </c>
      <c r="F875" s="8" t="str">
        <f>"2170672781 "</f>
        <v xml:space="preserve">2170672781 </v>
      </c>
      <c r="G875" s="8" t="str">
        <f>"ON1"</f>
        <v>ON1</v>
      </c>
      <c r="H875" s="8" t="s">
        <v>20</v>
      </c>
      <c r="I875" s="8" t="s">
        <v>59</v>
      </c>
      <c r="J875" s="8" t="str">
        <f>""</f>
        <v/>
      </c>
      <c r="K875" s="8" t="str">
        <f>"PFES1162671444_0001"</f>
        <v>PFES1162671444_0001</v>
      </c>
      <c r="L875" s="8">
        <v>1</v>
      </c>
      <c r="M875" s="8">
        <v>1</v>
      </c>
    </row>
    <row r="876" spans="1:13">
      <c r="A876" s="6">
        <v>43502</v>
      </c>
      <c r="B876" s="7">
        <v>0.4513888888888889</v>
      </c>
      <c r="C876" s="8" t="str">
        <f>"FES1162671432"</f>
        <v>FES1162671432</v>
      </c>
      <c r="D876" s="8" t="s">
        <v>18</v>
      </c>
      <c r="E876" s="8" t="s">
        <v>350</v>
      </c>
      <c r="F876" s="8" t="str">
        <f>"2170672279 "</f>
        <v xml:space="preserve">2170672279 </v>
      </c>
      <c r="G876" s="8" t="str">
        <f>"ON1"</f>
        <v>ON1</v>
      </c>
      <c r="H876" s="8" t="s">
        <v>20</v>
      </c>
      <c r="I876" s="8" t="s">
        <v>351</v>
      </c>
      <c r="J876" s="8" t="str">
        <f>""</f>
        <v/>
      </c>
      <c r="K876" s="8" t="str">
        <f>"PFES1162671432_0001"</f>
        <v>PFES1162671432_0001</v>
      </c>
      <c r="L876" s="8">
        <v>1</v>
      </c>
      <c r="M876" s="8">
        <v>1</v>
      </c>
    </row>
    <row r="877" spans="1:13">
      <c r="A877" s="6">
        <v>43502</v>
      </c>
      <c r="B877" s="7">
        <v>0.45069444444444445</v>
      </c>
      <c r="C877" s="8" t="str">
        <f>"FES1162671487"</f>
        <v>FES1162671487</v>
      </c>
      <c r="D877" s="8" t="s">
        <v>18</v>
      </c>
      <c r="E877" s="8" t="s">
        <v>80</v>
      </c>
      <c r="F877" s="8" t="str">
        <f>"2170670581 "</f>
        <v xml:space="preserve">2170670581 </v>
      </c>
      <c r="G877" s="8" t="str">
        <f>"ON1"</f>
        <v>ON1</v>
      </c>
      <c r="H877" s="8" t="s">
        <v>20</v>
      </c>
      <c r="I877" s="8" t="s">
        <v>81</v>
      </c>
      <c r="J877" s="8" t="str">
        <f>""</f>
        <v/>
      </c>
      <c r="K877" s="8" t="str">
        <f>"PFES1162671487_0001"</f>
        <v>PFES1162671487_0001</v>
      </c>
      <c r="L877" s="8">
        <v>1</v>
      </c>
      <c r="M877" s="8">
        <v>1</v>
      </c>
    </row>
    <row r="878" spans="1:13">
      <c r="A878" s="6">
        <v>43502</v>
      </c>
      <c r="B878" s="7">
        <v>0.45069444444444445</v>
      </c>
      <c r="C878" s="8" t="str">
        <f>"FES1162671436"</f>
        <v>FES1162671436</v>
      </c>
      <c r="D878" s="8" t="s">
        <v>18</v>
      </c>
      <c r="E878" s="8" t="s">
        <v>267</v>
      </c>
      <c r="F878" s="8" t="str">
        <f>"2170672544 "</f>
        <v xml:space="preserve">2170672544 </v>
      </c>
      <c r="G878" s="8" t="str">
        <f>"DBC"</f>
        <v>DBC</v>
      </c>
      <c r="H878" s="8" t="s">
        <v>20</v>
      </c>
      <c r="I878" s="8" t="s">
        <v>268</v>
      </c>
      <c r="J878" s="8" t="str">
        <f>"FRAGILE OIL"</f>
        <v>FRAGILE OIL</v>
      </c>
      <c r="K878" s="8" t="str">
        <f>"PFES1162671436_0001"</f>
        <v>PFES1162671436_0001</v>
      </c>
      <c r="L878" s="8">
        <v>1</v>
      </c>
      <c r="M878" s="8">
        <v>10</v>
      </c>
    </row>
    <row r="879" spans="1:13">
      <c r="A879" s="6">
        <v>43502</v>
      </c>
      <c r="B879" s="7">
        <v>0.45069444444444445</v>
      </c>
      <c r="C879" s="8" t="str">
        <f>"FES1162671344"</f>
        <v>FES1162671344</v>
      </c>
      <c r="D879" s="8" t="s">
        <v>18</v>
      </c>
      <c r="E879" s="8" t="s">
        <v>110</v>
      </c>
      <c r="F879" s="8" t="str">
        <f>"2170671142 "</f>
        <v xml:space="preserve">2170671142 </v>
      </c>
      <c r="G879" s="8" t="str">
        <f t="shared" ref="G879:G884" si="30">"ON1"</f>
        <v>ON1</v>
      </c>
      <c r="H879" s="8" t="s">
        <v>20</v>
      </c>
      <c r="I879" s="8" t="s">
        <v>111</v>
      </c>
      <c r="J879" s="8" t="str">
        <f>""</f>
        <v/>
      </c>
      <c r="K879" s="8" t="str">
        <f>"PFES1162671344_0001"</f>
        <v>PFES1162671344_0001</v>
      </c>
      <c r="L879" s="8">
        <v>1</v>
      </c>
      <c r="M879" s="8">
        <v>1</v>
      </c>
    </row>
    <row r="880" spans="1:13">
      <c r="A880" s="6">
        <v>43502</v>
      </c>
      <c r="B880" s="7">
        <v>0.45</v>
      </c>
      <c r="C880" s="8" t="str">
        <f>"FES1162671418"</f>
        <v>FES1162671418</v>
      </c>
      <c r="D880" s="8" t="s">
        <v>18</v>
      </c>
      <c r="E880" s="8" t="s">
        <v>427</v>
      </c>
      <c r="F880" s="8" t="str">
        <f>"2170670823 "</f>
        <v xml:space="preserve">2170670823 </v>
      </c>
      <c r="G880" s="8" t="str">
        <f t="shared" si="30"/>
        <v>ON1</v>
      </c>
      <c r="H880" s="8" t="s">
        <v>20</v>
      </c>
      <c r="I880" s="8" t="s">
        <v>226</v>
      </c>
      <c r="J880" s="8" t="str">
        <f>""</f>
        <v/>
      </c>
      <c r="K880" s="8" t="str">
        <f>"PFES1162671418_0001"</f>
        <v>PFES1162671418_0001</v>
      </c>
      <c r="L880" s="8">
        <v>1</v>
      </c>
      <c r="M880" s="8">
        <v>1</v>
      </c>
    </row>
    <row r="881" spans="1:13">
      <c r="A881" s="6">
        <v>43502</v>
      </c>
      <c r="B881" s="7">
        <v>0.45</v>
      </c>
      <c r="C881" s="8" t="str">
        <f>"FES1162671378"</f>
        <v>FES1162671378</v>
      </c>
      <c r="D881" s="8" t="s">
        <v>18</v>
      </c>
      <c r="E881" s="8" t="s">
        <v>232</v>
      </c>
      <c r="F881" s="8" t="str">
        <f>"2170672741 "</f>
        <v xml:space="preserve">2170672741 </v>
      </c>
      <c r="G881" s="8" t="str">
        <f t="shared" si="30"/>
        <v>ON1</v>
      </c>
      <c r="H881" s="8" t="s">
        <v>20</v>
      </c>
      <c r="I881" s="8" t="s">
        <v>233</v>
      </c>
      <c r="J881" s="8" t="str">
        <f>""</f>
        <v/>
      </c>
      <c r="K881" s="8" t="str">
        <f>"PFES1162671378_0001"</f>
        <v>PFES1162671378_0001</v>
      </c>
      <c r="L881" s="8">
        <v>1</v>
      </c>
      <c r="M881" s="8">
        <v>1</v>
      </c>
    </row>
    <row r="882" spans="1:13">
      <c r="A882" s="6">
        <v>43502</v>
      </c>
      <c r="B882" s="7">
        <v>0.45</v>
      </c>
      <c r="C882" s="8" t="str">
        <f>"FES1162671411"</f>
        <v>FES1162671411</v>
      </c>
      <c r="D882" s="8" t="s">
        <v>18</v>
      </c>
      <c r="E882" s="8" t="s">
        <v>34</v>
      </c>
      <c r="F882" s="8" t="str">
        <f>"2170672779 "</f>
        <v xml:space="preserve">2170672779 </v>
      </c>
      <c r="G882" s="8" t="str">
        <f t="shared" si="30"/>
        <v>ON1</v>
      </c>
      <c r="H882" s="8" t="s">
        <v>20</v>
      </c>
      <c r="I882" s="8" t="s">
        <v>35</v>
      </c>
      <c r="J882" s="8" t="str">
        <f>""</f>
        <v/>
      </c>
      <c r="K882" s="8" t="str">
        <f>"PFES1162671411_0001"</f>
        <v>PFES1162671411_0001</v>
      </c>
      <c r="L882" s="8">
        <v>1</v>
      </c>
      <c r="M882" s="8">
        <v>1</v>
      </c>
    </row>
    <row r="883" spans="1:13">
      <c r="A883" s="6">
        <v>43502</v>
      </c>
      <c r="B883" s="7">
        <v>0.44930555555555557</v>
      </c>
      <c r="C883" s="8" t="str">
        <f>"FES1162671417"</f>
        <v>FES1162671417</v>
      </c>
      <c r="D883" s="8" t="s">
        <v>18</v>
      </c>
      <c r="E883" s="8" t="s">
        <v>299</v>
      </c>
      <c r="F883" s="8" t="str">
        <f>"2170670111 "</f>
        <v xml:space="preserve">2170670111 </v>
      </c>
      <c r="G883" s="8" t="str">
        <f t="shared" si="30"/>
        <v>ON1</v>
      </c>
      <c r="H883" s="8" t="s">
        <v>20</v>
      </c>
      <c r="I883" s="8" t="s">
        <v>43</v>
      </c>
      <c r="J883" s="8" t="str">
        <f>""</f>
        <v/>
      </c>
      <c r="K883" s="8" t="str">
        <f>"PFES1162671417_0001"</f>
        <v>PFES1162671417_0001</v>
      </c>
      <c r="L883" s="8">
        <v>1</v>
      </c>
      <c r="M883" s="8">
        <v>1</v>
      </c>
    </row>
    <row r="884" spans="1:13">
      <c r="A884" s="6">
        <v>43502</v>
      </c>
      <c r="B884" s="7">
        <v>0.44930555555555557</v>
      </c>
      <c r="C884" s="8" t="str">
        <f>"FES1162671486"</f>
        <v>FES1162671486</v>
      </c>
      <c r="D884" s="8" t="s">
        <v>18</v>
      </c>
      <c r="E884" s="8" t="s">
        <v>299</v>
      </c>
      <c r="F884" s="8" t="str">
        <f>"2170670648 "</f>
        <v xml:space="preserve">2170670648 </v>
      </c>
      <c r="G884" s="8" t="str">
        <f t="shared" si="30"/>
        <v>ON1</v>
      </c>
      <c r="H884" s="8" t="s">
        <v>20</v>
      </c>
      <c r="I884" s="8" t="s">
        <v>43</v>
      </c>
      <c r="J884" s="8" t="str">
        <f>""</f>
        <v/>
      </c>
      <c r="K884" s="8" t="str">
        <f>"PFES1162671486_0001"</f>
        <v>PFES1162671486_0001</v>
      </c>
      <c r="L884" s="8">
        <v>1</v>
      </c>
      <c r="M884" s="8">
        <v>1</v>
      </c>
    </row>
    <row r="885" spans="1:13">
      <c r="A885" s="6">
        <v>43502</v>
      </c>
      <c r="B885" s="7">
        <v>0.41736111111111113</v>
      </c>
      <c r="C885" s="8" t="str">
        <f>"FES1162671427"</f>
        <v>FES1162671427</v>
      </c>
      <c r="D885" s="8" t="s">
        <v>18</v>
      </c>
      <c r="E885" s="8" t="s">
        <v>38</v>
      </c>
      <c r="F885" s="8" t="str">
        <f>"2170671494 "</f>
        <v xml:space="preserve">2170671494 </v>
      </c>
      <c r="G885" s="8" t="str">
        <f>"DBC"</f>
        <v>DBC</v>
      </c>
      <c r="H885" s="8" t="s">
        <v>20</v>
      </c>
      <c r="I885" s="8" t="s">
        <v>39</v>
      </c>
      <c r="J885" s="8" t="str">
        <f>""</f>
        <v/>
      </c>
      <c r="K885" s="8" t="str">
        <f>"PFES1162671427_0001"</f>
        <v>PFES1162671427_0001</v>
      </c>
      <c r="L885" s="8">
        <v>2</v>
      </c>
      <c r="M885" s="8">
        <v>35</v>
      </c>
    </row>
    <row r="886" spans="1:13">
      <c r="A886" s="6">
        <v>43502</v>
      </c>
      <c r="B886" s="7">
        <v>0.41736111111111113</v>
      </c>
      <c r="C886" s="8" t="str">
        <f>"FES1162671427"</f>
        <v>FES1162671427</v>
      </c>
      <c r="D886" s="8" t="s">
        <v>18</v>
      </c>
      <c r="E886" s="8" t="s">
        <v>38</v>
      </c>
      <c r="F886" s="8" t="str">
        <f>"2170671494 "</f>
        <v xml:space="preserve">2170671494 </v>
      </c>
      <c r="G886" s="8" t="str">
        <f>"DBC"</f>
        <v>DBC</v>
      </c>
      <c r="H886" s="8" t="s">
        <v>20</v>
      </c>
      <c r="I886" s="8" t="s">
        <v>39</v>
      </c>
      <c r="J886" s="8"/>
      <c r="K886" s="8" t="str">
        <f>"PFES1162671427_0002"</f>
        <v>PFES1162671427_0002</v>
      </c>
      <c r="L886" s="8">
        <v>2</v>
      </c>
      <c r="M886" s="8">
        <v>35</v>
      </c>
    </row>
    <row r="887" spans="1:13">
      <c r="A887" s="6">
        <v>43502</v>
      </c>
      <c r="B887" s="7">
        <v>0.4145833333333333</v>
      </c>
      <c r="C887" s="8" t="str">
        <f>"FES1162671194"</f>
        <v>FES1162671194</v>
      </c>
      <c r="D887" s="8" t="s">
        <v>18</v>
      </c>
      <c r="E887" s="8" t="s">
        <v>447</v>
      </c>
      <c r="F887" s="8" t="str">
        <f>"2170668187 "</f>
        <v xml:space="preserve">2170668187 </v>
      </c>
      <c r="G887" s="8" t="str">
        <f>"DBC"</f>
        <v>DBC</v>
      </c>
      <c r="H887" s="8" t="s">
        <v>20</v>
      </c>
      <c r="I887" s="8" t="s">
        <v>182</v>
      </c>
      <c r="J887" s="8" t="str">
        <f>""</f>
        <v/>
      </c>
      <c r="K887" s="8" t="str">
        <f>"PFES1162671194_0001"</f>
        <v>PFES1162671194_0001</v>
      </c>
      <c r="L887" s="8">
        <v>5</v>
      </c>
      <c r="M887" s="8">
        <v>92</v>
      </c>
    </row>
    <row r="888" spans="1:13">
      <c r="A888" s="6">
        <v>43502</v>
      </c>
      <c r="B888" s="7">
        <v>0.4145833333333333</v>
      </c>
      <c r="C888" s="8" t="str">
        <f>"FES1162671194"</f>
        <v>FES1162671194</v>
      </c>
      <c r="D888" s="8" t="s">
        <v>18</v>
      </c>
      <c r="E888" s="8" t="s">
        <v>447</v>
      </c>
      <c r="F888" s="8" t="str">
        <f>"2170668187 "</f>
        <v xml:space="preserve">2170668187 </v>
      </c>
      <c r="G888" s="8" t="str">
        <f>"DBC"</f>
        <v>DBC</v>
      </c>
      <c r="H888" s="8" t="s">
        <v>20</v>
      </c>
      <c r="I888" s="8" t="s">
        <v>182</v>
      </c>
      <c r="J888" s="8"/>
      <c r="K888" s="8" t="str">
        <f>"PFES1162671194_0002"</f>
        <v>PFES1162671194_0002</v>
      </c>
      <c r="L888" s="8">
        <v>5</v>
      </c>
      <c r="M888" s="8">
        <v>92</v>
      </c>
    </row>
    <row r="889" spans="1:13">
      <c r="A889" s="6">
        <v>43502</v>
      </c>
      <c r="B889" s="7">
        <v>0.4145833333333333</v>
      </c>
      <c r="C889" s="8" t="str">
        <f>"FES1162671194"</f>
        <v>FES1162671194</v>
      </c>
      <c r="D889" s="8" t="s">
        <v>18</v>
      </c>
      <c r="E889" s="8" t="s">
        <v>447</v>
      </c>
      <c r="F889" s="8" t="str">
        <f t="shared" ref="F889:F891" si="31">"2170668187 "</f>
        <v xml:space="preserve">2170668187 </v>
      </c>
      <c r="G889" s="8" t="str">
        <f t="shared" ref="G889:G891" si="32">"DBC"</f>
        <v>DBC</v>
      </c>
      <c r="H889" s="8" t="s">
        <v>20</v>
      </c>
      <c r="I889" s="8" t="s">
        <v>182</v>
      </c>
      <c r="J889" s="8"/>
      <c r="K889" s="8" t="str">
        <f>"PFES1162671194_0003"</f>
        <v>PFES1162671194_0003</v>
      </c>
      <c r="L889" s="8">
        <v>5</v>
      </c>
      <c r="M889" s="8">
        <v>92</v>
      </c>
    </row>
    <row r="890" spans="1:13">
      <c r="A890" s="6">
        <v>43502</v>
      </c>
      <c r="B890" s="7">
        <v>0.4145833333333333</v>
      </c>
      <c r="C890" s="8" t="str">
        <f>"FES1162671194"</f>
        <v>FES1162671194</v>
      </c>
      <c r="D890" s="8" t="s">
        <v>18</v>
      </c>
      <c r="E890" s="8" t="s">
        <v>447</v>
      </c>
      <c r="F890" s="8" t="str">
        <f t="shared" si="31"/>
        <v xml:space="preserve">2170668187 </v>
      </c>
      <c r="G890" s="8" t="str">
        <f t="shared" si="32"/>
        <v>DBC</v>
      </c>
      <c r="H890" s="8" t="s">
        <v>20</v>
      </c>
      <c r="I890" s="8" t="s">
        <v>182</v>
      </c>
      <c r="J890" s="8"/>
      <c r="K890" s="8" t="str">
        <f>"PFES1162671194_0004"</f>
        <v>PFES1162671194_0004</v>
      </c>
      <c r="L890" s="8">
        <v>5</v>
      </c>
      <c r="M890" s="8">
        <v>92</v>
      </c>
    </row>
    <row r="891" spans="1:13">
      <c r="A891" s="6">
        <v>43502</v>
      </c>
      <c r="B891" s="7">
        <v>0.4145833333333333</v>
      </c>
      <c r="C891" s="8" t="str">
        <f>"FES1162671194"</f>
        <v>FES1162671194</v>
      </c>
      <c r="D891" s="8" t="s">
        <v>18</v>
      </c>
      <c r="E891" s="8" t="s">
        <v>447</v>
      </c>
      <c r="F891" s="8" t="str">
        <f t="shared" si="31"/>
        <v xml:space="preserve">2170668187 </v>
      </c>
      <c r="G891" s="8" t="str">
        <f t="shared" si="32"/>
        <v>DBC</v>
      </c>
      <c r="H891" s="8" t="s">
        <v>20</v>
      </c>
      <c r="I891" s="8" t="s">
        <v>182</v>
      </c>
      <c r="J891" s="8"/>
      <c r="K891" s="8" t="str">
        <f>"PFES1162671194_0005"</f>
        <v>PFES1162671194_0005</v>
      </c>
      <c r="L891" s="8">
        <v>5</v>
      </c>
      <c r="M891" s="8">
        <v>92</v>
      </c>
    </row>
    <row r="892" spans="1:13">
      <c r="A892" s="6">
        <v>43502</v>
      </c>
      <c r="B892" s="7">
        <v>0.41388888888888892</v>
      </c>
      <c r="C892" s="8" t="str">
        <f>"FES1162671453"</f>
        <v>FES1162671453</v>
      </c>
      <c r="D892" s="8" t="s">
        <v>18</v>
      </c>
      <c r="E892" s="8" t="s">
        <v>28</v>
      </c>
      <c r="F892" s="8" t="str">
        <f>"2170672793 "</f>
        <v xml:space="preserve">2170672793 </v>
      </c>
      <c r="G892" s="8" t="str">
        <f t="shared" ref="G892:G916" si="33">"ON1"</f>
        <v>ON1</v>
      </c>
      <c r="H892" s="8" t="s">
        <v>20</v>
      </c>
      <c r="I892" s="8" t="s">
        <v>29</v>
      </c>
      <c r="J892" s="8" t="str">
        <f>""</f>
        <v/>
      </c>
      <c r="K892" s="8" t="str">
        <f>"PFES1162671453_0001"</f>
        <v>PFES1162671453_0001</v>
      </c>
      <c r="L892" s="8">
        <v>1</v>
      </c>
      <c r="M892" s="8">
        <v>2</v>
      </c>
    </row>
    <row r="893" spans="1:13">
      <c r="A893" s="6">
        <v>43502</v>
      </c>
      <c r="B893" s="7">
        <v>0.41319444444444442</v>
      </c>
      <c r="C893" s="8" t="str">
        <f>"FES1162671302"</f>
        <v>FES1162671302</v>
      </c>
      <c r="D893" s="8" t="s">
        <v>18</v>
      </c>
      <c r="E893" s="8" t="s">
        <v>611</v>
      </c>
      <c r="F893" s="8" t="str">
        <f>"2170671332 "</f>
        <v xml:space="preserve">2170671332 </v>
      </c>
      <c r="G893" s="8" t="str">
        <f t="shared" si="33"/>
        <v>ON1</v>
      </c>
      <c r="H893" s="8" t="s">
        <v>20</v>
      </c>
      <c r="I893" s="8" t="s">
        <v>539</v>
      </c>
      <c r="J893" s="8" t="str">
        <f>""</f>
        <v/>
      </c>
      <c r="K893" s="8" t="str">
        <f>"PFES1162671302_0001"</f>
        <v>PFES1162671302_0001</v>
      </c>
      <c r="L893" s="8">
        <v>1</v>
      </c>
      <c r="M893" s="8">
        <v>1</v>
      </c>
    </row>
    <row r="894" spans="1:13">
      <c r="A894" s="6">
        <v>43502</v>
      </c>
      <c r="B894" s="7">
        <v>0.41180555555555554</v>
      </c>
      <c r="C894" s="8" t="str">
        <f>"FES116271201"</f>
        <v>FES116271201</v>
      </c>
      <c r="D894" s="8" t="s">
        <v>18</v>
      </c>
      <c r="E894" s="8" t="s">
        <v>240</v>
      </c>
      <c r="F894" s="8" t="str">
        <f>"2170667155 "</f>
        <v xml:space="preserve">2170667155 </v>
      </c>
      <c r="G894" s="8" t="str">
        <f t="shared" si="33"/>
        <v>ON1</v>
      </c>
      <c r="H894" s="8" t="s">
        <v>20</v>
      </c>
      <c r="I894" s="8" t="s">
        <v>161</v>
      </c>
      <c r="J894" s="8" t="str">
        <f>""</f>
        <v/>
      </c>
      <c r="K894" s="8" t="str">
        <f>"PFES116271201_0001"</f>
        <v>PFES116271201_0001</v>
      </c>
      <c r="L894" s="8">
        <v>1</v>
      </c>
      <c r="M894" s="8">
        <v>1</v>
      </c>
    </row>
    <row r="895" spans="1:13">
      <c r="A895" s="6">
        <v>43502</v>
      </c>
      <c r="B895" s="7">
        <v>0.41041666666666665</v>
      </c>
      <c r="C895" s="8" t="str">
        <f>"FES1162671107"</f>
        <v>FES1162671107</v>
      </c>
      <c r="D895" s="8" t="s">
        <v>18</v>
      </c>
      <c r="E895" s="8" t="s">
        <v>380</v>
      </c>
      <c r="F895" s="8" t="str">
        <f>"2170672011 "</f>
        <v xml:space="preserve">2170672011 </v>
      </c>
      <c r="G895" s="8" t="str">
        <f t="shared" si="33"/>
        <v>ON1</v>
      </c>
      <c r="H895" s="8" t="s">
        <v>20</v>
      </c>
      <c r="I895" s="8" t="s">
        <v>213</v>
      </c>
      <c r="J895" s="8" t="str">
        <f>""</f>
        <v/>
      </c>
      <c r="K895" s="8" t="str">
        <f>"PFES1162671107_0001"</f>
        <v>PFES1162671107_0001</v>
      </c>
      <c r="L895" s="8">
        <v>1</v>
      </c>
      <c r="M895" s="8">
        <v>5</v>
      </c>
    </row>
    <row r="896" spans="1:13">
      <c r="A896" s="6">
        <v>43502</v>
      </c>
      <c r="B896" s="7">
        <v>0.40972222222222227</v>
      </c>
      <c r="C896" s="8" t="str">
        <f>"FES1162671288"</f>
        <v>FES1162671288</v>
      </c>
      <c r="D896" s="8" t="s">
        <v>18</v>
      </c>
      <c r="E896" s="8" t="s">
        <v>207</v>
      </c>
      <c r="F896" s="8" t="str">
        <f>"2170672459 "</f>
        <v xml:space="preserve">2170672459 </v>
      </c>
      <c r="G896" s="8" t="str">
        <f t="shared" si="33"/>
        <v>ON1</v>
      </c>
      <c r="H896" s="8" t="s">
        <v>20</v>
      </c>
      <c r="I896" s="8" t="s">
        <v>208</v>
      </c>
      <c r="J896" s="8" t="str">
        <f>""</f>
        <v/>
      </c>
      <c r="K896" s="8" t="str">
        <f>"PFES1162671288_0001"</f>
        <v>PFES1162671288_0001</v>
      </c>
      <c r="L896" s="8">
        <v>1</v>
      </c>
      <c r="M896" s="8">
        <v>2</v>
      </c>
    </row>
    <row r="897" spans="1:13">
      <c r="A897" s="6">
        <v>43502</v>
      </c>
      <c r="B897" s="7">
        <v>0.40833333333333338</v>
      </c>
      <c r="C897" s="8" t="str">
        <f>"FES1162671215"</f>
        <v>FES1162671215</v>
      </c>
      <c r="D897" s="8" t="s">
        <v>18</v>
      </c>
      <c r="E897" s="8" t="s">
        <v>181</v>
      </c>
      <c r="F897" s="8" t="str">
        <f>"2170670461 "</f>
        <v xml:space="preserve">2170670461 </v>
      </c>
      <c r="G897" s="8" t="str">
        <f t="shared" si="33"/>
        <v>ON1</v>
      </c>
      <c r="H897" s="8" t="s">
        <v>20</v>
      </c>
      <c r="I897" s="8" t="s">
        <v>182</v>
      </c>
      <c r="J897" s="8" t="str">
        <f>""</f>
        <v/>
      </c>
      <c r="K897" s="8" t="str">
        <f>"PFES1162671215_0001"</f>
        <v>PFES1162671215_0001</v>
      </c>
      <c r="L897" s="8">
        <v>1</v>
      </c>
      <c r="M897" s="8">
        <v>5</v>
      </c>
    </row>
    <row r="898" spans="1:13">
      <c r="A898" s="6">
        <v>43502</v>
      </c>
      <c r="B898" s="7">
        <v>0.4069444444444445</v>
      </c>
      <c r="C898" s="8" t="str">
        <f>"FES1162671195"</f>
        <v>FES1162671195</v>
      </c>
      <c r="D898" s="8" t="s">
        <v>18</v>
      </c>
      <c r="E898" s="8" t="s">
        <v>240</v>
      </c>
      <c r="F898" s="8" t="str">
        <f>"2170670155 "</f>
        <v xml:space="preserve">2170670155 </v>
      </c>
      <c r="G898" s="8" t="str">
        <f t="shared" si="33"/>
        <v>ON1</v>
      </c>
      <c r="H898" s="8" t="s">
        <v>20</v>
      </c>
      <c r="I898" s="8" t="s">
        <v>161</v>
      </c>
      <c r="J898" s="8" t="str">
        <f>""</f>
        <v/>
      </c>
      <c r="K898" s="8" t="str">
        <f>"PFES1162671195_0001"</f>
        <v>PFES1162671195_0001</v>
      </c>
      <c r="L898" s="8">
        <v>1</v>
      </c>
      <c r="M898" s="8">
        <v>11</v>
      </c>
    </row>
    <row r="899" spans="1:13">
      <c r="A899" s="6">
        <v>43503</v>
      </c>
      <c r="B899" s="7">
        <v>0.68680555555555556</v>
      </c>
      <c r="C899" s="9" t="str">
        <f>"FES1162671981"</f>
        <v>FES1162671981</v>
      </c>
      <c r="D899" s="9" t="s">
        <v>18</v>
      </c>
      <c r="E899" s="9" t="s">
        <v>612</v>
      </c>
      <c r="F899" s="9" t="str">
        <f>"2170673079 "</f>
        <v xml:space="preserve">2170673079 </v>
      </c>
      <c r="G899" s="9" t="str">
        <f t="shared" si="33"/>
        <v>ON1</v>
      </c>
      <c r="H899" s="9" t="s">
        <v>20</v>
      </c>
      <c r="I899" s="9" t="s">
        <v>137</v>
      </c>
      <c r="J899" s="9" t="str">
        <f>""</f>
        <v/>
      </c>
      <c r="K899" s="9" t="str">
        <f>"PFES1162671981_0001"</f>
        <v>PFES1162671981_0001</v>
      </c>
      <c r="L899" s="9">
        <v>1</v>
      </c>
      <c r="M899" s="9">
        <v>6</v>
      </c>
    </row>
    <row r="900" spans="1:13">
      <c r="A900" s="6">
        <v>43503</v>
      </c>
      <c r="B900" s="7">
        <v>0.68680555555555556</v>
      </c>
      <c r="C900" s="9" t="str">
        <f>"FES1162671971"</f>
        <v>FES1162671971</v>
      </c>
      <c r="D900" s="9" t="s">
        <v>18</v>
      </c>
      <c r="E900" s="9" t="s">
        <v>613</v>
      </c>
      <c r="F900" s="9" t="str">
        <f>"217073248 "</f>
        <v xml:space="preserve">217073248 </v>
      </c>
      <c r="G900" s="9" t="str">
        <f t="shared" si="33"/>
        <v>ON1</v>
      </c>
      <c r="H900" s="9" t="s">
        <v>20</v>
      </c>
      <c r="I900" s="9" t="s">
        <v>533</v>
      </c>
      <c r="J900" s="9" t="str">
        <f>""</f>
        <v/>
      </c>
      <c r="K900" s="9" t="str">
        <f>"PFES1162671971_0001"</f>
        <v>PFES1162671971_0001</v>
      </c>
      <c r="L900" s="9">
        <v>1</v>
      </c>
      <c r="M900" s="9">
        <v>2</v>
      </c>
    </row>
    <row r="901" spans="1:13">
      <c r="A901" s="6">
        <v>43503</v>
      </c>
      <c r="B901" s="7">
        <v>0.68611111111111101</v>
      </c>
      <c r="C901" s="9" t="str">
        <f>"FES1162671347"</f>
        <v>FES1162671347</v>
      </c>
      <c r="D901" s="9" t="s">
        <v>18</v>
      </c>
      <c r="E901" s="9" t="s">
        <v>160</v>
      </c>
      <c r="F901" s="9" t="str">
        <f>"2170672705 "</f>
        <v xml:space="preserve">2170672705 </v>
      </c>
      <c r="G901" s="9" t="str">
        <f t="shared" si="33"/>
        <v>ON1</v>
      </c>
      <c r="H901" s="9" t="s">
        <v>20</v>
      </c>
      <c r="I901" s="9" t="s">
        <v>161</v>
      </c>
      <c r="J901" s="9" t="str">
        <f>""</f>
        <v/>
      </c>
      <c r="K901" s="9" t="str">
        <f>"PFES1162671347_0001"</f>
        <v>PFES1162671347_0001</v>
      </c>
      <c r="L901" s="9">
        <v>1</v>
      </c>
      <c r="M901" s="9">
        <v>1</v>
      </c>
    </row>
    <row r="902" spans="1:13">
      <c r="A902" s="6">
        <v>43503</v>
      </c>
      <c r="B902" s="7">
        <v>0.68611111111111101</v>
      </c>
      <c r="C902" s="9" t="str">
        <f>"FES1162671657"</f>
        <v>FES1162671657</v>
      </c>
      <c r="D902" s="9" t="s">
        <v>18</v>
      </c>
      <c r="E902" s="9" t="s">
        <v>162</v>
      </c>
      <c r="F902" s="9" t="str">
        <f>"2170671168 "</f>
        <v xml:space="preserve">2170671168 </v>
      </c>
      <c r="G902" s="9" t="str">
        <f t="shared" si="33"/>
        <v>ON1</v>
      </c>
      <c r="H902" s="9" t="s">
        <v>20</v>
      </c>
      <c r="I902" s="9" t="s">
        <v>163</v>
      </c>
      <c r="J902" s="9" t="str">
        <f>""</f>
        <v/>
      </c>
      <c r="K902" s="9" t="str">
        <f>"PFES1162671657_0001"</f>
        <v>PFES1162671657_0001</v>
      </c>
      <c r="L902" s="9">
        <v>1</v>
      </c>
      <c r="M902" s="9">
        <v>1</v>
      </c>
    </row>
    <row r="903" spans="1:13">
      <c r="A903" s="6">
        <v>43503</v>
      </c>
      <c r="B903" s="7">
        <v>0.68541666666666667</v>
      </c>
      <c r="C903" s="9" t="str">
        <f>"FES1162671358"</f>
        <v>FES1162671358</v>
      </c>
      <c r="D903" s="9" t="s">
        <v>18</v>
      </c>
      <c r="E903" s="9" t="s">
        <v>212</v>
      </c>
      <c r="F903" s="9" t="str">
        <f>"2170672718 "</f>
        <v xml:space="preserve">2170672718 </v>
      </c>
      <c r="G903" s="9" t="str">
        <f t="shared" si="33"/>
        <v>ON1</v>
      </c>
      <c r="H903" s="9" t="s">
        <v>20</v>
      </c>
      <c r="I903" s="9" t="s">
        <v>213</v>
      </c>
      <c r="J903" s="9" t="str">
        <f>""</f>
        <v/>
      </c>
      <c r="K903" s="9" t="str">
        <f>"PFES1162671358_0001"</f>
        <v>PFES1162671358_0001</v>
      </c>
      <c r="L903" s="9">
        <v>1</v>
      </c>
      <c r="M903" s="9">
        <v>1</v>
      </c>
    </row>
    <row r="904" spans="1:13">
      <c r="A904" s="6">
        <v>43503</v>
      </c>
      <c r="B904" s="7">
        <v>0.68541666666666667</v>
      </c>
      <c r="C904" s="9" t="str">
        <f>"FES1162671918"</f>
        <v>FES1162671918</v>
      </c>
      <c r="D904" s="9" t="s">
        <v>18</v>
      </c>
      <c r="E904" s="9" t="s">
        <v>614</v>
      </c>
      <c r="F904" s="9" t="str">
        <f>"217037129 "</f>
        <v xml:space="preserve">217037129 </v>
      </c>
      <c r="G904" s="9" t="str">
        <f t="shared" si="33"/>
        <v>ON1</v>
      </c>
      <c r="H904" s="9" t="s">
        <v>20</v>
      </c>
      <c r="I904" s="9" t="s">
        <v>128</v>
      </c>
      <c r="J904" s="9" t="str">
        <f>""</f>
        <v/>
      </c>
      <c r="K904" s="9" t="str">
        <f>"PFES1162671918_0001"</f>
        <v>PFES1162671918_0001</v>
      </c>
      <c r="L904" s="9">
        <v>1</v>
      </c>
      <c r="M904" s="9">
        <v>1</v>
      </c>
    </row>
    <row r="905" spans="1:13">
      <c r="A905" s="6">
        <v>43503</v>
      </c>
      <c r="B905" s="7">
        <v>0.68541666666666667</v>
      </c>
      <c r="C905" s="9" t="str">
        <f>"FES1162671939"</f>
        <v>FES1162671939</v>
      </c>
      <c r="D905" s="9" t="s">
        <v>18</v>
      </c>
      <c r="E905" s="9" t="s">
        <v>615</v>
      </c>
      <c r="F905" s="9" t="str">
        <f>"2170673202 "</f>
        <v xml:space="preserve">2170673202 </v>
      </c>
      <c r="G905" s="9" t="str">
        <f t="shared" si="33"/>
        <v>ON1</v>
      </c>
      <c r="H905" s="9" t="s">
        <v>20</v>
      </c>
      <c r="I905" s="9" t="s">
        <v>616</v>
      </c>
      <c r="J905" s="9" t="str">
        <f>""</f>
        <v/>
      </c>
      <c r="K905" s="9" t="str">
        <f>"PFES1162671939_0001"</f>
        <v>PFES1162671939_0001</v>
      </c>
      <c r="L905" s="9">
        <v>1</v>
      </c>
      <c r="M905" s="9">
        <v>1</v>
      </c>
    </row>
    <row r="906" spans="1:13">
      <c r="A906" s="6">
        <v>43503</v>
      </c>
      <c r="B906" s="7">
        <v>0.68472222222222223</v>
      </c>
      <c r="C906" s="9" t="str">
        <f>"FES1162671983"</f>
        <v>FES1162671983</v>
      </c>
      <c r="D906" s="9" t="s">
        <v>18</v>
      </c>
      <c r="E906" s="9" t="s">
        <v>581</v>
      </c>
      <c r="F906" s="9" t="str">
        <f>"2170673274 "</f>
        <v xml:space="preserve">2170673274 </v>
      </c>
      <c r="G906" s="9" t="str">
        <f t="shared" si="33"/>
        <v>ON1</v>
      </c>
      <c r="H906" s="9" t="s">
        <v>20</v>
      </c>
      <c r="I906" s="9" t="s">
        <v>504</v>
      </c>
      <c r="J906" s="9" t="str">
        <f>""</f>
        <v/>
      </c>
      <c r="K906" s="9" t="str">
        <f>"PFES1162671983_0001"</f>
        <v>PFES1162671983_0001</v>
      </c>
      <c r="L906" s="9">
        <v>1</v>
      </c>
      <c r="M906" s="9">
        <v>1</v>
      </c>
    </row>
    <row r="907" spans="1:13">
      <c r="A907" s="6">
        <v>43503</v>
      </c>
      <c r="B907" s="7">
        <v>0.68472222222222223</v>
      </c>
      <c r="C907" s="9" t="str">
        <f>"FES1162671956"</f>
        <v>FES1162671956</v>
      </c>
      <c r="D907" s="9" t="s">
        <v>18</v>
      </c>
      <c r="E907" s="9" t="s">
        <v>617</v>
      </c>
      <c r="F907" s="9" t="str">
        <f>"217073226 "</f>
        <v xml:space="preserve">217073226 </v>
      </c>
      <c r="G907" s="9" t="str">
        <f t="shared" si="33"/>
        <v>ON1</v>
      </c>
      <c r="H907" s="9" t="s">
        <v>20</v>
      </c>
      <c r="I907" s="9" t="s">
        <v>226</v>
      </c>
      <c r="J907" s="9" t="str">
        <f>""</f>
        <v/>
      </c>
      <c r="K907" s="9" t="str">
        <f>"PFES1162671956_0001"</f>
        <v>PFES1162671956_0001</v>
      </c>
      <c r="L907" s="9">
        <v>1</v>
      </c>
      <c r="M907" s="9">
        <v>1</v>
      </c>
    </row>
    <row r="908" spans="1:13">
      <c r="A908" s="6">
        <v>43503</v>
      </c>
      <c r="B908" s="7">
        <v>0.68402777777777779</v>
      </c>
      <c r="C908" s="9" t="str">
        <f>"FES1162671973"</f>
        <v>FES1162671973</v>
      </c>
      <c r="D908" s="9" t="s">
        <v>18</v>
      </c>
      <c r="E908" s="9" t="s">
        <v>618</v>
      </c>
      <c r="F908" s="9" t="str">
        <f>"2170673262 "</f>
        <v xml:space="preserve">2170673262 </v>
      </c>
      <c r="G908" s="9" t="str">
        <f t="shared" si="33"/>
        <v>ON1</v>
      </c>
      <c r="H908" s="9" t="s">
        <v>20</v>
      </c>
      <c r="I908" s="9" t="s">
        <v>429</v>
      </c>
      <c r="J908" s="9" t="str">
        <f>""</f>
        <v/>
      </c>
      <c r="K908" s="9" t="str">
        <f>"PFES1162671973_0001"</f>
        <v>PFES1162671973_0001</v>
      </c>
      <c r="L908" s="9">
        <v>1</v>
      </c>
      <c r="M908" s="9">
        <v>1</v>
      </c>
    </row>
    <row r="909" spans="1:13">
      <c r="A909" s="6">
        <v>43503</v>
      </c>
      <c r="B909" s="7">
        <v>0.68333333333333324</v>
      </c>
      <c r="C909" s="9" t="str">
        <f>"009935723033"</f>
        <v>009935723033</v>
      </c>
      <c r="D909" s="9" t="s">
        <v>18</v>
      </c>
      <c r="E909" s="9" t="s">
        <v>45</v>
      </c>
      <c r="F909" s="9" t="str">
        <f>"1162670885 "</f>
        <v xml:space="preserve">1162670885 </v>
      </c>
      <c r="G909" s="9" t="str">
        <f t="shared" si="33"/>
        <v>ON1</v>
      </c>
      <c r="H909" s="9" t="s">
        <v>20</v>
      </c>
      <c r="I909" s="9" t="s">
        <v>46</v>
      </c>
      <c r="J909" s="9" t="str">
        <f>"RE SEND PARCEL"</f>
        <v>RE SEND PARCEL</v>
      </c>
      <c r="K909" s="9" t="str">
        <f>"P009935723033_0001"</f>
        <v>P009935723033_0001</v>
      </c>
      <c r="L909" s="9">
        <v>1</v>
      </c>
      <c r="M909" s="9">
        <v>2</v>
      </c>
    </row>
    <row r="910" spans="1:13">
      <c r="A910" s="6">
        <v>43503</v>
      </c>
      <c r="B910" s="7">
        <v>0.68263888888888891</v>
      </c>
      <c r="C910" s="9" t="str">
        <f>"FES1162671933"</f>
        <v>FES1162671933</v>
      </c>
      <c r="D910" s="9" t="s">
        <v>18</v>
      </c>
      <c r="E910" s="9" t="s">
        <v>19</v>
      </c>
      <c r="F910" s="9" t="str">
        <f>"2170673194 "</f>
        <v xml:space="preserve">2170673194 </v>
      </c>
      <c r="G910" s="9" t="str">
        <f t="shared" si="33"/>
        <v>ON1</v>
      </c>
      <c r="H910" s="9" t="s">
        <v>20</v>
      </c>
      <c r="I910" s="9" t="s">
        <v>21</v>
      </c>
      <c r="J910" s="9" t="str">
        <f>""</f>
        <v/>
      </c>
      <c r="K910" s="9" t="str">
        <f>"PFES1162671933_0001"</f>
        <v>PFES1162671933_0001</v>
      </c>
      <c r="L910" s="9">
        <v>1</v>
      </c>
      <c r="M910" s="9">
        <v>4</v>
      </c>
    </row>
    <row r="911" spans="1:13">
      <c r="A911" s="6">
        <v>43503</v>
      </c>
      <c r="B911" s="7">
        <v>0.68194444444444446</v>
      </c>
      <c r="C911" s="9" t="str">
        <f>"FES1162671959"</f>
        <v>FES1162671959</v>
      </c>
      <c r="D911" s="9" t="s">
        <v>18</v>
      </c>
      <c r="E911" s="9" t="s">
        <v>450</v>
      </c>
      <c r="F911" s="9" t="str">
        <f>"2170673231 "</f>
        <v xml:space="preserve">2170673231 </v>
      </c>
      <c r="G911" s="9" t="str">
        <f t="shared" si="33"/>
        <v>ON1</v>
      </c>
      <c r="H911" s="9" t="s">
        <v>20</v>
      </c>
      <c r="I911" s="9" t="s">
        <v>75</v>
      </c>
      <c r="J911" s="9" t="str">
        <f>""</f>
        <v/>
      </c>
      <c r="K911" s="9" t="str">
        <f>"PFES1162671959_0001"</f>
        <v>PFES1162671959_0001</v>
      </c>
      <c r="L911" s="9">
        <v>1</v>
      </c>
      <c r="M911" s="9">
        <v>3</v>
      </c>
    </row>
    <row r="912" spans="1:13">
      <c r="A912" s="6">
        <v>43503</v>
      </c>
      <c r="B912" s="7">
        <v>0.68125000000000002</v>
      </c>
      <c r="C912" s="9" t="str">
        <f>"FES1162671930"</f>
        <v>FES1162671930</v>
      </c>
      <c r="D912" s="9" t="s">
        <v>18</v>
      </c>
      <c r="E912" s="9" t="s">
        <v>601</v>
      </c>
      <c r="F912" s="9" t="str">
        <f>"2170673189 "</f>
        <v xml:space="preserve">2170673189 </v>
      </c>
      <c r="G912" s="9" t="str">
        <f t="shared" si="33"/>
        <v>ON1</v>
      </c>
      <c r="H912" s="9" t="s">
        <v>20</v>
      </c>
      <c r="I912" s="9" t="s">
        <v>602</v>
      </c>
      <c r="J912" s="9" t="str">
        <f>""</f>
        <v/>
      </c>
      <c r="K912" s="9" t="str">
        <f>"PFES1162671930_0001"</f>
        <v>PFES1162671930_0001</v>
      </c>
      <c r="L912" s="9">
        <v>1</v>
      </c>
      <c r="M912" s="9">
        <v>2</v>
      </c>
    </row>
    <row r="913" spans="1:13">
      <c r="A913" s="6">
        <v>43503</v>
      </c>
      <c r="B913" s="7">
        <v>0.68055555555555547</v>
      </c>
      <c r="C913" s="9" t="str">
        <f>"FES1162671921"</f>
        <v>FES1162671921</v>
      </c>
      <c r="D913" s="9" t="s">
        <v>18</v>
      </c>
      <c r="E913" s="9" t="s">
        <v>619</v>
      </c>
      <c r="F913" s="9" t="str">
        <f>"2170673174 "</f>
        <v xml:space="preserve">2170673174 </v>
      </c>
      <c r="G913" s="9" t="str">
        <f t="shared" si="33"/>
        <v>ON1</v>
      </c>
      <c r="H913" s="9" t="s">
        <v>20</v>
      </c>
      <c r="I913" s="9" t="s">
        <v>87</v>
      </c>
      <c r="J913" s="9" t="str">
        <f>""</f>
        <v/>
      </c>
      <c r="K913" s="9" t="str">
        <f>"PFES1162671921_0001"</f>
        <v>PFES1162671921_0001</v>
      </c>
      <c r="L913" s="9">
        <v>1</v>
      </c>
      <c r="M913" s="9">
        <v>6</v>
      </c>
    </row>
    <row r="914" spans="1:13">
      <c r="A914" s="6">
        <v>43503</v>
      </c>
      <c r="B914" s="7">
        <v>0.67986111111111114</v>
      </c>
      <c r="C914" s="9" t="str">
        <f>"FES1162671987"</f>
        <v>FES1162671987</v>
      </c>
      <c r="D914" s="9" t="s">
        <v>18</v>
      </c>
      <c r="E914" s="9" t="s">
        <v>136</v>
      </c>
      <c r="F914" s="9" t="str">
        <f>"2170673281 "</f>
        <v xml:space="preserve">2170673281 </v>
      </c>
      <c r="G914" s="9" t="str">
        <f t="shared" si="33"/>
        <v>ON1</v>
      </c>
      <c r="H914" s="9" t="s">
        <v>20</v>
      </c>
      <c r="I914" s="9" t="s">
        <v>137</v>
      </c>
      <c r="J914" s="9" t="str">
        <f>""</f>
        <v/>
      </c>
      <c r="K914" s="9" t="str">
        <f>"PFES1162671987_0001"</f>
        <v>PFES1162671987_0001</v>
      </c>
      <c r="L914" s="9">
        <v>1</v>
      </c>
      <c r="M914" s="9">
        <v>1</v>
      </c>
    </row>
    <row r="915" spans="1:13">
      <c r="A915" s="6">
        <v>43503</v>
      </c>
      <c r="B915" s="7">
        <v>0.67986111111111114</v>
      </c>
      <c r="C915" s="9" t="str">
        <f>"FES1162671325"</f>
        <v>FES1162671325</v>
      </c>
      <c r="D915" s="9" t="s">
        <v>18</v>
      </c>
      <c r="E915" s="9" t="s">
        <v>132</v>
      </c>
      <c r="F915" s="9" t="str">
        <f>"2170672680 "</f>
        <v xml:space="preserve">2170672680 </v>
      </c>
      <c r="G915" s="9" t="str">
        <f t="shared" si="33"/>
        <v>ON1</v>
      </c>
      <c r="H915" s="9" t="s">
        <v>20</v>
      </c>
      <c r="I915" s="9" t="s">
        <v>133</v>
      </c>
      <c r="J915" s="9" t="str">
        <f>""</f>
        <v/>
      </c>
      <c r="K915" s="9" t="str">
        <f>"PFES1162671325_0001"</f>
        <v>PFES1162671325_0001</v>
      </c>
      <c r="L915" s="9">
        <v>1</v>
      </c>
      <c r="M915" s="9">
        <v>1</v>
      </c>
    </row>
    <row r="916" spans="1:13">
      <c r="A916" s="6">
        <v>43503</v>
      </c>
      <c r="B916" s="7">
        <v>0.6791666666666667</v>
      </c>
      <c r="C916" s="9" t="str">
        <f>"FES1162671380"</f>
        <v>FES1162671380</v>
      </c>
      <c r="D916" s="9" t="s">
        <v>18</v>
      </c>
      <c r="E916" s="9" t="s">
        <v>30</v>
      </c>
      <c r="F916" s="9" t="str">
        <f>"2170672745 "</f>
        <v xml:space="preserve">2170672745 </v>
      </c>
      <c r="G916" s="9" t="str">
        <f t="shared" si="33"/>
        <v>ON1</v>
      </c>
      <c r="H916" s="9" t="s">
        <v>20</v>
      </c>
      <c r="I916" s="9" t="s">
        <v>31</v>
      </c>
      <c r="J916" s="9" t="str">
        <f>""</f>
        <v/>
      </c>
      <c r="K916" s="9" t="str">
        <f>"PFES1162671380_0001"</f>
        <v>PFES1162671380_0001</v>
      </c>
      <c r="L916" s="9">
        <v>1</v>
      </c>
      <c r="M916" s="9">
        <v>1</v>
      </c>
    </row>
    <row r="917" spans="1:13">
      <c r="A917" s="6">
        <v>43503</v>
      </c>
      <c r="B917" s="7">
        <v>0.6791666666666667</v>
      </c>
      <c r="C917" s="9" t="str">
        <f>"FES1162671938"</f>
        <v>FES1162671938</v>
      </c>
      <c r="D917" s="9" t="s">
        <v>18</v>
      </c>
      <c r="E917" s="9" t="s">
        <v>38</v>
      </c>
      <c r="F917" s="9" t="str">
        <f>"2170673200 "</f>
        <v xml:space="preserve">2170673200 </v>
      </c>
      <c r="G917" s="9" t="str">
        <f>"DBC"</f>
        <v>DBC</v>
      </c>
      <c r="H917" s="9" t="s">
        <v>20</v>
      </c>
      <c r="I917" s="9" t="s">
        <v>39</v>
      </c>
      <c r="J917" s="9" t="str">
        <f>"FRAGILE OIL"</f>
        <v>FRAGILE OIL</v>
      </c>
      <c r="K917" s="9" t="str">
        <f>"PFES1162671938_0001"</f>
        <v>PFES1162671938_0001</v>
      </c>
      <c r="L917" s="9">
        <v>1</v>
      </c>
      <c r="M917" s="9">
        <v>8</v>
      </c>
    </row>
    <row r="918" spans="1:13">
      <c r="A918" s="6">
        <v>43503</v>
      </c>
      <c r="B918" s="7">
        <v>0.67708333333333337</v>
      </c>
      <c r="C918" s="9" t="str">
        <f>"FES1162671942"</f>
        <v>FES1162671942</v>
      </c>
      <c r="D918" s="9" t="s">
        <v>18</v>
      </c>
      <c r="E918" s="9" t="s">
        <v>620</v>
      </c>
      <c r="F918" s="9" t="str">
        <f>"2170673209 "</f>
        <v xml:space="preserve">2170673209 </v>
      </c>
      <c r="G918" s="9" t="str">
        <f t="shared" ref="G918:G960" si="34">"ON1"</f>
        <v>ON1</v>
      </c>
      <c r="H918" s="9" t="s">
        <v>20</v>
      </c>
      <c r="I918" s="9" t="s">
        <v>573</v>
      </c>
      <c r="J918" s="9" t="str">
        <f>""</f>
        <v/>
      </c>
      <c r="K918" s="9" t="str">
        <f>"PFES1162671942_0001"</f>
        <v>PFES1162671942_0001</v>
      </c>
      <c r="L918" s="9">
        <v>1</v>
      </c>
      <c r="M918" s="9">
        <v>1</v>
      </c>
    </row>
    <row r="919" spans="1:13">
      <c r="A919" s="6">
        <v>43503</v>
      </c>
      <c r="B919" s="7">
        <v>0.67708333333333337</v>
      </c>
      <c r="C919" s="9" t="str">
        <f>"FES1162671952"</f>
        <v>FES1162671952</v>
      </c>
      <c r="D919" s="9" t="s">
        <v>18</v>
      </c>
      <c r="E919" s="9" t="s">
        <v>162</v>
      </c>
      <c r="F919" s="9" t="str">
        <f>"2170672775 "</f>
        <v xml:space="preserve">2170672775 </v>
      </c>
      <c r="G919" s="9" t="str">
        <f t="shared" si="34"/>
        <v>ON1</v>
      </c>
      <c r="H919" s="9" t="s">
        <v>20</v>
      </c>
      <c r="I919" s="9" t="s">
        <v>163</v>
      </c>
      <c r="J919" s="9" t="str">
        <f>""</f>
        <v/>
      </c>
      <c r="K919" s="9" t="str">
        <f>"PFES1162671952_0001"</f>
        <v>PFES1162671952_0001</v>
      </c>
      <c r="L919" s="9">
        <v>1</v>
      </c>
      <c r="M919" s="9">
        <v>5</v>
      </c>
    </row>
    <row r="920" spans="1:13">
      <c r="A920" s="6">
        <v>43503</v>
      </c>
      <c r="B920" s="7">
        <v>0.67638888888888893</v>
      </c>
      <c r="C920" s="9" t="str">
        <f>"FES1162671778"</f>
        <v>FES1162671778</v>
      </c>
      <c r="D920" s="9" t="s">
        <v>18</v>
      </c>
      <c r="E920" s="9" t="s">
        <v>621</v>
      </c>
      <c r="F920" s="9" t="str">
        <f>"2170670797 "</f>
        <v xml:space="preserve">2170670797 </v>
      </c>
      <c r="G920" s="9" t="str">
        <f t="shared" si="34"/>
        <v>ON1</v>
      </c>
      <c r="H920" s="9" t="s">
        <v>20</v>
      </c>
      <c r="I920" s="9" t="s">
        <v>622</v>
      </c>
      <c r="J920" s="9" t="str">
        <f>""</f>
        <v/>
      </c>
      <c r="K920" s="9" t="str">
        <f>"PFES1162671778_0001"</f>
        <v>PFES1162671778_0001</v>
      </c>
      <c r="L920" s="9">
        <v>1</v>
      </c>
      <c r="M920" s="9">
        <v>1</v>
      </c>
    </row>
    <row r="921" spans="1:13">
      <c r="A921" s="6">
        <v>43503</v>
      </c>
      <c r="B921" s="7">
        <v>0.67569444444444438</v>
      </c>
      <c r="C921" s="9" t="str">
        <f>"FES1162671951"</f>
        <v>FES1162671951</v>
      </c>
      <c r="D921" s="9" t="s">
        <v>18</v>
      </c>
      <c r="E921" s="9" t="s">
        <v>152</v>
      </c>
      <c r="F921" s="9" t="str">
        <f>"217067322 "</f>
        <v xml:space="preserve">217067322 </v>
      </c>
      <c r="G921" s="9" t="str">
        <f t="shared" si="34"/>
        <v>ON1</v>
      </c>
      <c r="H921" s="9" t="s">
        <v>20</v>
      </c>
      <c r="I921" s="9" t="s">
        <v>153</v>
      </c>
      <c r="J921" s="9" t="str">
        <f>""</f>
        <v/>
      </c>
      <c r="K921" s="9" t="str">
        <f>"PFES1162671951_0001"</f>
        <v>PFES1162671951_0001</v>
      </c>
      <c r="L921" s="9">
        <v>1</v>
      </c>
      <c r="M921" s="9">
        <v>1</v>
      </c>
    </row>
    <row r="922" spans="1:13">
      <c r="A922" s="6">
        <v>43503</v>
      </c>
      <c r="B922" s="7">
        <v>0.67569444444444438</v>
      </c>
      <c r="C922" s="9" t="str">
        <f>"FES1162671950"</f>
        <v>FES1162671950</v>
      </c>
      <c r="D922" s="9" t="s">
        <v>18</v>
      </c>
      <c r="E922" s="9" t="s">
        <v>289</v>
      </c>
      <c r="F922" s="9" t="str">
        <f>"2170673188 "</f>
        <v xml:space="preserve">2170673188 </v>
      </c>
      <c r="G922" s="9" t="str">
        <f t="shared" si="34"/>
        <v>ON1</v>
      </c>
      <c r="H922" s="9" t="s">
        <v>20</v>
      </c>
      <c r="I922" s="9" t="s">
        <v>290</v>
      </c>
      <c r="J922" s="9" t="str">
        <f>""</f>
        <v/>
      </c>
      <c r="K922" s="9" t="str">
        <f>"PFES1162671950_0001"</f>
        <v>PFES1162671950_0001</v>
      </c>
      <c r="L922" s="9">
        <v>1</v>
      </c>
      <c r="M922" s="9">
        <v>1</v>
      </c>
    </row>
    <row r="923" spans="1:13">
      <c r="A923" s="6">
        <v>43503</v>
      </c>
      <c r="B923" s="7">
        <v>0.67499999999999993</v>
      </c>
      <c r="C923" s="9" t="str">
        <f>"FES1162671960"</f>
        <v>FES1162671960</v>
      </c>
      <c r="D923" s="9" t="s">
        <v>18</v>
      </c>
      <c r="E923" s="9" t="s">
        <v>58</v>
      </c>
      <c r="F923" s="9" t="str">
        <f>"2170673233 "</f>
        <v xml:space="preserve">2170673233 </v>
      </c>
      <c r="G923" s="9" t="str">
        <f t="shared" si="34"/>
        <v>ON1</v>
      </c>
      <c r="H923" s="9" t="s">
        <v>20</v>
      </c>
      <c r="I923" s="9" t="s">
        <v>59</v>
      </c>
      <c r="J923" s="9" t="str">
        <f>""</f>
        <v/>
      </c>
      <c r="K923" s="9" t="str">
        <f>"PFES1162671960_0001"</f>
        <v>PFES1162671960_0001</v>
      </c>
      <c r="L923" s="9">
        <v>1</v>
      </c>
      <c r="M923" s="9">
        <v>1</v>
      </c>
    </row>
    <row r="924" spans="1:13">
      <c r="A924" s="6">
        <v>43503</v>
      </c>
      <c r="B924" s="7">
        <v>0.67499999999999993</v>
      </c>
      <c r="C924" s="9" t="str">
        <f>"FES1162671682"</f>
        <v>FES1162671682</v>
      </c>
      <c r="D924" s="9" t="s">
        <v>18</v>
      </c>
      <c r="E924" s="9" t="s">
        <v>623</v>
      </c>
      <c r="F924" s="9" t="str">
        <f>"2170669616 "</f>
        <v xml:space="preserve">2170669616 </v>
      </c>
      <c r="G924" s="9" t="str">
        <f t="shared" si="34"/>
        <v>ON1</v>
      </c>
      <c r="H924" s="9" t="s">
        <v>20</v>
      </c>
      <c r="I924" s="9" t="s">
        <v>429</v>
      </c>
      <c r="J924" s="9" t="str">
        <f>""</f>
        <v/>
      </c>
      <c r="K924" s="9" t="str">
        <f>"PFES1162671682_0001"</f>
        <v>PFES1162671682_0001</v>
      </c>
      <c r="L924" s="9">
        <v>1</v>
      </c>
      <c r="M924" s="9">
        <v>1</v>
      </c>
    </row>
    <row r="925" spans="1:13">
      <c r="A925" s="6">
        <v>43503</v>
      </c>
      <c r="B925" s="7">
        <v>0.67499999999999993</v>
      </c>
      <c r="C925" s="9" t="str">
        <f>"FES1162671913"</f>
        <v>FES1162671913</v>
      </c>
      <c r="D925" s="9" t="s">
        <v>18</v>
      </c>
      <c r="E925" s="9" t="s">
        <v>354</v>
      </c>
      <c r="F925" s="9" t="str">
        <f>"2170673163 "</f>
        <v xml:space="preserve">2170673163 </v>
      </c>
      <c r="G925" s="9" t="str">
        <f t="shared" si="34"/>
        <v>ON1</v>
      </c>
      <c r="H925" s="9" t="s">
        <v>20</v>
      </c>
      <c r="I925" s="9" t="s">
        <v>63</v>
      </c>
      <c r="J925" s="9" t="str">
        <f>""</f>
        <v/>
      </c>
      <c r="K925" s="9" t="str">
        <f>"PFES1162671913_0001"</f>
        <v>PFES1162671913_0001</v>
      </c>
      <c r="L925" s="9">
        <v>1</v>
      </c>
      <c r="M925" s="9">
        <v>1</v>
      </c>
    </row>
    <row r="926" spans="1:13">
      <c r="A926" s="6">
        <v>43503</v>
      </c>
      <c r="B926" s="7">
        <v>0.6743055555555556</v>
      </c>
      <c r="C926" s="9" t="str">
        <f>"FES1162671975"</f>
        <v>FES1162671975</v>
      </c>
      <c r="D926" s="9" t="s">
        <v>18</v>
      </c>
      <c r="E926" s="9" t="s">
        <v>26</v>
      </c>
      <c r="F926" s="9" t="str">
        <f>"2170673267 "</f>
        <v xml:space="preserve">2170673267 </v>
      </c>
      <c r="G926" s="9" t="str">
        <f t="shared" si="34"/>
        <v>ON1</v>
      </c>
      <c r="H926" s="9" t="s">
        <v>20</v>
      </c>
      <c r="I926" s="9" t="s">
        <v>27</v>
      </c>
      <c r="J926" s="9" t="str">
        <f>""</f>
        <v/>
      </c>
      <c r="K926" s="9" t="str">
        <f>"PFES1162671975_0001"</f>
        <v>PFES1162671975_0001</v>
      </c>
      <c r="L926" s="9">
        <v>1</v>
      </c>
      <c r="M926" s="9">
        <v>1</v>
      </c>
    </row>
    <row r="927" spans="1:13">
      <c r="A927" s="6">
        <v>43503</v>
      </c>
      <c r="B927" s="7">
        <v>0.6743055555555556</v>
      </c>
      <c r="C927" s="9" t="str">
        <f>"FES1162671774"</f>
        <v>FES1162671774</v>
      </c>
      <c r="D927" s="9" t="s">
        <v>18</v>
      </c>
      <c r="E927" s="9" t="s">
        <v>623</v>
      </c>
      <c r="F927" s="9" t="str">
        <f>"2170670226 "</f>
        <v xml:space="preserve">2170670226 </v>
      </c>
      <c r="G927" s="9" t="str">
        <f t="shared" si="34"/>
        <v>ON1</v>
      </c>
      <c r="H927" s="9" t="s">
        <v>20</v>
      </c>
      <c r="I927" s="9" t="s">
        <v>429</v>
      </c>
      <c r="J927" s="9" t="str">
        <f>""</f>
        <v/>
      </c>
      <c r="K927" s="9" t="str">
        <f>"PFES1162671774_0001"</f>
        <v>PFES1162671774_0001</v>
      </c>
      <c r="L927" s="9">
        <v>1</v>
      </c>
      <c r="M927" s="9">
        <v>3</v>
      </c>
    </row>
    <row r="928" spans="1:13">
      <c r="A928" s="6">
        <v>43503</v>
      </c>
      <c r="B928" s="7">
        <v>0.67222222222222217</v>
      </c>
      <c r="C928" s="9" t="str">
        <f>"FES1162671832"</f>
        <v>FES1162671832</v>
      </c>
      <c r="D928" s="9" t="s">
        <v>18</v>
      </c>
      <c r="E928" s="9" t="s">
        <v>624</v>
      </c>
      <c r="F928" s="9" t="str">
        <f>"2170671487 "</f>
        <v xml:space="preserve">2170671487 </v>
      </c>
      <c r="G928" s="9" t="str">
        <f t="shared" si="34"/>
        <v>ON1</v>
      </c>
      <c r="H928" s="9" t="s">
        <v>20</v>
      </c>
      <c r="I928" s="9" t="s">
        <v>29</v>
      </c>
      <c r="J928" s="9" t="str">
        <f>""</f>
        <v/>
      </c>
      <c r="K928" s="9" t="str">
        <f>"PFES1162671832_0001"</f>
        <v>PFES1162671832_0001</v>
      </c>
      <c r="L928" s="9">
        <v>1</v>
      </c>
      <c r="M928" s="9">
        <v>4</v>
      </c>
    </row>
    <row r="929" spans="1:13">
      <c r="A929" s="6">
        <v>43503</v>
      </c>
      <c r="B929" s="7">
        <v>0.67083333333333339</v>
      </c>
      <c r="C929" s="9" t="str">
        <f>"FES1162671954"</f>
        <v>FES1162671954</v>
      </c>
      <c r="D929" s="9" t="s">
        <v>18</v>
      </c>
      <c r="E929" s="9" t="s">
        <v>52</v>
      </c>
      <c r="F929" s="9" t="str">
        <f>"2170673065 "</f>
        <v xml:space="preserve">2170673065 </v>
      </c>
      <c r="G929" s="9" t="str">
        <f t="shared" si="34"/>
        <v>ON1</v>
      </c>
      <c r="H929" s="9" t="s">
        <v>20</v>
      </c>
      <c r="I929" s="9" t="s">
        <v>53</v>
      </c>
      <c r="J929" s="9" t="str">
        <f>""</f>
        <v/>
      </c>
      <c r="K929" s="9" t="str">
        <f>"PFES1162671954_0001"</f>
        <v>PFES1162671954_0001</v>
      </c>
      <c r="L929" s="9">
        <v>1</v>
      </c>
      <c r="M929" s="9">
        <v>5</v>
      </c>
    </row>
    <row r="930" spans="1:13">
      <c r="A930" s="6">
        <v>43503</v>
      </c>
      <c r="B930" s="7">
        <v>0.6694444444444444</v>
      </c>
      <c r="C930" s="9" t="str">
        <f>"FES1162671836"</f>
        <v>FES1162671836</v>
      </c>
      <c r="D930" s="9" t="s">
        <v>18</v>
      </c>
      <c r="E930" s="9" t="s">
        <v>500</v>
      </c>
      <c r="F930" s="9" t="str">
        <f>"2170671512 "</f>
        <v xml:space="preserve">2170671512 </v>
      </c>
      <c r="G930" s="9" t="str">
        <f t="shared" si="34"/>
        <v>ON1</v>
      </c>
      <c r="H930" s="9" t="s">
        <v>20</v>
      </c>
      <c r="I930" s="9" t="s">
        <v>228</v>
      </c>
      <c r="J930" s="9" t="str">
        <f>""</f>
        <v/>
      </c>
      <c r="K930" s="9" t="str">
        <f>"PFES1162671836_0001"</f>
        <v>PFES1162671836_0001</v>
      </c>
      <c r="L930" s="9">
        <v>1</v>
      </c>
      <c r="M930" s="9">
        <v>2</v>
      </c>
    </row>
    <row r="931" spans="1:13">
      <c r="A931" s="6">
        <v>43503</v>
      </c>
      <c r="B931" s="7">
        <v>0.66805555555555562</v>
      </c>
      <c r="C931" s="9" t="str">
        <f>"FES1162671947"</f>
        <v>FES1162671947</v>
      </c>
      <c r="D931" s="9" t="s">
        <v>18</v>
      </c>
      <c r="E931" s="9" t="s">
        <v>493</v>
      </c>
      <c r="F931" s="9" t="str">
        <f>"2170673216 "</f>
        <v xml:space="preserve">2170673216 </v>
      </c>
      <c r="G931" s="9" t="str">
        <f t="shared" si="34"/>
        <v>ON1</v>
      </c>
      <c r="H931" s="9" t="s">
        <v>20</v>
      </c>
      <c r="I931" s="9" t="s">
        <v>111</v>
      </c>
      <c r="J931" s="9" t="str">
        <f>""</f>
        <v/>
      </c>
      <c r="K931" s="9" t="str">
        <f>"PFES1162671947_0001"</f>
        <v>PFES1162671947_0001</v>
      </c>
      <c r="L931" s="9">
        <v>1</v>
      </c>
      <c r="M931" s="9">
        <v>1</v>
      </c>
    </row>
    <row r="932" spans="1:13">
      <c r="A932" s="6">
        <v>43503</v>
      </c>
      <c r="B932" s="7">
        <v>0.66736111111111107</v>
      </c>
      <c r="C932" s="9" t="str">
        <f>"FES1162671976"</f>
        <v>FES1162671976</v>
      </c>
      <c r="D932" s="9" t="s">
        <v>18</v>
      </c>
      <c r="E932" s="9" t="s">
        <v>234</v>
      </c>
      <c r="F932" s="9" t="str">
        <f>"217067268 "</f>
        <v xml:space="preserve">217067268 </v>
      </c>
      <c r="G932" s="9" t="str">
        <f t="shared" si="34"/>
        <v>ON1</v>
      </c>
      <c r="H932" s="9" t="s">
        <v>20</v>
      </c>
      <c r="I932" s="9" t="s">
        <v>233</v>
      </c>
      <c r="J932" s="9" t="str">
        <f>""</f>
        <v/>
      </c>
      <c r="K932" s="9" t="str">
        <f>"PFES1162671976_0001"</f>
        <v>PFES1162671976_0001</v>
      </c>
      <c r="L932" s="9">
        <v>1</v>
      </c>
      <c r="M932" s="9">
        <v>1</v>
      </c>
    </row>
    <row r="933" spans="1:13">
      <c r="A933" s="6">
        <v>43503</v>
      </c>
      <c r="B933" s="7">
        <v>0.66736111111111107</v>
      </c>
      <c r="C933" s="9" t="str">
        <f>"FES1162671943"</f>
        <v>FES1162671943</v>
      </c>
      <c r="D933" s="9" t="s">
        <v>18</v>
      </c>
      <c r="E933" s="9" t="s">
        <v>185</v>
      </c>
      <c r="F933" s="9" t="str">
        <f>"2170673211 "</f>
        <v xml:space="preserve">2170673211 </v>
      </c>
      <c r="G933" s="9" t="str">
        <f t="shared" si="34"/>
        <v>ON1</v>
      </c>
      <c r="H933" s="9" t="s">
        <v>20</v>
      </c>
      <c r="I933" s="9" t="s">
        <v>93</v>
      </c>
      <c r="J933" s="9" t="str">
        <f>""</f>
        <v/>
      </c>
      <c r="K933" s="9" t="str">
        <f>"PFES1162671943_0001"</f>
        <v>PFES1162671943_0001</v>
      </c>
      <c r="L933" s="9">
        <v>1</v>
      </c>
      <c r="M933" s="9">
        <v>1</v>
      </c>
    </row>
    <row r="934" spans="1:13">
      <c r="A934" s="6">
        <v>43503</v>
      </c>
      <c r="B934" s="7">
        <v>0.66736111111111107</v>
      </c>
      <c r="C934" s="9" t="str">
        <f>"FES1162671795"</f>
        <v>FES1162671795</v>
      </c>
      <c r="D934" s="9" t="s">
        <v>18</v>
      </c>
      <c r="E934" s="9" t="s">
        <v>73</v>
      </c>
      <c r="F934" s="9" t="str">
        <f>"2170671107 "</f>
        <v xml:space="preserve">2170671107 </v>
      </c>
      <c r="G934" s="9" t="str">
        <f t="shared" si="34"/>
        <v>ON1</v>
      </c>
      <c r="H934" s="9" t="s">
        <v>20</v>
      </c>
      <c r="I934" s="9" t="s">
        <v>61</v>
      </c>
      <c r="J934" s="9" t="str">
        <f>""</f>
        <v/>
      </c>
      <c r="K934" s="9" t="str">
        <f>"PFES1162671795_0001"</f>
        <v>PFES1162671795_0001</v>
      </c>
      <c r="L934" s="9">
        <v>1</v>
      </c>
      <c r="M934" s="9">
        <v>3</v>
      </c>
    </row>
    <row r="935" spans="1:13">
      <c r="A935" s="6">
        <v>43503</v>
      </c>
      <c r="B935" s="7">
        <v>0.66597222222222219</v>
      </c>
      <c r="C935" s="9" t="str">
        <f>"FES1162671689"</f>
        <v>FES1162671689</v>
      </c>
      <c r="D935" s="9" t="s">
        <v>18</v>
      </c>
      <c r="E935" s="9" t="s">
        <v>178</v>
      </c>
      <c r="F935" s="9" t="str">
        <f>"2170671605 "</f>
        <v xml:space="preserve">2170671605 </v>
      </c>
      <c r="G935" s="9" t="str">
        <f t="shared" si="34"/>
        <v>ON1</v>
      </c>
      <c r="H935" s="9" t="s">
        <v>20</v>
      </c>
      <c r="I935" s="9" t="s">
        <v>29</v>
      </c>
      <c r="J935" s="9" t="str">
        <f>""</f>
        <v/>
      </c>
      <c r="K935" s="9" t="str">
        <f>"PFES1162671689_0001"</f>
        <v>PFES1162671689_0001</v>
      </c>
      <c r="L935" s="9">
        <v>1</v>
      </c>
      <c r="M935" s="9">
        <v>1</v>
      </c>
    </row>
    <row r="936" spans="1:13">
      <c r="A936" s="6">
        <v>43503</v>
      </c>
      <c r="B936" s="7">
        <v>0.66388888888888886</v>
      </c>
      <c r="C936" s="9" t="str">
        <f>"FES1162671789"</f>
        <v>FES1162671789</v>
      </c>
      <c r="D936" s="9" t="s">
        <v>18</v>
      </c>
      <c r="E936" s="9" t="s">
        <v>625</v>
      </c>
      <c r="F936" s="9" t="str">
        <f>"2170671040 "</f>
        <v xml:space="preserve">2170671040 </v>
      </c>
      <c r="G936" s="9" t="str">
        <f t="shared" si="34"/>
        <v>ON1</v>
      </c>
      <c r="H936" s="9" t="s">
        <v>20</v>
      </c>
      <c r="I936" s="9" t="s">
        <v>29</v>
      </c>
      <c r="J936" s="9" t="str">
        <f>""</f>
        <v/>
      </c>
      <c r="K936" s="9" t="str">
        <f>"PFES1162671789_0001"</f>
        <v>PFES1162671789_0001</v>
      </c>
      <c r="L936" s="9">
        <v>1</v>
      </c>
      <c r="M936" s="9">
        <v>1</v>
      </c>
    </row>
    <row r="937" spans="1:13">
      <c r="A937" s="6">
        <v>43503</v>
      </c>
      <c r="B937" s="7">
        <v>0.66319444444444442</v>
      </c>
      <c r="C937" s="9" t="str">
        <f>"FES1162671895"</f>
        <v>FES1162671895</v>
      </c>
      <c r="D937" s="9" t="s">
        <v>18</v>
      </c>
      <c r="E937" s="9" t="s">
        <v>626</v>
      </c>
      <c r="F937" s="9" t="str">
        <f>"2170673127 "</f>
        <v xml:space="preserve">2170673127 </v>
      </c>
      <c r="G937" s="9" t="str">
        <f t="shared" si="34"/>
        <v>ON1</v>
      </c>
      <c r="H937" s="9" t="s">
        <v>20</v>
      </c>
      <c r="I937" s="9" t="s">
        <v>141</v>
      </c>
      <c r="J937" s="9" t="str">
        <f>""</f>
        <v/>
      </c>
      <c r="K937" s="9" t="str">
        <f>"PFES1162671895_0001"</f>
        <v>PFES1162671895_0001</v>
      </c>
      <c r="L937" s="9">
        <v>1</v>
      </c>
      <c r="M937" s="9">
        <v>2</v>
      </c>
    </row>
    <row r="938" spans="1:13">
      <c r="A938" s="6">
        <v>43503</v>
      </c>
      <c r="B938" s="7">
        <v>0.66180555555555554</v>
      </c>
      <c r="C938" s="9" t="str">
        <f>"FES1162671919"</f>
        <v>FES1162671919</v>
      </c>
      <c r="D938" s="9" t="s">
        <v>18</v>
      </c>
      <c r="E938" s="9" t="s">
        <v>312</v>
      </c>
      <c r="F938" s="9" t="str">
        <f>"2170673168 "</f>
        <v xml:space="preserve">2170673168 </v>
      </c>
      <c r="G938" s="9" t="str">
        <f t="shared" si="34"/>
        <v>ON1</v>
      </c>
      <c r="H938" s="9" t="s">
        <v>20</v>
      </c>
      <c r="I938" s="9" t="s">
        <v>70</v>
      </c>
      <c r="J938" s="9" t="str">
        <f>""</f>
        <v/>
      </c>
      <c r="K938" s="9" t="str">
        <f>"PFES1162671919_0001"</f>
        <v>PFES1162671919_0001</v>
      </c>
      <c r="L938" s="9">
        <v>1</v>
      </c>
      <c r="M938" s="9">
        <v>2</v>
      </c>
    </row>
    <row r="939" spans="1:13">
      <c r="A939" s="6">
        <v>43503</v>
      </c>
      <c r="B939" s="7">
        <v>0.66180555555555554</v>
      </c>
      <c r="C939" s="9" t="str">
        <f>"FES1162671941"</f>
        <v>FES1162671941</v>
      </c>
      <c r="D939" s="9" t="s">
        <v>18</v>
      </c>
      <c r="E939" s="9" t="s">
        <v>44</v>
      </c>
      <c r="F939" s="9" t="str">
        <f>"2170673208 "</f>
        <v xml:space="preserve">2170673208 </v>
      </c>
      <c r="G939" s="9" t="str">
        <f t="shared" si="34"/>
        <v>ON1</v>
      </c>
      <c r="H939" s="9" t="s">
        <v>20</v>
      </c>
      <c r="I939" s="9" t="s">
        <v>39</v>
      </c>
      <c r="J939" s="9" t="str">
        <f>""</f>
        <v/>
      </c>
      <c r="K939" s="9" t="str">
        <f>"PFES1162671941_0001"</f>
        <v>PFES1162671941_0001</v>
      </c>
      <c r="L939" s="9">
        <v>1</v>
      </c>
      <c r="M939" s="9">
        <v>1</v>
      </c>
    </row>
    <row r="940" spans="1:13">
      <c r="A940" s="6">
        <v>43503</v>
      </c>
      <c r="B940" s="7">
        <v>0.66111111111111109</v>
      </c>
      <c r="C940" s="9" t="str">
        <f>"FES1162671958"</f>
        <v>FES1162671958</v>
      </c>
      <c r="D940" s="9" t="s">
        <v>18</v>
      </c>
      <c r="E940" s="9" t="s">
        <v>150</v>
      </c>
      <c r="F940" s="9" t="str">
        <f>"2170673230 "</f>
        <v xml:space="preserve">2170673230 </v>
      </c>
      <c r="G940" s="9" t="str">
        <f t="shared" si="34"/>
        <v>ON1</v>
      </c>
      <c r="H940" s="9" t="s">
        <v>20</v>
      </c>
      <c r="I940" s="9" t="s">
        <v>137</v>
      </c>
      <c r="J940" s="9" t="str">
        <f>""</f>
        <v/>
      </c>
      <c r="K940" s="9" t="str">
        <f>"PFES1162671958_0001"</f>
        <v>PFES1162671958_0001</v>
      </c>
      <c r="L940" s="9">
        <v>1</v>
      </c>
      <c r="M940" s="9">
        <v>1</v>
      </c>
    </row>
    <row r="941" spans="1:13">
      <c r="A941" s="6">
        <v>43503</v>
      </c>
      <c r="B941" s="7">
        <v>0.66111111111111109</v>
      </c>
      <c r="C941" s="9" t="str">
        <f>"FES1162671964"</f>
        <v>FES1162671964</v>
      </c>
      <c r="D941" s="9" t="s">
        <v>18</v>
      </c>
      <c r="E941" s="9" t="s">
        <v>627</v>
      </c>
      <c r="F941" s="9" t="str">
        <f>"2170673245 "</f>
        <v xml:space="preserve">2170673245 </v>
      </c>
      <c r="G941" s="9" t="str">
        <f t="shared" si="34"/>
        <v>ON1</v>
      </c>
      <c r="H941" s="9" t="s">
        <v>20</v>
      </c>
      <c r="I941" s="9" t="s">
        <v>39</v>
      </c>
      <c r="J941" s="9" t="str">
        <f>""</f>
        <v/>
      </c>
      <c r="K941" s="9" t="str">
        <f>"PFES1162671964_0001"</f>
        <v>PFES1162671964_0001</v>
      </c>
      <c r="L941" s="9">
        <v>1</v>
      </c>
      <c r="M941" s="9">
        <v>1</v>
      </c>
    </row>
    <row r="942" spans="1:13">
      <c r="A942" s="6">
        <v>43503</v>
      </c>
      <c r="B942" s="7">
        <v>0.66111111111111109</v>
      </c>
      <c r="C942" s="9" t="str">
        <f>"FES1162671898"</f>
        <v>FES1162671898</v>
      </c>
      <c r="D942" s="9" t="s">
        <v>18</v>
      </c>
      <c r="E942" s="9" t="s">
        <v>485</v>
      </c>
      <c r="F942" s="9" t="str">
        <f>"2170673133 "</f>
        <v xml:space="preserve">2170673133 </v>
      </c>
      <c r="G942" s="9" t="str">
        <f t="shared" si="34"/>
        <v>ON1</v>
      </c>
      <c r="H942" s="9" t="s">
        <v>20</v>
      </c>
      <c r="I942" s="9" t="s">
        <v>282</v>
      </c>
      <c r="J942" s="9" t="str">
        <f>""</f>
        <v/>
      </c>
      <c r="K942" s="9" t="str">
        <f>"PFES1162671898_0001"</f>
        <v>PFES1162671898_0001</v>
      </c>
      <c r="L942" s="9">
        <v>1</v>
      </c>
      <c r="M942" s="9">
        <v>1</v>
      </c>
    </row>
    <row r="943" spans="1:13">
      <c r="A943" s="6">
        <v>43503</v>
      </c>
      <c r="B943" s="7">
        <v>0.65972222222222221</v>
      </c>
      <c r="C943" s="9" t="str">
        <f>"FES1162671926"</f>
        <v>FES1162671926</v>
      </c>
      <c r="D943" s="9" t="s">
        <v>18</v>
      </c>
      <c r="E943" s="9" t="s">
        <v>214</v>
      </c>
      <c r="F943" s="9" t="str">
        <f>"2170673179 "</f>
        <v xml:space="preserve">2170673179 </v>
      </c>
      <c r="G943" s="9" t="str">
        <f t="shared" si="34"/>
        <v>ON1</v>
      </c>
      <c r="H943" s="9" t="s">
        <v>20</v>
      </c>
      <c r="I943" s="9" t="s">
        <v>215</v>
      </c>
      <c r="J943" s="9" t="str">
        <f>""</f>
        <v/>
      </c>
      <c r="K943" s="9" t="str">
        <f>"PFES1162671926_0001"</f>
        <v>PFES1162671926_0001</v>
      </c>
      <c r="L943" s="9">
        <v>2</v>
      </c>
      <c r="M943" s="9">
        <v>5</v>
      </c>
    </row>
    <row r="944" spans="1:13">
      <c r="A944" s="6">
        <v>43496</v>
      </c>
      <c r="B944" s="7">
        <v>0.62847222222222221</v>
      </c>
      <c r="C944" s="9" t="str">
        <f>"FES1162671926"</f>
        <v>FES1162671926</v>
      </c>
      <c r="D944" s="9" t="s">
        <v>18</v>
      </c>
      <c r="E944" s="9" t="s">
        <v>225</v>
      </c>
      <c r="F944" s="9" t="str">
        <f>"2170670373 "</f>
        <v xml:space="preserve">2170670373 </v>
      </c>
      <c r="G944" s="9" t="str">
        <f t="shared" si="34"/>
        <v>ON1</v>
      </c>
      <c r="H944" s="9" t="s">
        <v>20</v>
      </c>
      <c r="I944" s="9" t="s">
        <v>226</v>
      </c>
      <c r="J944" s="9" t="str">
        <f>""</f>
        <v/>
      </c>
      <c r="K944" s="9" t="str">
        <f>"PFES1162671926_0002"</f>
        <v>PFES1162671926_0002</v>
      </c>
      <c r="L944" s="9">
        <v>1</v>
      </c>
      <c r="M944" s="9">
        <v>5</v>
      </c>
    </row>
    <row r="945" spans="1:13">
      <c r="A945" s="6">
        <v>43503</v>
      </c>
      <c r="B945" s="7">
        <v>0.65763888888888888</v>
      </c>
      <c r="C945" s="9" t="str">
        <f>"FES1162671853"</f>
        <v>FES1162671853</v>
      </c>
      <c r="D945" s="9" t="s">
        <v>18</v>
      </c>
      <c r="E945" s="9" t="s">
        <v>628</v>
      </c>
      <c r="F945" s="9" t="str">
        <f>"2170673076 "</f>
        <v xml:space="preserve">2170673076 </v>
      </c>
      <c r="G945" s="9" t="str">
        <f t="shared" si="34"/>
        <v>ON1</v>
      </c>
      <c r="H945" s="9" t="s">
        <v>20</v>
      </c>
      <c r="I945" s="9" t="s">
        <v>141</v>
      </c>
      <c r="J945" s="9" t="str">
        <f>""</f>
        <v/>
      </c>
      <c r="K945" s="9" t="str">
        <f>"PFES1162671853_0001"</f>
        <v>PFES1162671853_0001</v>
      </c>
      <c r="L945" s="9">
        <v>1</v>
      </c>
      <c r="M945" s="9">
        <v>3</v>
      </c>
    </row>
    <row r="946" spans="1:13">
      <c r="A946" s="6">
        <v>43503</v>
      </c>
      <c r="B946" s="7">
        <v>0.65694444444444444</v>
      </c>
      <c r="C946" s="9" t="str">
        <f>"FES1162671759"</f>
        <v>FES1162671759</v>
      </c>
      <c r="D946" s="9" t="s">
        <v>18</v>
      </c>
      <c r="E946" s="9" t="s">
        <v>405</v>
      </c>
      <c r="F946" s="9" t="str">
        <f>"2170671351 "</f>
        <v xml:space="preserve">2170671351 </v>
      </c>
      <c r="G946" s="9" t="str">
        <f t="shared" si="34"/>
        <v>ON1</v>
      </c>
      <c r="H946" s="9" t="s">
        <v>20</v>
      </c>
      <c r="I946" s="9" t="s">
        <v>239</v>
      </c>
      <c r="J946" s="9" t="str">
        <f>""</f>
        <v/>
      </c>
      <c r="K946" s="9" t="str">
        <f>"PFES1162671759_0001"</f>
        <v>PFES1162671759_0001</v>
      </c>
      <c r="L946" s="9">
        <v>1</v>
      </c>
      <c r="M946" s="9">
        <v>2</v>
      </c>
    </row>
    <row r="947" spans="1:13">
      <c r="A947" s="6">
        <v>43503</v>
      </c>
      <c r="B947" s="7">
        <v>0.65625</v>
      </c>
      <c r="C947" s="9" t="str">
        <f>"FES1162671750"</f>
        <v>FES1162671750</v>
      </c>
      <c r="D947" s="9" t="s">
        <v>18</v>
      </c>
      <c r="E947" s="9" t="s">
        <v>152</v>
      </c>
      <c r="F947" s="9" t="str">
        <f>"2170669912 "</f>
        <v xml:space="preserve">2170669912 </v>
      </c>
      <c r="G947" s="9" t="str">
        <f t="shared" si="34"/>
        <v>ON1</v>
      </c>
      <c r="H947" s="9" t="s">
        <v>20</v>
      </c>
      <c r="I947" s="9" t="s">
        <v>153</v>
      </c>
      <c r="J947" s="9" t="str">
        <f>""</f>
        <v/>
      </c>
      <c r="K947" s="9" t="str">
        <f>"PFES1162671750_0001"</f>
        <v>PFES1162671750_0001</v>
      </c>
      <c r="L947" s="9">
        <v>1</v>
      </c>
      <c r="M947" s="9">
        <v>1</v>
      </c>
    </row>
    <row r="948" spans="1:13">
      <c r="A948" s="6">
        <v>43503</v>
      </c>
      <c r="B948" s="7">
        <v>0.65555555555555556</v>
      </c>
      <c r="C948" s="9" t="str">
        <f>"FES1162671940"</f>
        <v>FES1162671940</v>
      </c>
      <c r="D948" s="9" t="s">
        <v>18</v>
      </c>
      <c r="E948" s="9" t="s">
        <v>521</v>
      </c>
      <c r="F948" s="9" t="str">
        <f>"2170673204 "</f>
        <v xml:space="preserve">2170673204 </v>
      </c>
      <c r="G948" s="9" t="str">
        <f t="shared" si="34"/>
        <v>ON1</v>
      </c>
      <c r="H948" s="9" t="s">
        <v>20</v>
      </c>
      <c r="I948" s="9" t="s">
        <v>445</v>
      </c>
      <c r="J948" s="9" t="str">
        <f>""</f>
        <v/>
      </c>
      <c r="K948" s="9" t="str">
        <f>"PFES1162671940_0001"</f>
        <v>PFES1162671940_0001</v>
      </c>
      <c r="L948" s="9">
        <v>1</v>
      </c>
      <c r="M948" s="9">
        <v>1</v>
      </c>
    </row>
    <row r="949" spans="1:13">
      <c r="A949" s="6">
        <v>43503</v>
      </c>
      <c r="B949" s="7">
        <v>0.65555555555555556</v>
      </c>
      <c r="C949" s="9" t="str">
        <f>"FES1162671969"</f>
        <v>FES1162671969</v>
      </c>
      <c r="D949" s="9" t="s">
        <v>18</v>
      </c>
      <c r="E949" s="9" t="s">
        <v>47</v>
      </c>
      <c r="F949" s="9" t="str">
        <f>"2170673253 "</f>
        <v xml:space="preserve">2170673253 </v>
      </c>
      <c r="G949" s="9" t="str">
        <f t="shared" si="34"/>
        <v>ON1</v>
      </c>
      <c r="H949" s="9" t="s">
        <v>20</v>
      </c>
      <c r="I949" s="9" t="s">
        <v>48</v>
      </c>
      <c r="J949" s="9" t="str">
        <f>""</f>
        <v/>
      </c>
      <c r="K949" s="9" t="str">
        <f>"PFES1162671969_0001"</f>
        <v>PFES1162671969_0001</v>
      </c>
      <c r="L949" s="9">
        <v>1</v>
      </c>
      <c r="M949" s="9">
        <v>1</v>
      </c>
    </row>
    <row r="950" spans="1:13">
      <c r="A950" s="6">
        <v>43503</v>
      </c>
      <c r="B950" s="7">
        <v>0.65486111111111112</v>
      </c>
      <c r="C950" s="9" t="str">
        <f>"FES1162671932"</f>
        <v>FES1162671932</v>
      </c>
      <c r="D950" s="9" t="s">
        <v>18</v>
      </c>
      <c r="E950" s="9" t="s">
        <v>334</v>
      </c>
      <c r="F950" s="9" t="str">
        <f>"2170673178 "</f>
        <v xml:space="preserve">2170673178 </v>
      </c>
      <c r="G950" s="9" t="str">
        <f t="shared" si="34"/>
        <v>ON1</v>
      </c>
      <c r="H950" s="9" t="s">
        <v>20</v>
      </c>
      <c r="I950" s="9" t="s">
        <v>242</v>
      </c>
      <c r="J950" s="9" t="str">
        <f>""</f>
        <v/>
      </c>
      <c r="K950" s="9" t="str">
        <f>"PFES1162671932_0001"</f>
        <v>PFES1162671932_0001</v>
      </c>
      <c r="L950" s="9">
        <v>1</v>
      </c>
      <c r="M950" s="9">
        <v>1</v>
      </c>
    </row>
    <row r="951" spans="1:13">
      <c r="A951" s="6">
        <v>43503</v>
      </c>
      <c r="B951" s="7">
        <v>0.65486111111111112</v>
      </c>
      <c r="C951" s="9" t="str">
        <f>"FES1162671931"</f>
        <v>FES1162671931</v>
      </c>
      <c r="D951" s="9" t="s">
        <v>18</v>
      </c>
      <c r="E951" s="9" t="s">
        <v>334</v>
      </c>
      <c r="F951" s="9" t="str">
        <f>"2170672721 "</f>
        <v xml:space="preserve">2170672721 </v>
      </c>
      <c r="G951" s="9" t="str">
        <f t="shared" si="34"/>
        <v>ON1</v>
      </c>
      <c r="H951" s="9" t="s">
        <v>20</v>
      </c>
      <c r="I951" s="9" t="s">
        <v>242</v>
      </c>
      <c r="J951" s="9" t="str">
        <f>""</f>
        <v/>
      </c>
      <c r="K951" s="9" t="str">
        <f>"PFES1162671931_0001"</f>
        <v>PFES1162671931_0001</v>
      </c>
      <c r="L951" s="9">
        <v>1</v>
      </c>
      <c r="M951" s="9">
        <v>1</v>
      </c>
    </row>
    <row r="952" spans="1:13">
      <c r="A952" s="6">
        <v>43503</v>
      </c>
      <c r="B952" s="7">
        <v>0.65486111111111112</v>
      </c>
      <c r="C952" s="9" t="str">
        <f>"FES1162671704"</f>
        <v>FES1162671704</v>
      </c>
      <c r="D952" s="9" t="s">
        <v>18</v>
      </c>
      <c r="E952" s="9" t="s">
        <v>629</v>
      </c>
      <c r="F952" s="9" t="str">
        <f>"2170673028 "</f>
        <v xml:space="preserve">2170673028 </v>
      </c>
      <c r="G952" s="9" t="str">
        <f t="shared" si="34"/>
        <v>ON1</v>
      </c>
      <c r="H952" s="9" t="s">
        <v>20</v>
      </c>
      <c r="I952" s="9" t="s">
        <v>420</v>
      </c>
      <c r="J952" s="9" t="str">
        <f>""</f>
        <v/>
      </c>
      <c r="K952" s="9" t="str">
        <f>"PFES1162671704_0001"</f>
        <v>PFES1162671704_0001</v>
      </c>
      <c r="L952" s="9">
        <v>1</v>
      </c>
      <c r="M952" s="9">
        <v>1</v>
      </c>
    </row>
    <row r="953" spans="1:13">
      <c r="A953" s="6">
        <v>43503</v>
      </c>
      <c r="B953" s="7">
        <v>0.65416666666666667</v>
      </c>
      <c r="C953" s="9" t="str">
        <f>"FES1162671768"</f>
        <v>FES1162671768</v>
      </c>
      <c r="D953" s="9" t="s">
        <v>18</v>
      </c>
      <c r="E953" s="9" t="s">
        <v>328</v>
      </c>
      <c r="F953" s="9" t="str">
        <f>"2170668639 "</f>
        <v xml:space="preserve">2170668639 </v>
      </c>
      <c r="G953" s="9" t="str">
        <f t="shared" si="34"/>
        <v>ON1</v>
      </c>
      <c r="H953" s="9" t="s">
        <v>20</v>
      </c>
      <c r="I953" s="9" t="s">
        <v>29</v>
      </c>
      <c r="J953" s="9" t="str">
        <f>""</f>
        <v/>
      </c>
      <c r="K953" s="9" t="str">
        <f>"PFES1162671768_0001"</f>
        <v>PFES1162671768_0001</v>
      </c>
      <c r="L953" s="9">
        <v>1</v>
      </c>
      <c r="M953" s="9">
        <v>1</v>
      </c>
    </row>
    <row r="954" spans="1:13">
      <c r="A954" s="6">
        <v>43503</v>
      </c>
      <c r="B954" s="7">
        <v>0.65416666666666667</v>
      </c>
      <c r="C954" s="9" t="str">
        <f>"FES1162671928"</f>
        <v>FES1162671928</v>
      </c>
      <c r="D954" s="9" t="s">
        <v>18</v>
      </c>
      <c r="E954" s="9" t="s">
        <v>372</v>
      </c>
      <c r="F954" s="9" t="str">
        <f>"2170673182 "</f>
        <v xml:space="preserve">2170673182 </v>
      </c>
      <c r="G954" s="9" t="str">
        <f t="shared" si="34"/>
        <v>ON1</v>
      </c>
      <c r="H954" s="9" t="s">
        <v>20</v>
      </c>
      <c r="I954" s="9" t="s">
        <v>143</v>
      </c>
      <c r="J954" s="9" t="str">
        <f>""</f>
        <v/>
      </c>
      <c r="K954" s="9" t="str">
        <f>"PFES1162671928_0001"</f>
        <v>PFES1162671928_0001</v>
      </c>
      <c r="L954" s="9">
        <v>1</v>
      </c>
      <c r="M954" s="9">
        <v>2</v>
      </c>
    </row>
    <row r="955" spans="1:13">
      <c r="A955" s="6">
        <v>43503</v>
      </c>
      <c r="B955" s="7">
        <v>0.65416666666666667</v>
      </c>
      <c r="C955" s="9" t="str">
        <f>"FES1162671948"</f>
        <v>FES1162671948</v>
      </c>
      <c r="D955" s="9" t="s">
        <v>18</v>
      </c>
      <c r="E955" s="9" t="s">
        <v>601</v>
      </c>
      <c r="F955" s="9" t="str">
        <f>"2170673225 "</f>
        <v xml:space="preserve">2170673225 </v>
      </c>
      <c r="G955" s="9" t="str">
        <f t="shared" si="34"/>
        <v>ON1</v>
      </c>
      <c r="H955" s="9" t="s">
        <v>20</v>
      </c>
      <c r="I955" s="9" t="s">
        <v>602</v>
      </c>
      <c r="J955" s="9" t="str">
        <f>""</f>
        <v/>
      </c>
      <c r="K955" s="9" t="str">
        <f>"PFES1162671948_0001"</f>
        <v>PFES1162671948_0001</v>
      </c>
      <c r="L955" s="9">
        <v>1</v>
      </c>
      <c r="M955" s="9">
        <v>1</v>
      </c>
    </row>
    <row r="956" spans="1:13">
      <c r="A956" s="6">
        <v>43503</v>
      </c>
      <c r="B956" s="7">
        <v>0.65347222222222223</v>
      </c>
      <c r="C956" s="9" t="str">
        <f>"FES1162671749"</f>
        <v>FES1162671749</v>
      </c>
      <c r="D956" s="9" t="s">
        <v>18</v>
      </c>
      <c r="E956" s="9" t="s">
        <v>306</v>
      </c>
      <c r="F956" s="9" t="str">
        <f>"2170669848 "</f>
        <v xml:space="preserve">2170669848 </v>
      </c>
      <c r="G956" s="9" t="str">
        <f t="shared" si="34"/>
        <v>ON1</v>
      </c>
      <c r="H956" s="9" t="s">
        <v>20</v>
      </c>
      <c r="I956" s="9" t="s">
        <v>228</v>
      </c>
      <c r="J956" s="9" t="str">
        <f>""</f>
        <v/>
      </c>
      <c r="K956" s="9" t="str">
        <f>"PFES1162671749_0001"</f>
        <v>PFES1162671749_0001</v>
      </c>
      <c r="L956" s="9">
        <v>1</v>
      </c>
      <c r="M956" s="9">
        <v>1</v>
      </c>
    </row>
    <row r="957" spans="1:13">
      <c r="A957" s="6">
        <v>43503</v>
      </c>
      <c r="B957" s="7">
        <v>0.65347222222222223</v>
      </c>
      <c r="C957" s="9" t="str">
        <f>"FES1162671884"</f>
        <v>FES1162671884</v>
      </c>
      <c r="D957" s="9" t="s">
        <v>18</v>
      </c>
      <c r="E957" s="9" t="s">
        <v>223</v>
      </c>
      <c r="F957" s="9" t="str">
        <f>"2170673114 "</f>
        <v xml:space="preserve">2170673114 </v>
      </c>
      <c r="G957" s="9" t="str">
        <f t="shared" si="34"/>
        <v>ON1</v>
      </c>
      <c r="H957" s="9" t="s">
        <v>20</v>
      </c>
      <c r="I957" s="9" t="s">
        <v>81</v>
      </c>
      <c r="J957" s="9" t="str">
        <f>""</f>
        <v/>
      </c>
      <c r="K957" s="9" t="str">
        <f>"PFES1162671884_0001"</f>
        <v>PFES1162671884_0001</v>
      </c>
      <c r="L957" s="9">
        <v>1</v>
      </c>
      <c r="M957" s="9">
        <v>4</v>
      </c>
    </row>
    <row r="958" spans="1:13">
      <c r="A958" s="6">
        <v>43503</v>
      </c>
      <c r="B958" s="7">
        <v>0.65347222222222223</v>
      </c>
      <c r="C958" s="9" t="str">
        <f>"FES1162671840"</f>
        <v>FES1162671840</v>
      </c>
      <c r="D958" s="9" t="s">
        <v>18</v>
      </c>
      <c r="E958" s="9" t="s">
        <v>227</v>
      </c>
      <c r="F958" s="9" t="str">
        <f>"2170671523 "</f>
        <v xml:space="preserve">2170671523 </v>
      </c>
      <c r="G958" s="9" t="str">
        <f t="shared" si="34"/>
        <v>ON1</v>
      </c>
      <c r="H958" s="9" t="s">
        <v>20</v>
      </c>
      <c r="I958" s="9" t="s">
        <v>228</v>
      </c>
      <c r="J958" s="9" t="str">
        <f>""</f>
        <v/>
      </c>
      <c r="K958" s="9" t="str">
        <f>"PFES1162671840_0001"</f>
        <v>PFES1162671840_0001</v>
      </c>
      <c r="L958" s="9">
        <v>1</v>
      </c>
      <c r="M958" s="9">
        <v>1</v>
      </c>
    </row>
    <row r="959" spans="1:13">
      <c r="A959" s="6">
        <v>43503</v>
      </c>
      <c r="B959" s="7">
        <v>0.65277777777777779</v>
      </c>
      <c r="C959" s="9" t="str">
        <f>"FES1162671955"</f>
        <v>FES1162671955</v>
      </c>
      <c r="D959" s="9" t="s">
        <v>18</v>
      </c>
      <c r="E959" s="9" t="s">
        <v>451</v>
      </c>
      <c r="F959" s="9" t="str">
        <f>"2170673224 "</f>
        <v xml:space="preserve">2170673224 </v>
      </c>
      <c r="G959" s="9" t="str">
        <f t="shared" si="34"/>
        <v>ON1</v>
      </c>
      <c r="H959" s="9" t="s">
        <v>20</v>
      </c>
      <c r="I959" s="9" t="s">
        <v>149</v>
      </c>
      <c r="J959" s="9" t="str">
        <f>""</f>
        <v/>
      </c>
      <c r="K959" s="9" t="str">
        <f>"PFES1162671955_0001"</f>
        <v>PFES1162671955_0001</v>
      </c>
      <c r="L959" s="9">
        <v>1</v>
      </c>
      <c r="M959" s="9">
        <v>1</v>
      </c>
    </row>
    <row r="960" spans="1:13">
      <c r="A960" s="6">
        <v>43503</v>
      </c>
      <c r="B960" s="7">
        <v>0.65277777777777779</v>
      </c>
      <c r="C960" s="9" t="str">
        <f>"FES1162671963"</f>
        <v>FES1162671963</v>
      </c>
      <c r="D960" s="9" t="s">
        <v>18</v>
      </c>
      <c r="E960" s="9" t="s">
        <v>630</v>
      </c>
      <c r="F960" s="9" t="str">
        <f>"2170673241 "</f>
        <v xml:space="preserve">2170673241 </v>
      </c>
      <c r="G960" s="9" t="str">
        <f t="shared" si="34"/>
        <v>ON1</v>
      </c>
      <c r="H960" s="9" t="s">
        <v>20</v>
      </c>
      <c r="I960" s="9" t="s">
        <v>141</v>
      </c>
      <c r="J960" s="9" t="str">
        <f>""</f>
        <v/>
      </c>
      <c r="K960" s="9" t="str">
        <f>"PFES1162671963_0001"</f>
        <v>PFES1162671963_0001</v>
      </c>
      <c r="L960" s="9">
        <v>1</v>
      </c>
      <c r="M960" s="9">
        <v>1</v>
      </c>
    </row>
    <row r="961" spans="1:13">
      <c r="A961" s="6">
        <v>43503</v>
      </c>
      <c r="B961" s="7">
        <v>0.65138888888888891</v>
      </c>
      <c r="C961" s="9" t="str">
        <f>"FES1162671807"</f>
        <v>FES1162671807</v>
      </c>
      <c r="D961" s="9" t="s">
        <v>18</v>
      </c>
      <c r="E961" s="9" t="s">
        <v>631</v>
      </c>
      <c r="F961" s="9" t="str">
        <f>"2170671240 "</f>
        <v xml:space="preserve">2170671240 </v>
      </c>
      <c r="G961" s="9" t="str">
        <f>"DBC"</f>
        <v>DBC</v>
      </c>
      <c r="H961" s="9" t="s">
        <v>20</v>
      </c>
      <c r="I961" s="9" t="s">
        <v>63</v>
      </c>
      <c r="J961" s="9" t="str">
        <f>""</f>
        <v/>
      </c>
      <c r="K961" s="9" t="str">
        <f>"PFES1162671807_0001"</f>
        <v>PFES1162671807_0001</v>
      </c>
      <c r="L961" s="9">
        <v>1</v>
      </c>
      <c r="M961" s="9">
        <v>20</v>
      </c>
    </row>
    <row r="962" spans="1:13">
      <c r="A962" s="6">
        <v>43503</v>
      </c>
      <c r="B962" s="7">
        <v>0.65069444444444446</v>
      </c>
      <c r="C962" s="9" t="str">
        <f>"FES1162671911"</f>
        <v>FES1162671911</v>
      </c>
      <c r="D962" s="9" t="s">
        <v>18</v>
      </c>
      <c r="E962" s="9" t="s">
        <v>632</v>
      </c>
      <c r="F962" s="9" t="str">
        <f>"2170671435 "</f>
        <v xml:space="preserve">2170671435 </v>
      </c>
      <c r="G962" s="9" t="str">
        <f t="shared" ref="G962:G1011" si="35">"ON1"</f>
        <v>ON1</v>
      </c>
      <c r="H962" s="9" t="s">
        <v>20</v>
      </c>
      <c r="I962" s="9" t="s">
        <v>633</v>
      </c>
      <c r="J962" s="9" t="str">
        <f>""</f>
        <v/>
      </c>
      <c r="K962" s="9" t="str">
        <f>"PFES1162671911_0001"</f>
        <v>PFES1162671911_0001</v>
      </c>
      <c r="L962" s="9">
        <v>1</v>
      </c>
      <c r="M962" s="9">
        <v>5</v>
      </c>
    </row>
    <row r="963" spans="1:13">
      <c r="A963" s="6">
        <v>43503</v>
      </c>
      <c r="B963" s="7">
        <v>0.64930555555555558</v>
      </c>
      <c r="C963" s="9" t="str">
        <f>"FES1162671906"</f>
        <v>FES1162671906</v>
      </c>
      <c r="D963" s="9" t="s">
        <v>18</v>
      </c>
      <c r="E963" s="9" t="s">
        <v>92</v>
      </c>
      <c r="F963" s="9" t="str">
        <f>"2170673150 "</f>
        <v xml:space="preserve">2170673150 </v>
      </c>
      <c r="G963" s="9" t="str">
        <f t="shared" si="35"/>
        <v>ON1</v>
      </c>
      <c r="H963" s="9" t="s">
        <v>20</v>
      </c>
      <c r="I963" s="9" t="s">
        <v>93</v>
      </c>
      <c r="J963" s="9" t="str">
        <f>""</f>
        <v/>
      </c>
      <c r="K963" s="9" t="str">
        <f>"PFES1162671906_0001"</f>
        <v>PFES1162671906_0001</v>
      </c>
      <c r="L963" s="9">
        <v>1</v>
      </c>
      <c r="M963" s="9">
        <v>9</v>
      </c>
    </row>
    <row r="964" spans="1:13">
      <c r="A964" s="6">
        <v>43503</v>
      </c>
      <c r="B964" s="7">
        <v>0.64861111111111114</v>
      </c>
      <c r="C964" s="9" t="str">
        <f>"FES1162671874"</f>
        <v>FES1162671874</v>
      </c>
      <c r="D964" s="9" t="s">
        <v>18</v>
      </c>
      <c r="E964" s="9" t="s">
        <v>523</v>
      </c>
      <c r="F964" s="9" t="str">
        <f>"2170672858 "</f>
        <v xml:space="preserve">2170672858 </v>
      </c>
      <c r="G964" s="9" t="str">
        <f t="shared" si="35"/>
        <v>ON1</v>
      </c>
      <c r="H964" s="9" t="s">
        <v>20</v>
      </c>
      <c r="I964" s="9" t="s">
        <v>333</v>
      </c>
      <c r="J964" s="9" t="str">
        <f>""</f>
        <v/>
      </c>
      <c r="K964" s="9" t="str">
        <f>"PFES1162671874_0001"</f>
        <v>PFES1162671874_0001</v>
      </c>
      <c r="L964" s="9">
        <v>1</v>
      </c>
      <c r="M964" s="9">
        <v>2</v>
      </c>
    </row>
    <row r="965" spans="1:13">
      <c r="A965" s="6">
        <v>43503</v>
      </c>
      <c r="B965" s="7">
        <v>0.64722222222222225</v>
      </c>
      <c r="C965" s="9" t="str">
        <f>"FES1162671674"</f>
        <v>FES1162671674</v>
      </c>
      <c r="D965" s="9" t="s">
        <v>18</v>
      </c>
      <c r="E965" s="9" t="s">
        <v>120</v>
      </c>
      <c r="F965" s="9" t="str">
        <f>"2170672603 "</f>
        <v xml:space="preserve">2170672603 </v>
      </c>
      <c r="G965" s="9" t="str">
        <f t="shared" si="35"/>
        <v>ON1</v>
      </c>
      <c r="H965" s="9" t="s">
        <v>20</v>
      </c>
      <c r="I965" s="9" t="s">
        <v>121</v>
      </c>
      <c r="J965" s="9" t="str">
        <f>""</f>
        <v/>
      </c>
      <c r="K965" s="9" t="str">
        <f>"PFES1162671674_0001"</f>
        <v>PFES1162671674_0001</v>
      </c>
      <c r="L965" s="9">
        <v>1</v>
      </c>
      <c r="M965" s="9">
        <v>2</v>
      </c>
    </row>
    <row r="966" spans="1:13">
      <c r="A966" s="6">
        <v>43503</v>
      </c>
      <c r="B966" s="7">
        <v>0.63750000000000007</v>
      </c>
      <c r="C966" s="9" t="str">
        <f>"FES1162671830"</f>
        <v>FES1162671830</v>
      </c>
      <c r="D966" s="9" t="s">
        <v>18</v>
      </c>
      <c r="E966" s="9" t="s">
        <v>316</v>
      </c>
      <c r="F966" s="9" t="str">
        <f>"2170671444 "</f>
        <v xml:space="preserve">2170671444 </v>
      </c>
      <c r="G966" s="9" t="str">
        <f t="shared" si="35"/>
        <v>ON1</v>
      </c>
      <c r="H966" s="9" t="s">
        <v>20</v>
      </c>
      <c r="I966" s="9" t="s">
        <v>272</v>
      </c>
      <c r="J966" s="9" t="str">
        <f>""</f>
        <v/>
      </c>
      <c r="K966" s="9" t="str">
        <f>"PFES1162671830_0001"</f>
        <v>PFES1162671830_0001</v>
      </c>
      <c r="L966" s="9">
        <v>1</v>
      </c>
      <c r="M966" s="9">
        <v>1</v>
      </c>
    </row>
    <row r="967" spans="1:13">
      <c r="A967" s="6">
        <v>43503</v>
      </c>
      <c r="B967" s="7">
        <v>0.63750000000000007</v>
      </c>
      <c r="C967" s="9" t="str">
        <f>"FES1162671811"</f>
        <v>FES1162671811</v>
      </c>
      <c r="D967" s="9" t="s">
        <v>18</v>
      </c>
      <c r="E967" s="9" t="s">
        <v>19</v>
      </c>
      <c r="F967" s="9" t="str">
        <f>"2170671297 "</f>
        <v xml:space="preserve">2170671297 </v>
      </c>
      <c r="G967" s="9" t="str">
        <f t="shared" si="35"/>
        <v>ON1</v>
      </c>
      <c r="H967" s="9" t="s">
        <v>20</v>
      </c>
      <c r="I967" s="9" t="s">
        <v>21</v>
      </c>
      <c r="J967" s="9" t="str">
        <f>""</f>
        <v/>
      </c>
      <c r="K967" s="9" t="str">
        <f>"PFES1162671811_0001"</f>
        <v>PFES1162671811_0001</v>
      </c>
      <c r="L967" s="9">
        <v>1</v>
      </c>
      <c r="M967" s="9">
        <v>1</v>
      </c>
    </row>
    <row r="968" spans="1:13">
      <c r="A968" s="6">
        <v>43503</v>
      </c>
      <c r="B968" s="7">
        <v>0.63750000000000007</v>
      </c>
      <c r="C968" s="9" t="str">
        <f>"FES1162671887"</f>
        <v>FES1162671887</v>
      </c>
      <c r="D968" s="9" t="s">
        <v>18</v>
      </c>
      <c r="E968" s="9" t="s">
        <v>634</v>
      </c>
      <c r="F968" s="9" t="str">
        <f>"2170668903 "</f>
        <v xml:space="preserve">2170668903 </v>
      </c>
      <c r="G968" s="9" t="str">
        <f t="shared" si="35"/>
        <v>ON1</v>
      </c>
      <c r="H968" s="9" t="s">
        <v>20</v>
      </c>
      <c r="I968" s="9" t="s">
        <v>635</v>
      </c>
      <c r="J968" s="9" t="str">
        <f>""</f>
        <v/>
      </c>
      <c r="K968" s="9" t="str">
        <f>"PFES1162671887_0001"</f>
        <v>PFES1162671887_0001</v>
      </c>
      <c r="L968" s="9">
        <v>1</v>
      </c>
      <c r="M968" s="9">
        <v>1</v>
      </c>
    </row>
    <row r="969" spans="1:13">
      <c r="A969" s="6">
        <v>43503</v>
      </c>
      <c r="B969" s="7">
        <v>0.63680555555555551</v>
      </c>
      <c r="C969" s="9" t="str">
        <f>"FES1162671779"</f>
        <v>FES1162671779</v>
      </c>
      <c r="D969" s="9" t="s">
        <v>18</v>
      </c>
      <c r="E969" s="9" t="s">
        <v>636</v>
      </c>
      <c r="F969" s="9" t="str">
        <f>"2170670804 "</f>
        <v xml:space="preserve">2170670804 </v>
      </c>
      <c r="G969" s="9" t="str">
        <f t="shared" si="35"/>
        <v>ON1</v>
      </c>
      <c r="H969" s="9" t="s">
        <v>20</v>
      </c>
      <c r="I969" s="9" t="s">
        <v>637</v>
      </c>
      <c r="J969" s="9" t="str">
        <f>""</f>
        <v/>
      </c>
      <c r="K969" s="9" t="str">
        <f>"PFES1162671779_0001"</f>
        <v>PFES1162671779_0001</v>
      </c>
      <c r="L969" s="9">
        <v>1</v>
      </c>
      <c r="M969" s="9">
        <v>1</v>
      </c>
    </row>
    <row r="970" spans="1:13">
      <c r="A970" s="6">
        <v>43503</v>
      </c>
      <c r="B970" s="7">
        <v>0.63402777777777775</v>
      </c>
      <c r="C970" s="9" t="str">
        <f>"FES1162671722"</f>
        <v>FES1162671722</v>
      </c>
      <c r="D970" s="9" t="s">
        <v>18</v>
      </c>
      <c r="E970" s="9" t="s">
        <v>638</v>
      </c>
      <c r="F970" s="9" t="str">
        <f>"2170673048 "</f>
        <v xml:space="preserve">2170673048 </v>
      </c>
      <c r="G970" s="9" t="str">
        <f t="shared" si="35"/>
        <v>ON1</v>
      </c>
      <c r="H970" s="9" t="s">
        <v>20</v>
      </c>
      <c r="I970" s="9" t="s">
        <v>635</v>
      </c>
      <c r="J970" s="9" t="str">
        <f>""</f>
        <v/>
      </c>
      <c r="K970" s="9" t="str">
        <f>"PFES1162671722_0001"</f>
        <v>PFES1162671722_0001</v>
      </c>
      <c r="L970" s="9">
        <v>1</v>
      </c>
      <c r="M970" s="9">
        <v>1</v>
      </c>
    </row>
    <row r="971" spans="1:13">
      <c r="A971" s="6">
        <v>43503</v>
      </c>
      <c r="B971" s="7">
        <v>0.6333333333333333</v>
      </c>
      <c r="C971" s="9" t="str">
        <f>"FES1162671957"</f>
        <v>FES1162671957</v>
      </c>
      <c r="D971" s="9" t="s">
        <v>18</v>
      </c>
      <c r="E971" s="9" t="s">
        <v>639</v>
      </c>
      <c r="F971" s="9" t="str">
        <f>"2170673229 "</f>
        <v xml:space="preserve">2170673229 </v>
      </c>
      <c r="G971" s="9" t="str">
        <f t="shared" si="35"/>
        <v>ON1</v>
      </c>
      <c r="H971" s="9" t="s">
        <v>20</v>
      </c>
      <c r="I971" s="9" t="s">
        <v>539</v>
      </c>
      <c r="J971" s="9" t="str">
        <f>""</f>
        <v/>
      </c>
      <c r="K971" s="9" t="str">
        <f>"PFES1162671957_0001"</f>
        <v>PFES1162671957_0001</v>
      </c>
      <c r="L971" s="9">
        <v>1</v>
      </c>
      <c r="M971" s="9">
        <v>1</v>
      </c>
    </row>
    <row r="972" spans="1:13">
      <c r="A972" s="6">
        <v>43503</v>
      </c>
      <c r="B972" s="7">
        <v>0.63263888888888886</v>
      </c>
      <c r="C972" s="9" t="str">
        <f>"FES1162671771"</f>
        <v>FES1162671771</v>
      </c>
      <c r="D972" s="9" t="s">
        <v>18</v>
      </c>
      <c r="E972" s="9" t="s">
        <v>152</v>
      </c>
      <c r="F972" s="9" t="str">
        <f>"2170669912 "</f>
        <v xml:space="preserve">2170669912 </v>
      </c>
      <c r="G972" s="9" t="str">
        <f t="shared" si="35"/>
        <v>ON1</v>
      </c>
      <c r="H972" s="9" t="s">
        <v>20</v>
      </c>
      <c r="I972" s="9" t="s">
        <v>153</v>
      </c>
      <c r="J972" s="9" t="str">
        <f>""</f>
        <v/>
      </c>
      <c r="K972" s="9" t="str">
        <f>"PFES1162671771_0001"</f>
        <v>PFES1162671771_0001</v>
      </c>
      <c r="L972" s="9">
        <v>1</v>
      </c>
      <c r="M972" s="9">
        <v>1</v>
      </c>
    </row>
    <row r="973" spans="1:13">
      <c r="A973" s="6">
        <v>43503</v>
      </c>
      <c r="B973" s="7">
        <v>0.63263888888888886</v>
      </c>
      <c r="C973" s="9" t="str">
        <f>"FES1162671967"</f>
        <v>FES1162671967</v>
      </c>
      <c r="D973" s="9" t="s">
        <v>18</v>
      </c>
      <c r="E973" s="9" t="s">
        <v>186</v>
      </c>
      <c r="F973" s="9" t="str">
        <f>"217067324 "</f>
        <v xml:space="preserve">217067324 </v>
      </c>
      <c r="G973" s="9" t="str">
        <f t="shared" si="35"/>
        <v>ON1</v>
      </c>
      <c r="H973" s="9" t="s">
        <v>20</v>
      </c>
      <c r="I973" s="9" t="s">
        <v>48</v>
      </c>
      <c r="J973" s="9" t="str">
        <f>""</f>
        <v/>
      </c>
      <c r="K973" s="9" t="str">
        <f>"PFES1162671967_0001"</f>
        <v>PFES1162671967_0001</v>
      </c>
      <c r="L973" s="9">
        <v>1</v>
      </c>
      <c r="M973" s="9">
        <v>1</v>
      </c>
    </row>
    <row r="974" spans="1:13">
      <c r="A974" s="6">
        <v>43503</v>
      </c>
      <c r="B974" s="7">
        <v>0.63263888888888886</v>
      </c>
      <c r="C974" s="9" t="str">
        <f>"FES1162671773"</f>
        <v>FES1162671773</v>
      </c>
      <c r="D974" s="9" t="s">
        <v>18</v>
      </c>
      <c r="E974" s="9" t="s">
        <v>640</v>
      </c>
      <c r="F974" s="9" t="str">
        <f>"2170670139 "</f>
        <v xml:space="preserve">2170670139 </v>
      </c>
      <c r="G974" s="9" t="str">
        <f t="shared" si="35"/>
        <v>ON1</v>
      </c>
      <c r="H974" s="9" t="s">
        <v>20</v>
      </c>
      <c r="I974" s="9" t="s">
        <v>641</v>
      </c>
      <c r="J974" s="9" t="str">
        <f>""</f>
        <v/>
      </c>
      <c r="K974" s="9" t="str">
        <f>"PFES1162671773_0001"</f>
        <v>PFES1162671773_0001</v>
      </c>
      <c r="L974" s="9">
        <v>1</v>
      </c>
      <c r="M974" s="9">
        <v>1</v>
      </c>
    </row>
    <row r="975" spans="1:13">
      <c r="A975" s="6">
        <v>43503</v>
      </c>
      <c r="B975" s="7">
        <v>0.63194444444444442</v>
      </c>
      <c r="C975" s="9" t="str">
        <f>"FES1162671966"</f>
        <v>FES1162671966</v>
      </c>
      <c r="D975" s="9" t="s">
        <v>18</v>
      </c>
      <c r="E975" s="9" t="s">
        <v>186</v>
      </c>
      <c r="F975" s="9" t="str">
        <f>"2170673424 "</f>
        <v xml:space="preserve">2170673424 </v>
      </c>
      <c r="G975" s="9" t="str">
        <f t="shared" si="35"/>
        <v>ON1</v>
      </c>
      <c r="H975" s="9" t="s">
        <v>20</v>
      </c>
      <c r="I975" s="9" t="s">
        <v>48</v>
      </c>
      <c r="J975" s="9" t="str">
        <f>""</f>
        <v/>
      </c>
      <c r="K975" s="9" t="str">
        <f>"PFES1162671966_0001"</f>
        <v>PFES1162671966_0001</v>
      </c>
      <c r="L975" s="9">
        <v>1</v>
      </c>
      <c r="M975" s="9">
        <v>1</v>
      </c>
    </row>
    <row r="976" spans="1:13">
      <c r="A976" s="6">
        <v>43503</v>
      </c>
      <c r="B976" s="7">
        <v>0.63194444444444442</v>
      </c>
      <c r="C976" s="9" t="str">
        <f>"FES1162671937"</f>
        <v>FES1162671937</v>
      </c>
      <c r="D976" s="9" t="s">
        <v>18</v>
      </c>
      <c r="E976" s="9" t="s">
        <v>370</v>
      </c>
      <c r="F976" s="9" t="str">
        <f>"2170673187 "</f>
        <v xml:space="preserve">2170673187 </v>
      </c>
      <c r="G976" s="9" t="str">
        <f t="shared" si="35"/>
        <v>ON1</v>
      </c>
      <c r="H976" s="9" t="s">
        <v>20</v>
      </c>
      <c r="I976" s="9" t="s">
        <v>67</v>
      </c>
      <c r="J976" s="9" t="str">
        <f>""</f>
        <v/>
      </c>
      <c r="K976" s="9" t="str">
        <f>"PFES1162671937_0001"</f>
        <v>PFES1162671937_0001</v>
      </c>
      <c r="L976" s="9">
        <v>1</v>
      </c>
      <c r="M976" s="9">
        <v>1</v>
      </c>
    </row>
    <row r="977" spans="1:13">
      <c r="A977" s="6">
        <v>43503</v>
      </c>
      <c r="B977" s="7">
        <v>0.63194444444444442</v>
      </c>
      <c r="C977" s="9" t="str">
        <f>"FES1162671802"</f>
        <v>FES1162671802</v>
      </c>
      <c r="D977" s="9" t="s">
        <v>18</v>
      </c>
      <c r="E977" s="9" t="s">
        <v>620</v>
      </c>
      <c r="F977" s="9" t="str">
        <f>"2170671157 "</f>
        <v xml:space="preserve">2170671157 </v>
      </c>
      <c r="G977" s="9" t="str">
        <f t="shared" si="35"/>
        <v>ON1</v>
      </c>
      <c r="H977" s="9" t="s">
        <v>20</v>
      </c>
      <c r="I977" s="9" t="s">
        <v>573</v>
      </c>
      <c r="J977" s="9" t="str">
        <f>""</f>
        <v/>
      </c>
      <c r="K977" s="9" t="str">
        <f>"PFES1162671802_0001"</f>
        <v>PFES1162671802_0001</v>
      </c>
      <c r="L977" s="9">
        <v>1</v>
      </c>
      <c r="M977" s="9">
        <v>1</v>
      </c>
    </row>
    <row r="978" spans="1:13">
      <c r="A978" s="6">
        <v>43503</v>
      </c>
      <c r="B978" s="7">
        <v>0.63124999999999998</v>
      </c>
      <c r="C978" s="9" t="str">
        <f>"FES1162671945"</f>
        <v>FES1162671945</v>
      </c>
      <c r="D978" s="9" t="s">
        <v>18</v>
      </c>
      <c r="E978" s="9" t="s">
        <v>530</v>
      </c>
      <c r="F978" s="9" t="str">
        <f>"2170673213 "</f>
        <v xml:space="preserve">2170673213 </v>
      </c>
      <c r="G978" s="9" t="str">
        <f t="shared" si="35"/>
        <v>ON1</v>
      </c>
      <c r="H978" s="9" t="s">
        <v>20</v>
      </c>
      <c r="I978" s="9" t="s">
        <v>531</v>
      </c>
      <c r="J978" s="9" t="str">
        <f>""</f>
        <v/>
      </c>
      <c r="K978" s="9" t="str">
        <f>"PFES1162671945_0001"</f>
        <v>PFES1162671945_0001</v>
      </c>
      <c r="L978" s="9">
        <v>1</v>
      </c>
      <c r="M978" s="9">
        <v>1</v>
      </c>
    </row>
    <row r="979" spans="1:13">
      <c r="A979" s="6">
        <v>43503</v>
      </c>
      <c r="B979" s="7">
        <v>0.63124999999999998</v>
      </c>
      <c r="C979" s="9" t="str">
        <f>"FES1162671934"</f>
        <v>FES1162671934</v>
      </c>
      <c r="D979" s="9" t="s">
        <v>18</v>
      </c>
      <c r="E979" s="9" t="s">
        <v>642</v>
      </c>
      <c r="F979" s="9" t="str">
        <f>"2170673196 "</f>
        <v xml:space="preserve">2170673196 </v>
      </c>
      <c r="G979" s="9" t="str">
        <f t="shared" si="35"/>
        <v>ON1</v>
      </c>
      <c r="H979" s="9" t="s">
        <v>20</v>
      </c>
      <c r="I979" s="9" t="s">
        <v>43</v>
      </c>
      <c r="J979" s="9" t="str">
        <f>""</f>
        <v/>
      </c>
      <c r="K979" s="9" t="str">
        <f>"PFES1162671934_0001"</f>
        <v>PFES1162671934_0001</v>
      </c>
      <c r="L979" s="9">
        <v>1</v>
      </c>
      <c r="M979" s="9">
        <v>1</v>
      </c>
    </row>
    <row r="980" spans="1:13">
      <c r="A980" s="6">
        <v>43503</v>
      </c>
      <c r="B980" s="7">
        <v>0.63055555555555554</v>
      </c>
      <c r="C980" s="9" t="str">
        <f>"FES1162671922"</f>
        <v>FES1162671922</v>
      </c>
      <c r="D980" s="9" t="s">
        <v>18</v>
      </c>
      <c r="E980" s="9" t="s">
        <v>104</v>
      </c>
      <c r="F980" s="9" t="str">
        <f>"2170673172 "</f>
        <v xml:space="preserve">2170673172 </v>
      </c>
      <c r="G980" s="9" t="str">
        <f t="shared" si="35"/>
        <v>ON1</v>
      </c>
      <c r="H980" s="9" t="s">
        <v>20</v>
      </c>
      <c r="I980" s="9" t="s">
        <v>105</v>
      </c>
      <c r="J980" s="9" t="str">
        <f>""</f>
        <v/>
      </c>
      <c r="K980" s="9" t="str">
        <f>"PFES1162671922_0001"</f>
        <v>PFES1162671922_0001</v>
      </c>
      <c r="L980" s="9">
        <v>1</v>
      </c>
      <c r="M980" s="9">
        <v>1</v>
      </c>
    </row>
    <row r="981" spans="1:13">
      <c r="A981" s="6">
        <v>43503</v>
      </c>
      <c r="B981" s="7">
        <v>0.63055555555555554</v>
      </c>
      <c r="C981" s="9" t="str">
        <f>"FES1162671929"</f>
        <v>FES1162671929</v>
      </c>
      <c r="D981" s="9" t="s">
        <v>18</v>
      </c>
      <c r="E981" s="9" t="s">
        <v>229</v>
      </c>
      <c r="F981" s="9" t="str">
        <f>"2170673184 "</f>
        <v xml:space="preserve">2170673184 </v>
      </c>
      <c r="G981" s="9" t="str">
        <f t="shared" si="35"/>
        <v>ON1</v>
      </c>
      <c r="H981" s="9" t="s">
        <v>20</v>
      </c>
      <c r="I981" s="9" t="s">
        <v>111</v>
      </c>
      <c r="J981" s="9" t="str">
        <f>""</f>
        <v/>
      </c>
      <c r="K981" s="9" t="str">
        <f>"PFES1162671929_0001"</f>
        <v>PFES1162671929_0001</v>
      </c>
      <c r="L981" s="9">
        <v>1</v>
      </c>
      <c r="M981" s="9">
        <v>1</v>
      </c>
    </row>
    <row r="982" spans="1:13">
      <c r="A982" s="6">
        <v>43503</v>
      </c>
      <c r="B982" s="7">
        <v>0.63055555555555554</v>
      </c>
      <c r="C982" s="9" t="str">
        <f>"FES1162671902"</f>
        <v>FES1162671902</v>
      </c>
      <c r="D982" s="9" t="s">
        <v>18</v>
      </c>
      <c r="E982" s="9" t="s">
        <v>643</v>
      </c>
      <c r="F982" s="9" t="str">
        <f>"2170673142 "</f>
        <v xml:space="preserve">2170673142 </v>
      </c>
      <c r="G982" s="9" t="str">
        <f t="shared" si="35"/>
        <v>ON1</v>
      </c>
      <c r="H982" s="9" t="s">
        <v>20</v>
      </c>
      <c r="I982" s="9" t="s">
        <v>111</v>
      </c>
      <c r="J982" s="9" t="str">
        <f>""</f>
        <v/>
      </c>
      <c r="K982" s="9" t="str">
        <f>"PFES1162671902_0001"</f>
        <v>PFES1162671902_0001</v>
      </c>
      <c r="L982" s="9">
        <v>1</v>
      </c>
      <c r="M982" s="9">
        <v>1</v>
      </c>
    </row>
    <row r="983" spans="1:13">
      <c r="A983" s="6">
        <v>43503</v>
      </c>
      <c r="B983" s="7">
        <v>0.62986111111111109</v>
      </c>
      <c r="C983" s="9" t="str">
        <f>"FES1162671908"</f>
        <v>FES1162671908</v>
      </c>
      <c r="D983" s="9" t="s">
        <v>18</v>
      </c>
      <c r="E983" s="9" t="s">
        <v>387</v>
      </c>
      <c r="F983" s="9" t="str">
        <f>"21706473153 "</f>
        <v xml:space="preserve">21706473153 </v>
      </c>
      <c r="G983" s="9" t="str">
        <f t="shared" si="35"/>
        <v>ON1</v>
      </c>
      <c r="H983" s="9" t="s">
        <v>20</v>
      </c>
      <c r="I983" s="9" t="s">
        <v>388</v>
      </c>
      <c r="J983" s="9" t="str">
        <f>""</f>
        <v/>
      </c>
      <c r="K983" s="9" t="str">
        <f>"PFES1162671908_0001"</f>
        <v>PFES1162671908_0001</v>
      </c>
      <c r="L983" s="9">
        <v>1</v>
      </c>
      <c r="M983" s="9">
        <v>1</v>
      </c>
    </row>
    <row r="984" spans="1:13">
      <c r="A984" s="6">
        <v>43503</v>
      </c>
      <c r="B984" s="7">
        <v>0.62986111111111109</v>
      </c>
      <c r="C984" s="9" t="str">
        <f>"FES1162671923"</f>
        <v>FES1162671923</v>
      </c>
      <c r="D984" s="9" t="s">
        <v>18</v>
      </c>
      <c r="E984" s="9" t="s">
        <v>295</v>
      </c>
      <c r="F984" s="9" t="str">
        <f>"2170673173 "</f>
        <v xml:space="preserve">2170673173 </v>
      </c>
      <c r="G984" s="9" t="str">
        <f t="shared" si="35"/>
        <v>ON1</v>
      </c>
      <c r="H984" s="9" t="s">
        <v>20</v>
      </c>
      <c r="I984" s="9" t="s">
        <v>53</v>
      </c>
      <c r="J984" s="9" t="str">
        <f>""</f>
        <v/>
      </c>
      <c r="K984" s="9" t="str">
        <f>"PFES1162671923_0001"</f>
        <v>PFES1162671923_0001</v>
      </c>
      <c r="L984" s="9">
        <v>1</v>
      </c>
      <c r="M984" s="9">
        <v>1</v>
      </c>
    </row>
    <row r="985" spans="1:13">
      <c r="A985" s="6">
        <v>43503</v>
      </c>
      <c r="B985" s="7">
        <v>0.62916666666666665</v>
      </c>
      <c r="C985" s="9" t="str">
        <f>"FES1162671885"</f>
        <v>FES1162671885</v>
      </c>
      <c r="D985" s="9" t="s">
        <v>18</v>
      </c>
      <c r="E985" s="9" t="s">
        <v>110</v>
      </c>
      <c r="F985" s="9" t="str">
        <f>"2170673116 "</f>
        <v xml:space="preserve">2170673116 </v>
      </c>
      <c r="G985" s="9" t="str">
        <f t="shared" si="35"/>
        <v>ON1</v>
      </c>
      <c r="H985" s="9" t="s">
        <v>20</v>
      </c>
      <c r="I985" s="9" t="s">
        <v>111</v>
      </c>
      <c r="J985" s="9" t="str">
        <f>""</f>
        <v/>
      </c>
      <c r="K985" s="9" t="str">
        <f>"PFES1162671885_0001"</f>
        <v>PFES1162671885_0001</v>
      </c>
      <c r="L985" s="9">
        <v>1</v>
      </c>
      <c r="M985" s="9">
        <v>1</v>
      </c>
    </row>
    <row r="986" spans="1:13">
      <c r="A986" s="6">
        <v>43503</v>
      </c>
      <c r="B986" s="7">
        <v>0.62916666666666665</v>
      </c>
      <c r="C986" s="9" t="str">
        <f>"FES1162671905"</f>
        <v>FES1162671905</v>
      </c>
      <c r="D986" s="9" t="s">
        <v>18</v>
      </c>
      <c r="E986" s="9" t="s">
        <v>293</v>
      </c>
      <c r="F986" s="9" t="str">
        <f>"2170673148 "</f>
        <v xml:space="preserve">2170673148 </v>
      </c>
      <c r="G986" s="9" t="str">
        <f t="shared" si="35"/>
        <v>ON1</v>
      </c>
      <c r="H986" s="9" t="s">
        <v>20</v>
      </c>
      <c r="I986" s="9" t="s">
        <v>294</v>
      </c>
      <c r="J986" s="9" t="str">
        <f>""</f>
        <v/>
      </c>
      <c r="K986" s="9" t="str">
        <f>"PFES1162671905_0001"</f>
        <v>PFES1162671905_0001</v>
      </c>
      <c r="L986" s="9">
        <v>1</v>
      </c>
      <c r="M986" s="9">
        <v>1</v>
      </c>
    </row>
    <row r="987" spans="1:13">
      <c r="A987" s="6">
        <v>43503</v>
      </c>
      <c r="B987" s="7">
        <v>0.62847222222222221</v>
      </c>
      <c r="C987" s="9" t="str">
        <f>"FES1162671916"</f>
        <v>FES1162671916</v>
      </c>
      <c r="D987" s="9" t="s">
        <v>18</v>
      </c>
      <c r="E987" s="9" t="s">
        <v>605</v>
      </c>
      <c r="F987" s="9" t="str">
        <f>"2170673099 "</f>
        <v xml:space="preserve">2170673099 </v>
      </c>
      <c r="G987" s="9" t="str">
        <f t="shared" si="35"/>
        <v>ON1</v>
      </c>
      <c r="H987" s="9" t="s">
        <v>20</v>
      </c>
      <c r="I987" s="9" t="s">
        <v>445</v>
      </c>
      <c r="J987" s="9" t="str">
        <f>""</f>
        <v/>
      </c>
      <c r="K987" s="9" t="str">
        <f>"PFES1162671916_0001"</f>
        <v>PFES1162671916_0001</v>
      </c>
      <c r="L987" s="9">
        <v>1</v>
      </c>
      <c r="M987" s="9">
        <v>1</v>
      </c>
    </row>
    <row r="988" spans="1:13">
      <c r="A988" s="6">
        <v>43503</v>
      </c>
      <c r="B988" s="7">
        <v>0.62847222222222221</v>
      </c>
      <c r="C988" s="9" t="str">
        <f>"FES1162671925"</f>
        <v>FES1162671925</v>
      </c>
      <c r="D988" s="9" t="s">
        <v>18</v>
      </c>
      <c r="E988" s="9" t="s">
        <v>334</v>
      </c>
      <c r="F988" s="9" t="str">
        <f>"217063177 "</f>
        <v xml:space="preserve">217063177 </v>
      </c>
      <c r="G988" s="9" t="str">
        <f t="shared" si="35"/>
        <v>ON1</v>
      </c>
      <c r="H988" s="9" t="s">
        <v>20</v>
      </c>
      <c r="I988" s="9" t="s">
        <v>242</v>
      </c>
      <c r="J988" s="9" t="str">
        <f>""</f>
        <v/>
      </c>
      <c r="K988" s="9" t="str">
        <f>"PFES1162671925_0001"</f>
        <v>PFES1162671925_0001</v>
      </c>
      <c r="L988" s="9">
        <v>1</v>
      </c>
      <c r="M988" s="9">
        <v>1</v>
      </c>
    </row>
    <row r="989" spans="1:13">
      <c r="A989" s="6">
        <v>43503</v>
      </c>
      <c r="B989" s="7">
        <v>0.62777777777777777</v>
      </c>
      <c r="C989" s="9" t="str">
        <f>"FES1162671879"</f>
        <v>FES1162671879</v>
      </c>
      <c r="D989" s="9" t="s">
        <v>18</v>
      </c>
      <c r="E989" s="9" t="s">
        <v>595</v>
      </c>
      <c r="F989" s="9" t="str">
        <f>"2170673106 "</f>
        <v xml:space="preserve">2170673106 </v>
      </c>
      <c r="G989" s="9" t="str">
        <f t="shared" si="35"/>
        <v>ON1</v>
      </c>
      <c r="H989" s="9" t="s">
        <v>20</v>
      </c>
      <c r="I989" s="9" t="s">
        <v>111</v>
      </c>
      <c r="J989" s="9" t="str">
        <f>""</f>
        <v/>
      </c>
      <c r="K989" s="9" t="str">
        <f>"PFES1162671879_0001"</f>
        <v>PFES1162671879_0001</v>
      </c>
      <c r="L989" s="9">
        <v>1</v>
      </c>
      <c r="M989" s="9">
        <v>1</v>
      </c>
    </row>
    <row r="990" spans="1:13">
      <c r="A990" s="6">
        <v>43503</v>
      </c>
      <c r="B990" s="7">
        <v>0.62777777777777777</v>
      </c>
      <c r="C990" s="9" t="str">
        <f>"FES1162671904"</f>
        <v>FES1162671904</v>
      </c>
      <c r="D990" s="9" t="s">
        <v>18</v>
      </c>
      <c r="E990" s="9" t="s">
        <v>88</v>
      </c>
      <c r="F990" s="9" t="str">
        <f>"2170673147 "</f>
        <v xml:space="preserve">2170673147 </v>
      </c>
      <c r="G990" s="9" t="str">
        <f t="shared" si="35"/>
        <v>ON1</v>
      </c>
      <c r="H990" s="9" t="s">
        <v>20</v>
      </c>
      <c r="I990" s="9" t="s">
        <v>89</v>
      </c>
      <c r="J990" s="9" t="str">
        <f>""</f>
        <v/>
      </c>
      <c r="K990" s="9" t="str">
        <f>"PFES1162671904_0001"</f>
        <v>PFES1162671904_0001</v>
      </c>
      <c r="L990" s="9">
        <v>1</v>
      </c>
      <c r="M990" s="9">
        <v>1</v>
      </c>
    </row>
    <row r="991" spans="1:13">
      <c r="A991" s="6">
        <v>43503</v>
      </c>
      <c r="B991" s="7">
        <v>0.62083333333333335</v>
      </c>
      <c r="C991" s="9" t="str">
        <f>"FES1162671866"</f>
        <v>FES1162671866</v>
      </c>
      <c r="D991" s="9" t="s">
        <v>18</v>
      </c>
      <c r="E991" s="9" t="s">
        <v>140</v>
      </c>
      <c r="F991" s="9" t="str">
        <f>"2170673090 "</f>
        <v xml:space="preserve">2170673090 </v>
      </c>
      <c r="G991" s="9" t="str">
        <f t="shared" si="35"/>
        <v>ON1</v>
      </c>
      <c r="H991" s="9" t="s">
        <v>20</v>
      </c>
      <c r="I991" s="9" t="s">
        <v>141</v>
      </c>
      <c r="J991" s="9" t="str">
        <f>""</f>
        <v/>
      </c>
      <c r="K991" s="9" t="str">
        <f>"PFES1162671866_0001"</f>
        <v>PFES1162671866_0001</v>
      </c>
      <c r="L991" s="9">
        <v>1</v>
      </c>
      <c r="M991" s="9">
        <v>1</v>
      </c>
    </row>
    <row r="992" spans="1:13">
      <c r="A992" s="6">
        <v>43503</v>
      </c>
      <c r="B992" s="7">
        <v>0.62083333333333335</v>
      </c>
      <c r="C992" s="9" t="str">
        <f>"FES1162671909"</f>
        <v>FES1162671909</v>
      </c>
      <c r="D992" s="9" t="s">
        <v>18</v>
      </c>
      <c r="E992" s="9" t="s">
        <v>44</v>
      </c>
      <c r="F992" s="9" t="str">
        <f>"2170673155 "</f>
        <v xml:space="preserve">2170673155 </v>
      </c>
      <c r="G992" s="9" t="str">
        <f t="shared" si="35"/>
        <v>ON1</v>
      </c>
      <c r="H992" s="9" t="s">
        <v>20</v>
      </c>
      <c r="I992" s="9" t="s">
        <v>39</v>
      </c>
      <c r="J992" s="9" t="str">
        <f>""</f>
        <v/>
      </c>
      <c r="K992" s="9" t="str">
        <f>"PFES1162671909_0001"</f>
        <v>PFES1162671909_0001</v>
      </c>
      <c r="L992" s="9">
        <v>1</v>
      </c>
      <c r="M992" s="9">
        <v>1</v>
      </c>
    </row>
    <row r="993" spans="1:13">
      <c r="A993" s="6">
        <v>43503</v>
      </c>
      <c r="B993" s="7">
        <v>0.62083333333333335</v>
      </c>
      <c r="C993" s="9" t="str">
        <f>"FES1162671868"</f>
        <v>FES1162671868</v>
      </c>
      <c r="D993" s="9" t="s">
        <v>18</v>
      </c>
      <c r="E993" s="9" t="s">
        <v>140</v>
      </c>
      <c r="F993" s="9" t="str">
        <f>"2170673094 "</f>
        <v xml:space="preserve">2170673094 </v>
      </c>
      <c r="G993" s="9" t="str">
        <f t="shared" si="35"/>
        <v>ON1</v>
      </c>
      <c r="H993" s="9" t="s">
        <v>20</v>
      </c>
      <c r="I993" s="9" t="s">
        <v>141</v>
      </c>
      <c r="J993" s="9" t="str">
        <f>""</f>
        <v/>
      </c>
      <c r="K993" s="9" t="str">
        <f>"PFES1162671868_0001"</f>
        <v>PFES1162671868_0001</v>
      </c>
      <c r="L993" s="9">
        <v>1</v>
      </c>
      <c r="M993" s="9">
        <v>1</v>
      </c>
    </row>
    <row r="994" spans="1:13">
      <c r="A994" s="6">
        <v>43503</v>
      </c>
      <c r="B994" s="7">
        <v>0.62013888888888891</v>
      </c>
      <c r="C994" s="9" t="str">
        <f>"FES1162671896"</f>
        <v>FES1162671896</v>
      </c>
      <c r="D994" s="9" t="s">
        <v>18</v>
      </c>
      <c r="E994" s="9" t="s">
        <v>644</v>
      </c>
      <c r="F994" s="9" t="str">
        <f>"2170673218 "</f>
        <v xml:space="preserve">2170673218 </v>
      </c>
      <c r="G994" s="9" t="str">
        <f t="shared" si="35"/>
        <v>ON1</v>
      </c>
      <c r="H994" s="9" t="s">
        <v>20</v>
      </c>
      <c r="I994" s="9" t="s">
        <v>435</v>
      </c>
      <c r="J994" s="9" t="str">
        <f>""</f>
        <v/>
      </c>
      <c r="K994" s="9" t="str">
        <f>"PFES1162671896_0001"</f>
        <v>PFES1162671896_0001</v>
      </c>
      <c r="L994" s="9">
        <v>1</v>
      </c>
      <c r="M994" s="9">
        <v>1</v>
      </c>
    </row>
    <row r="995" spans="1:13">
      <c r="A995" s="6">
        <v>43503</v>
      </c>
      <c r="B995" s="7">
        <v>0.62013888888888891</v>
      </c>
      <c r="C995" s="9" t="str">
        <f>"FES1162671888"</f>
        <v>FES1162671888</v>
      </c>
      <c r="D995" s="9" t="s">
        <v>18</v>
      </c>
      <c r="E995" s="9" t="s">
        <v>645</v>
      </c>
      <c r="F995" s="9" t="str">
        <f>"2170673118 "</f>
        <v xml:space="preserve">2170673118 </v>
      </c>
      <c r="G995" s="9" t="str">
        <f t="shared" si="35"/>
        <v>ON1</v>
      </c>
      <c r="H995" s="9" t="s">
        <v>20</v>
      </c>
      <c r="I995" s="9" t="s">
        <v>215</v>
      </c>
      <c r="J995" s="9" t="str">
        <f>""</f>
        <v/>
      </c>
      <c r="K995" s="9" t="str">
        <f>"PFES1162671888_0001"</f>
        <v>PFES1162671888_0001</v>
      </c>
      <c r="L995" s="9">
        <v>1</v>
      </c>
      <c r="M995" s="9">
        <v>1</v>
      </c>
    </row>
    <row r="996" spans="1:13">
      <c r="A996" s="6">
        <v>43503</v>
      </c>
      <c r="B996" s="7">
        <v>0.62013888888888891</v>
      </c>
      <c r="C996" s="9" t="str">
        <f>"FES1162671907"</f>
        <v>FES1162671907</v>
      </c>
      <c r="D996" s="9" t="s">
        <v>18</v>
      </c>
      <c r="E996" s="9" t="s">
        <v>630</v>
      </c>
      <c r="F996" s="9" t="str">
        <f>"2170673152 "</f>
        <v xml:space="preserve">2170673152 </v>
      </c>
      <c r="G996" s="9" t="str">
        <f t="shared" si="35"/>
        <v>ON1</v>
      </c>
      <c r="H996" s="9" t="s">
        <v>20</v>
      </c>
      <c r="I996" s="9" t="s">
        <v>141</v>
      </c>
      <c r="J996" s="9" t="str">
        <f>""</f>
        <v/>
      </c>
      <c r="K996" s="9" t="str">
        <f>"PFES1162671907_0001"</f>
        <v>PFES1162671907_0001</v>
      </c>
      <c r="L996" s="9">
        <v>1</v>
      </c>
      <c r="M996" s="9">
        <v>1</v>
      </c>
    </row>
    <row r="997" spans="1:13">
      <c r="A997" s="6">
        <v>43503</v>
      </c>
      <c r="B997" s="7">
        <v>0.61944444444444446</v>
      </c>
      <c r="C997" s="9" t="str">
        <f>"FES1162671871"</f>
        <v>FES1162671871</v>
      </c>
      <c r="D997" s="9" t="s">
        <v>18</v>
      </c>
      <c r="E997" s="9" t="s">
        <v>97</v>
      </c>
      <c r="F997" s="9" t="str">
        <f>"2170672723 "</f>
        <v xml:space="preserve">2170672723 </v>
      </c>
      <c r="G997" s="9" t="str">
        <f t="shared" si="35"/>
        <v>ON1</v>
      </c>
      <c r="H997" s="9" t="s">
        <v>20</v>
      </c>
      <c r="I997" s="9" t="s">
        <v>70</v>
      </c>
      <c r="J997" s="9" t="str">
        <f>""</f>
        <v/>
      </c>
      <c r="K997" s="9" t="str">
        <f>"PFES1162671871_0001"</f>
        <v>PFES1162671871_0001</v>
      </c>
      <c r="L997" s="9">
        <v>1</v>
      </c>
      <c r="M997" s="9">
        <v>1</v>
      </c>
    </row>
    <row r="998" spans="1:13">
      <c r="A998" s="6">
        <v>43503</v>
      </c>
      <c r="B998" s="7">
        <v>0.61805555555555558</v>
      </c>
      <c r="C998" s="9" t="str">
        <f>"FES1162671715"</f>
        <v>FES1162671715</v>
      </c>
      <c r="D998" s="9" t="s">
        <v>18</v>
      </c>
      <c r="E998" s="9" t="s">
        <v>19</v>
      </c>
      <c r="F998" s="9" t="str">
        <f>"2170673043 "</f>
        <v xml:space="preserve">2170673043 </v>
      </c>
      <c r="G998" s="9" t="str">
        <f t="shared" si="35"/>
        <v>ON1</v>
      </c>
      <c r="H998" s="9" t="s">
        <v>20</v>
      </c>
      <c r="I998" s="9" t="s">
        <v>21</v>
      </c>
      <c r="J998" s="9" t="str">
        <f>""</f>
        <v/>
      </c>
      <c r="K998" s="9" t="str">
        <f>"PFES1162671715_0001"</f>
        <v>PFES1162671715_0001</v>
      </c>
      <c r="L998" s="9">
        <v>1</v>
      </c>
      <c r="M998" s="9">
        <v>3</v>
      </c>
    </row>
    <row r="999" spans="1:13">
      <c r="A999" s="6">
        <v>43503</v>
      </c>
      <c r="B999" s="7">
        <v>0.61736111111111114</v>
      </c>
      <c r="C999" s="9" t="str">
        <f>"FES1162671917"</f>
        <v>FES1162671917</v>
      </c>
      <c r="D999" s="9" t="s">
        <v>18</v>
      </c>
      <c r="E999" s="9" t="s">
        <v>646</v>
      </c>
      <c r="F999" s="9" t="str">
        <f>"2170673103 "</f>
        <v xml:space="preserve">2170673103 </v>
      </c>
      <c r="G999" s="9" t="str">
        <f t="shared" si="35"/>
        <v>ON1</v>
      </c>
      <c r="H999" s="9" t="s">
        <v>20</v>
      </c>
      <c r="I999" s="9" t="s">
        <v>647</v>
      </c>
      <c r="J999" s="9" t="str">
        <f>""</f>
        <v/>
      </c>
      <c r="K999" s="9" t="str">
        <f>"PFES1162671917_0001"</f>
        <v>PFES1162671917_0001</v>
      </c>
      <c r="L999" s="9">
        <v>1</v>
      </c>
      <c r="M999" s="9">
        <v>4</v>
      </c>
    </row>
    <row r="1000" spans="1:13">
      <c r="A1000" s="6">
        <v>43503</v>
      </c>
      <c r="B1000" s="7">
        <v>0.6166666666666667</v>
      </c>
      <c r="C1000" s="9" t="str">
        <f>"FES1162671713"</f>
        <v>FES1162671713</v>
      </c>
      <c r="D1000" s="9" t="s">
        <v>18</v>
      </c>
      <c r="E1000" s="9" t="s">
        <v>648</v>
      </c>
      <c r="F1000" s="9" t="str">
        <f>"2170673040 "</f>
        <v xml:space="preserve">2170673040 </v>
      </c>
      <c r="G1000" s="9" t="str">
        <f t="shared" si="35"/>
        <v>ON1</v>
      </c>
      <c r="H1000" s="9" t="s">
        <v>20</v>
      </c>
      <c r="I1000" s="9" t="s">
        <v>226</v>
      </c>
      <c r="J1000" s="9" t="str">
        <f>""</f>
        <v/>
      </c>
      <c r="K1000" s="9" t="str">
        <f>"PFES1162671713_0001"</f>
        <v>PFES1162671713_0001</v>
      </c>
      <c r="L1000" s="9">
        <v>1</v>
      </c>
      <c r="M1000" s="9">
        <v>1</v>
      </c>
    </row>
    <row r="1001" spans="1:13">
      <c r="A1001" s="6">
        <v>43503</v>
      </c>
      <c r="B1001" s="7">
        <v>0.6166666666666667</v>
      </c>
      <c r="C1001" s="9" t="str">
        <f>"FES1162671693"</f>
        <v>FES1162671693</v>
      </c>
      <c r="D1001" s="9" t="s">
        <v>18</v>
      </c>
      <c r="E1001" s="9" t="s">
        <v>73</v>
      </c>
      <c r="F1001" s="9" t="str">
        <f>"21706724444 "</f>
        <v xml:space="preserve">21706724444 </v>
      </c>
      <c r="G1001" s="9" t="str">
        <f t="shared" si="35"/>
        <v>ON1</v>
      </c>
      <c r="H1001" s="9" t="s">
        <v>20</v>
      </c>
      <c r="I1001" s="9" t="s">
        <v>61</v>
      </c>
      <c r="J1001" s="9" t="str">
        <f>""</f>
        <v/>
      </c>
      <c r="K1001" s="9" t="str">
        <f>"PFES1162671693_0001"</f>
        <v>PFES1162671693_0001</v>
      </c>
      <c r="L1001" s="9">
        <v>1</v>
      </c>
      <c r="M1001" s="9">
        <v>1</v>
      </c>
    </row>
    <row r="1002" spans="1:13">
      <c r="A1002" s="6">
        <v>43503</v>
      </c>
      <c r="B1002" s="7">
        <v>0.61597222222222225</v>
      </c>
      <c r="C1002" s="9" t="str">
        <f>"FES1162671806"</f>
        <v>FES1162671806</v>
      </c>
      <c r="D1002" s="9" t="s">
        <v>18</v>
      </c>
      <c r="E1002" s="9" t="s">
        <v>366</v>
      </c>
      <c r="F1002" s="9" t="str">
        <f>"2170671208 "</f>
        <v xml:space="preserve">2170671208 </v>
      </c>
      <c r="G1002" s="9" t="str">
        <f t="shared" si="35"/>
        <v>ON1</v>
      </c>
      <c r="H1002" s="9" t="s">
        <v>20</v>
      </c>
      <c r="I1002" s="9" t="s">
        <v>367</v>
      </c>
      <c r="J1002" s="9" t="str">
        <f>""</f>
        <v/>
      </c>
      <c r="K1002" s="9" t="str">
        <f>"PFES1162671806_0001"</f>
        <v>PFES1162671806_0001</v>
      </c>
      <c r="L1002" s="9">
        <v>1</v>
      </c>
      <c r="M1002" s="9">
        <v>1</v>
      </c>
    </row>
    <row r="1003" spans="1:13">
      <c r="A1003" s="6">
        <v>43503</v>
      </c>
      <c r="B1003" s="7">
        <v>0.61597222222222225</v>
      </c>
      <c r="C1003" s="9" t="str">
        <f>"FES1162671744"</f>
        <v>FES1162671744</v>
      </c>
      <c r="D1003" s="9" t="s">
        <v>18</v>
      </c>
      <c r="E1003" s="9" t="s">
        <v>649</v>
      </c>
      <c r="F1003" s="9" t="str">
        <f>"2170668678 "</f>
        <v xml:space="preserve">2170668678 </v>
      </c>
      <c r="G1003" s="9" t="str">
        <f t="shared" si="35"/>
        <v>ON1</v>
      </c>
      <c r="H1003" s="9" t="s">
        <v>20</v>
      </c>
      <c r="I1003" s="9" t="s">
        <v>650</v>
      </c>
      <c r="J1003" s="9" t="str">
        <f>""</f>
        <v/>
      </c>
      <c r="K1003" s="9" t="str">
        <f>"PFES1162671744_0001"</f>
        <v>PFES1162671744_0001</v>
      </c>
      <c r="L1003" s="9">
        <v>1</v>
      </c>
      <c r="M1003" s="9">
        <v>1</v>
      </c>
    </row>
    <row r="1004" spans="1:13">
      <c r="A1004" s="6">
        <v>43503</v>
      </c>
      <c r="B1004" s="7">
        <v>0.61527777777777781</v>
      </c>
      <c r="C1004" s="9" t="str">
        <f>"FES1162671762"</f>
        <v>FES1162671762</v>
      </c>
      <c r="D1004" s="9" t="s">
        <v>18</v>
      </c>
      <c r="E1004" s="9" t="s">
        <v>629</v>
      </c>
      <c r="F1004" s="9" t="str">
        <f>"2170673028 "</f>
        <v xml:space="preserve">2170673028 </v>
      </c>
      <c r="G1004" s="9" t="str">
        <f t="shared" si="35"/>
        <v>ON1</v>
      </c>
      <c r="H1004" s="9" t="s">
        <v>20</v>
      </c>
      <c r="I1004" s="9" t="s">
        <v>420</v>
      </c>
      <c r="J1004" s="9" t="str">
        <f>""</f>
        <v/>
      </c>
      <c r="K1004" s="9" t="str">
        <f>"PFES1162671762_0001"</f>
        <v>PFES1162671762_0001</v>
      </c>
      <c r="L1004" s="9">
        <v>1</v>
      </c>
      <c r="M1004" s="9">
        <v>1</v>
      </c>
    </row>
    <row r="1005" spans="1:13">
      <c r="A1005" s="6">
        <v>43503</v>
      </c>
      <c r="B1005" s="7">
        <v>0.61527777777777781</v>
      </c>
      <c r="C1005" s="9" t="str">
        <f>"FES1162671796"</f>
        <v>FES1162671796</v>
      </c>
      <c r="D1005" s="9" t="s">
        <v>18</v>
      </c>
      <c r="E1005" s="9" t="s">
        <v>651</v>
      </c>
      <c r="F1005" s="9" t="str">
        <f>"2170671108 "</f>
        <v xml:space="preserve">2170671108 </v>
      </c>
      <c r="G1005" s="9" t="str">
        <f t="shared" si="35"/>
        <v>ON1</v>
      </c>
      <c r="H1005" s="9" t="s">
        <v>20</v>
      </c>
      <c r="I1005" s="9" t="s">
        <v>396</v>
      </c>
      <c r="J1005" s="9" t="str">
        <f>""</f>
        <v/>
      </c>
      <c r="K1005" s="9" t="str">
        <f>"PFES1162671796_0001"</f>
        <v>PFES1162671796_0001</v>
      </c>
      <c r="L1005" s="9">
        <v>1</v>
      </c>
      <c r="M1005" s="9">
        <v>1</v>
      </c>
    </row>
    <row r="1006" spans="1:13">
      <c r="A1006" s="6">
        <v>43503</v>
      </c>
      <c r="B1006" s="7">
        <v>0.61527777777777781</v>
      </c>
      <c r="C1006" s="9" t="str">
        <f>"FES1162671743"</f>
        <v>FES1162671743</v>
      </c>
      <c r="D1006" s="9" t="s">
        <v>18</v>
      </c>
      <c r="E1006" s="9" t="s">
        <v>652</v>
      </c>
      <c r="F1006" s="9" t="str">
        <f>"2170668511 "</f>
        <v xml:space="preserve">2170668511 </v>
      </c>
      <c r="G1006" s="9" t="str">
        <f t="shared" si="35"/>
        <v>ON1</v>
      </c>
      <c r="H1006" s="9" t="s">
        <v>20</v>
      </c>
      <c r="I1006" s="9" t="s">
        <v>653</v>
      </c>
      <c r="J1006" s="9" t="str">
        <f>""</f>
        <v/>
      </c>
      <c r="K1006" s="9" t="str">
        <f>"PFES1162671743_0001"</f>
        <v>PFES1162671743_0001</v>
      </c>
      <c r="L1006" s="9">
        <v>1</v>
      </c>
      <c r="M1006" s="9">
        <v>1</v>
      </c>
    </row>
    <row r="1007" spans="1:13">
      <c r="A1007" s="6">
        <v>43503</v>
      </c>
      <c r="B1007" s="7">
        <v>0.61458333333333337</v>
      </c>
      <c r="C1007" s="9" t="str">
        <f>"FES1162671710"</f>
        <v>FES1162671710</v>
      </c>
      <c r="D1007" s="9" t="s">
        <v>18</v>
      </c>
      <c r="E1007" s="9" t="s">
        <v>426</v>
      </c>
      <c r="F1007" s="9" t="str">
        <f>"2170673035 "</f>
        <v xml:space="preserve">2170673035 </v>
      </c>
      <c r="G1007" s="9" t="str">
        <f t="shared" si="35"/>
        <v>ON1</v>
      </c>
      <c r="H1007" s="9" t="s">
        <v>20</v>
      </c>
      <c r="I1007" s="9" t="s">
        <v>29</v>
      </c>
      <c r="J1007" s="9" t="str">
        <f>""</f>
        <v/>
      </c>
      <c r="K1007" s="9" t="str">
        <f>"PFES1162671710_0001"</f>
        <v>PFES1162671710_0001</v>
      </c>
      <c r="L1007" s="9">
        <v>1</v>
      </c>
      <c r="M1007" s="9">
        <v>3</v>
      </c>
    </row>
    <row r="1008" spans="1:13">
      <c r="A1008" s="6">
        <v>43503</v>
      </c>
      <c r="B1008" s="7">
        <v>0.61458333333333337</v>
      </c>
      <c r="C1008" s="9" t="str">
        <f>"FES1162671782"</f>
        <v>FES1162671782</v>
      </c>
      <c r="D1008" s="9" t="s">
        <v>18</v>
      </c>
      <c r="E1008" s="9" t="s">
        <v>249</v>
      </c>
      <c r="F1008" s="9" t="str">
        <f>"2170670989 "</f>
        <v xml:space="preserve">2170670989 </v>
      </c>
      <c r="G1008" s="9" t="str">
        <f t="shared" si="35"/>
        <v>ON1</v>
      </c>
      <c r="H1008" s="9" t="s">
        <v>20</v>
      </c>
      <c r="I1008" s="9" t="s">
        <v>29</v>
      </c>
      <c r="J1008" s="9" t="str">
        <f>""</f>
        <v/>
      </c>
      <c r="K1008" s="9" t="str">
        <f>"PFES1162671782_0001"</f>
        <v>PFES1162671782_0001</v>
      </c>
      <c r="L1008" s="9">
        <v>1</v>
      </c>
      <c r="M1008" s="9">
        <v>1</v>
      </c>
    </row>
    <row r="1009" spans="1:13">
      <c r="A1009" s="6">
        <v>43503</v>
      </c>
      <c r="B1009" s="7">
        <v>0.61458333333333337</v>
      </c>
      <c r="C1009" s="9" t="str">
        <f>"FES1162671769"</f>
        <v>FES1162671769</v>
      </c>
      <c r="D1009" s="9" t="s">
        <v>18</v>
      </c>
      <c r="E1009" s="9" t="s">
        <v>623</v>
      </c>
      <c r="F1009" s="9" t="str">
        <f>"2170669616 "</f>
        <v xml:space="preserve">2170669616 </v>
      </c>
      <c r="G1009" s="9" t="str">
        <f t="shared" si="35"/>
        <v>ON1</v>
      </c>
      <c r="H1009" s="9" t="s">
        <v>20</v>
      </c>
      <c r="I1009" s="9" t="s">
        <v>429</v>
      </c>
      <c r="J1009" s="9" t="str">
        <f>""</f>
        <v/>
      </c>
      <c r="K1009" s="9" t="str">
        <f>"PFES1162671769_0001"</f>
        <v>PFES1162671769_0001</v>
      </c>
      <c r="L1009" s="9">
        <v>1</v>
      </c>
      <c r="M1009" s="9">
        <v>1</v>
      </c>
    </row>
    <row r="1010" spans="1:13">
      <c r="A1010" s="6">
        <v>43503</v>
      </c>
      <c r="B1010" s="7">
        <v>0.61458333333333337</v>
      </c>
      <c r="C1010" s="9" t="str">
        <f>"FES1162671748"</f>
        <v>FES1162671748</v>
      </c>
      <c r="D1010" s="9" t="s">
        <v>18</v>
      </c>
      <c r="E1010" s="9" t="s">
        <v>654</v>
      </c>
      <c r="F1010" s="9" t="str">
        <f>"2170669616 "</f>
        <v xml:space="preserve">2170669616 </v>
      </c>
      <c r="G1010" s="9" t="str">
        <f t="shared" si="35"/>
        <v>ON1</v>
      </c>
      <c r="H1010" s="9" t="s">
        <v>20</v>
      </c>
      <c r="I1010" s="9" t="s">
        <v>655</v>
      </c>
      <c r="J1010" s="9" t="str">
        <f>""</f>
        <v/>
      </c>
      <c r="K1010" s="9" t="str">
        <f>"PFES1162671748_0001"</f>
        <v>PFES1162671748_0001</v>
      </c>
      <c r="L1010" s="9">
        <v>1</v>
      </c>
      <c r="M1010" s="9">
        <v>1</v>
      </c>
    </row>
    <row r="1011" spans="1:13">
      <c r="A1011" s="6">
        <v>43503</v>
      </c>
      <c r="B1011" s="7">
        <v>0.61249999999999993</v>
      </c>
      <c r="C1011" s="9" t="str">
        <f>"FES1162671700"</f>
        <v>FES1162671700</v>
      </c>
      <c r="D1011" s="9" t="s">
        <v>18</v>
      </c>
      <c r="E1011" s="9" t="s">
        <v>179</v>
      </c>
      <c r="F1011" s="9" t="str">
        <f>"2170673021 "</f>
        <v xml:space="preserve">2170673021 </v>
      </c>
      <c r="G1011" s="9" t="str">
        <f t="shared" si="35"/>
        <v>ON1</v>
      </c>
      <c r="H1011" s="9" t="s">
        <v>20</v>
      </c>
      <c r="I1011" s="9" t="s">
        <v>59</v>
      </c>
      <c r="J1011" s="9" t="str">
        <f>""</f>
        <v/>
      </c>
      <c r="K1011" s="9" t="str">
        <f>"PFES1162671700_0001"</f>
        <v>PFES1162671700_0001</v>
      </c>
      <c r="L1011" s="9">
        <v>1</v>
      </c>
      <c r="M1011" s="9">
        <v>2</v>
      </c>
    </row>
    <row r="1012" spans="1:13">
      <c r="A1012" s="6">
        <v>43503</v>
      </c>
      <c r="B1012" s="7">
        <v>0.61111111111111105</v>
      </c>
      <c r="C1012" s="9" t="str">
        <f>"FES1162671841"</f>
        <v>FES1162671841</v>
      </c>
      <c r="D1012" s="9" t="s">
        <v>18</v>
      </c>
      <c r="E1012" s="9" t="s">
        <v>253</v>
      </c>
      <c r="F1012" s="9" t="str">
        <f>"2170671524 "</f>
        <v xml:space="preserve">2170671524 </v>
      </c>
      <c r="G1012" s="9" t="str">
        <f>"DBC"</f>
        <v>DBC</v>
      </c>
      <c r="H1012" s="9" t="s">
        <v>20</v>
      </c>
      <c r="I1012" s="9" t="s">
        <v>226</v>
      </c>
      <c r="J1012" s="9" t="str">
        <f>""</f>
        <v/>
      </c>
      <c r="K1012" s="9" t="str">
        <f>"PFES1162671841_0001"</f>
        <v>PFES1162671841_0001</v>
      </c>
      <c r="L1012" s="9">
        <v>1</v>
      </c>
      <c r="M1012" s="9">
        <v>20</v>
      </c>
    </row>
    <row r="1013" spans="1:13">
      <c r="A1013" s="6">
        <v>43503</v>
      </c>
      <c r="B1013" s="7">
        <v>0.61041666666666672</v>
      </c>
      <c r="C1013" s="9" t="str">
        <f>"FES1162671924"</f>
        <v>FES1162671924</v>
      </c>
      <c r="D1013" s="9" t="s">
        <v>18</v>
      </c>
      <c r="E1013" s="9" t="s">
        <v>178</v>
      </c>
      <c r="F1013" s="9" t="str">
        <f>"2170673175 "</f>
        <v xml:space="preserve">2170673175 </v>
      </c>
      <c r="G1013" s="9" t="str">
        <f t="shared" ref="G1013:G1034" si="36">"ON1"</f>
        <v>ON1</v>
      </c>
      <c r="H1013" s="9" t="s">
        <v>20</v>
      </c>
      <c r="I1013" s="9" t="s">
        <v>390</v>
      </c>
      <c r="J1013" s="9" t="str">
        <f>""</f>
        <v/>
      </c>
      <c r="K1013" s="9" t="str">
        <f>"PFES1162671924_0001"</f>
        <v>PFES1162671924_0001</v>
      </c>
      <c r="L1013" s="9">
        <v>1</v>
      </c>
      <c r="M1013" s="9">
        <v>1</v>
      </c>
    </row>
    <row r="1014" spans="1:13">
      <c r="A1014" s="6">
        <v>43503</v>
      </c>
      <c r="B1014" s="7">
        <v>0.61041666666666672</v>
      </c>
      <c r="C1014" s="9" t="str">
        <f>"FES1162671851"</f>
        <v>FES1162671851</v>
      </c>
      <c r="D1014" s="9" t="s">
        <v>18</v>
      </c>
      <c r="E1014" s="9" t="s">
        <v>144</v>
      </c>
      <c r="F1014" s="9" t="str">
        <f>"2170673073 "</f>
        <v xml:space="preserve">2170673073 </v>
      </c>
      <c r="G1014" s="9" t="str">
        <f t="shared" si="36"/>
        <v>ON1</v>
      </c>
      <c r="H1014" s="9" t="s">
        <v>20</v>
      </c>
      <c r="I1014" s="9" t="s">
        <v>145</v>
      </c>
      <c r="J1014" s="9" t="str">
        <f>""</f>
        <v/>
      </c>
      <c r="K1014" s="9" t="str">
        <f>"PFES1162671851_0001"</f>
        <v>PFES1162671851_0001</v>
      </c>
      <c r="L1014" s="9">
        <v>1</v>
      </c>
      <c r="M1014" s="9">
        <v>1</v>
      </c>
    </row>
    <row r="1015" spans="1:13">
      <c r="A1015" s="6">
        <v>43503</v>
      </c>
      <c r="B1015" s="7">
        <v>0.60972222222222217</v>
      </c>
      <c r="C1015" s="9" t="str">
        <f>"FES1162671727"</f>
        <v>FES1162671727</v>
      </c>
      <c r="D1015" s="9" t="s">
        <v>18</v>
      </c>
      <c r="E1015" s="9" t="s">
        <v>656</v>
      </c>
      <c r="F1015" s="9" t="str">
        <f>"2170672944 "</f>
        <v xml:space="preserve">2170672944 </v>
      </c>
      <c r="G1015" s="9" t="str">
        <f t="shared" si="36"/>
        <v>ON1</v>
      </c>
      <c r="H1015" s="9" t="s">
        <v>20</v>
      </c>
      <c r="I1015" s="9" t="s">
        <v>197</v>
      </c>
      <c r="J1015" s="9" t="str">
        <f>""</f>
        <v/>
      </c>
      <c r="K1015" s="9" t="str">
        <f>"PFES1162671727_0001"</f>
        <v>PFES1162671727_0001</v>
      </c>
      <c r="L1015" s="9">
        <v>1</v>
      </c>
      <c r="M1015" s="9">
        <v>1</v>
      </c>
    </row>
    <row r="1016" spans="1:13">
      <c r="A1016" s="6">
        <v>43503</v>
      </c>
      <c r="B1016" s="7">
        <v>0.60833333333333328</v>
      </c>
      <c r="C1016" s="9" t="str">
        <f>"FES1162671792"</f>
        <v>FES1162671792</v>
      </c>
      <c r="D1016" s="9" t="s">
        <v>18</v>
      </c>
      <c r="E1016" s="9" t="s">
        <v>64</v>
      </c>
      <c r="F1016" s="9" t="str">
        <f>"2170671064 "</f>
        <v xml:space="preserve">2170671064 </v>
      </c>
      <c r="G1016" s="9" t="str">
        <f t="shared" si="36"/>
        <v>ON1</v>
      </c>
      <c r="H1016" s="9" t="s">
        <v>20</v>
      </c>
      <c r="I1016" s="9" t="s">
        <v>65</v>
      </c>
      <c r="J1016" s="9" t="str">
        <f>""</f>
        <v/>
      </c>
      <c r="K1016" s="9" t="str">
        <f>"PFES1162671792_0001"</f>
        <v>PFES1162671792_0001</v>
      </c>
      <c r="L1016" s="9">
        <v>1</v>
      </c>
      <c r="M1016" s="9">
        <v>1</v>
      </c>
    </row>
    <row r="1017" spans="1:13">
      <c r="A1017" s="6">
        <v>43503</v>
      </c>
      <c r="B1017" s="7">
        <v>0.60833333333333328</v>
      </c>
      <c r="C1017" s="9" t="str">
        <f>"FES1162671783"</f>
        <v>FES1162671783</v>
      </c>
      <c r="D1017" s="9" t="s">
        <v>18</v>
      </c>
      <c r="E1017" s="9" t="s">
        <v>146</v>
      </c>
      <c r="F1017" s="9" t="str">
        <f>"2170670990 "</f>
        <v xml:space="preserve">2170670990 </v>
      </c>
      <c r="G1017" s="9" t="str">
        <f t="shared" si="36"/>
        <v>ON1</v>
      </c>
      <c r="H1017" s="9" t="s">
        <v>20</v>
      </c>
      <c r="I1017" s="9" t="s">
        <v>147</v>
      </c>
      <c r="J1017" s="9" t="str">
        <f>""</f>
        <v/>
      </c>
      <c r="K1017" s="9" t="str">
        <f>"PFES1162671783_0001"</f>
        <v>PFES1162671783_0001</v>
      </c>
      <c r="L1017" s="9">
        <v>1</v>
      </c>
      <c r="M1017" s="9">
        <v>1</v>
      </c>
    </row>
    <row r="1018" spans="1:13">
      <c r="A1018" s="6">
        <v>43503</v>
      </c>
      <c r="B1018" s="7">
        <v>0.60763888888888895</v>
      </c>
      <c r="C1018" s="9" t="str">
        <f>"FES1162671869"</f>
        <v>FES1162671869</v>
      </c>
      <c r="D1018" s="9" t="s">
        <v>18</v>
      </c>
      <c r="E1018" s="9" t="s">
        <v>58</v>
      </c>
      <c r="F1018" s="9" t="str">
        <f>"2170673096 "</f>
        <v xml:space="preserve">2170673096 </v>
      </c>
      <c r="G1018" s="9" t="str">
        <f t="shared" si="36"/>
        <v>ON1</v>
      </c>
      <c r="H1018" s="9" t="s">
        <v>20</v>
      </c>
      <c r="I1018" s="9" t="s">
        <v>59</v>
      </c>
      <c r="J1018" s="9" t="str">
        <f>""</f>
        <v/>
      </c>
      <c r="K1018" s="9" t="str">
        <f>"PFES1162671869_0001"</f>
        <v>PFES1162671869_0001</v>
      </c>
      <c r="L1018" s="9">
        <v>1</v>
      </c>
      <c r="M1018" s="9">
        <v>1</v>
      </c>
    </row>
    <row r="1019" spans="1:13">
      <c r="A1019" s="6">
        <v>43503</v>
      </c>
      <c r="B1019" s="7">
        <v>0.60763888888888895</v>
      </c>
      <c r="C1019" s="9" t="str">
        <f>"FES1162671775"</f>
        <v>FES1162671775</v>
      </c>
      <c r="D1019" s="9" t="s">
        <v>18</v>
      </c>
      <c r="E1019" s="9" t="s">
        <v>503</v>
      </c>
      <c r="F1019" s="9" t="str">
        <f>"2170670258 "</f>
        <v xml:space="preserve">2170670258 </v>
      </c>
      <c r="G1019" s="9" t="str">
        <f t="shared" si="36"/>
        <v>ON1</v>
      </c>
      <c r="H1019" s="9" t="s">
        <v>20</v>
      </c>
      <c r="I1019" s="9" t="s">
        <v>504</v>
      </c>
      <c r="J1019" s="9" t="str">
        <f>""</f>
        <v/>
      </c>
      <c r="K1019" s="9" t="str">
        <f>"PFES1162671775_0001"</f>
        <v>PFES1162671775_0001</v>
      </c>
      <c r="L1019" s="9">
        <v>1</v>
      </c>
      <c r="M1019" s="9">
        <v>1</v>
      </c>
    </row>
    <row r="1020" spans="1:13">
      <c r="A1020" s="6">
        <v>43503</v>
      </c>
      <c r="B1020" s="7">
        <v>0.6069444444444444</v>
      </c>
      <c r="C1020" s="9" t="str">
        <f>"FES1162671734"</f>
        <v>FES1162671734</v>
      </c>
      <c r="D1020" s="9" t="s">
        <v>18</v>
      </c>
      <c r="E1020" s="9" t="s">
        <v>179</v>
      </c>
      <c r="F1020" s="9" t="str">
        <f>"217063056 "</f>
        <v xml:space="preserve">217063056 </v>
      </c>
      <c r="G1020" s="9" t="str">
        <f t="shared" si="36"/>
        <v>ON1</v>
      </c>
      <c r="H1020" s="9" t="s">
        <v>20</v>
      </c>
      <c r="I1020" s="9" t="s">
        <v>59</v>
      </c>
      <c r="J1020" s="9" t="str">
        <f>""</f>
        <v/>
      </c>
      <c r="K1020" s="9" t="str">
        <f>"PFES1162671734_0001"</f>
        <v>PFES1162671734_0001</v>
      </c>
      <c r="L1020" s="9">
        <v>1</v>
      </c>
      <c r="M1020" s="9">
        <v>1</v>
      </c>
    </row>
    <row r="1021" spans="1:13">
      <c r="A1021" s="6">
        <v>43503</v>
      </c>
      <c r="B1021" s="7">
        <v>0.6069444444444444</v>
      </c>
      <c r="C1021" s="9" t="str">
        <f>"FES1162671723"</f>
        <v>FES1162671723</v>
      </c>
      <c r="D1021" s="9" t="s">
        <v>18</v>
      </c>
      <c r="E1021" s="9" t="s">
        <v>657</v>
      </c>
      <c r="F1021" s="9" t="str">
        <f>"2170672911 "</f>
        <v xml:space="preserve">2170672911 </v>
      </c>
      <c r="G1021" s="9" t="str">
        <f t="shared" si="36"/>
        <v>ON1</v>
      </c>
      <c r="H1021" s="9" t="s">
        <v>20</v>
      </c>
      <c r="I1021" s="9" t="s">
        <v>658</v>
      </c>
      <c r="J1021" s="9" t="str">
        <f>""</f>
        <v/>
      </c>
      <c r="K1021" s="9" t="str">
        <f>"PFES1162671723_0001"</f>
        <v>PFES1162671723_0001</v>
      </c>
      <c r="L1021" s="9">
        <v>1</v>
      </c>
      <c r="M1021" s="9">
        <v>1</v>
      </c>
    </row>
    <row r="1022" spans="1:13">
      <c r="A1022" s="6">
        <v>43503</v>
      </c>
      <c r="B1022" s="7">
        <v>0.60555555555555551</v>
      </c>
      <c r="C1022" s="9" t="str">
        <f>"FES1162671854"</f>
        <v>FES1162671854</v>
      </c>
      <c r="D1022" s="9" t="s">
        <v>18</v>
      </c>
      <c r="E1022" s="9" t="s">
        <v>634</v>
      </c>
      <c r="F1022" s="9" t="str">
        <f>"2170673077 "</f>
        <v xml:space="preserve">2170673077 </v>
      </c>
      <c r="G1022" s="9" t="str">
        <f t="shared" si="36"/>
        <v>ON1</v>
      </c>
      <c r="H1022" s="9" t="s">
        <v>20</v>
      </c>
      <c r="I1022" s="9" t="s">
        <v>635</v>
      </c>
      <c r="J1022" s="9" t="str">
        <f>""</f>
        <v/>
      </c>
      <c r="K1022" s="9" t="str">
        <f>"PFES1162671854_0001"</f>
        <v>PFES1162671854_0001</v>
      </c>
      <c r="L1022" s="9">
        <v>1</v>
      </c>
      <c r="M1022" s="9">
        <v>4</v>
      </c>
    </row>
    <row r="1023" spans="1:13">
      <c r="A1023" s="6">
        <v>43503</v>
      </c>
      <c r="B1023" s="7">
        <v>0.60555555555555551</v>
      </c>
      <c r="C1023" s="9" t="str">
        <f>"FES1162671842"</f>
        <v>FES1162671842</v>
      </c>
      <c r="D1023" s="9" t="s">
        <v>18</v>
      </c>
      <c r="E1023" s="9" t="s">
        <v>64</v>
      </c>
      <c r="F1023" s="9" t="str">
        <f>"2170671557 "</f>
        <v xml:space="preserve">2170671557 </v>
      </c>
      <c r="G1023" s="9" t="str">
        <f t="shared" si="36"/>
        <v>ON1</v>
      </c>
      <c r="H1023" s="9" t="s">
        <v>20</v>
      </c>
      <c r="I1023" s="9" t="s">
        <v>65</v>
      </c>
      <c r="J1023" s="9" t="str">
        <f>""</f>
        <v/>
      </c>
      <c r="K1023" s="9" t="str">
        <f>"PFES1162671842_0001"</f>
        <v>PFES1162671842_0001</v>
      </c>
      <c r="L1023" s="9">
        <v>1</v>
      </c>
      <c r="M1023" s="9">
        <v>1</v>
      </c>
    </row>
    <row r="1024" spans="1:13">
      <c r="A1024" s="6">
        <v>43503</v>
      </c>
      <c r="B1024" s="7">
        <v>0.60486111111111118</v>
      </c>
      <c r="C1024" s="9" t="str">
        <f>"FES1162671860"</f>
        <v>FES1162671860</v>
      </c>
      <c r="D1024" s="9" t="s">
        <v>18</v>
      </c>
      <c r="E1024" s="9" t="s">
        <v>323</v>
      </c>
      <c r="F1024" s="9" t="str">
        <f>"2170673083 "</f>
        <v xml:space="preserve">2170673083 </v>
      </c>
      <c r="G1024" s="9" t="str">
        <f t="shared" si="36"/>
        <v>ON1</v>
      </c>
      <c r="H1024" s="9" t="s">
        <v>20</v>
      </c>
      <c r="I1024" s="9" t="s">
        <v>324</v>
      </c>
      <c r="J1024" s="9" t="str">
        <f>""</f>
        <v/>
      </c>
      <c r="K1024" s="9" t="str">
        <f>"PFES1162671860_0001"</f>
        <v>PFES1162671860_0001</v>
      </c>
      <c r="L1024" s="9">
        <v>1</v>
      </c>
      <c r="M1024" s="9">
        <v>1</v>
      </c>
    </row>
    <row r="1025" spans="1:13">
      <c r="A1025" s="6">
        <v>43503</v>
      </c>
      <c r="B1025" s="7">
        <v>0.60486111111111118</v>
      </c>
      <c r="C1025" s="9" t="str">
        <f>"FES1162671766"</f>
        <v>FES1162671766</v>
      </c>
      <c r="D1025" s="9" t="s">
        <v>18</v>
      </c>
      <c r="E1025" s="9" t="s">
        <v>19</v>
      </c>
      <c r="F1025" s="9" t="str">
        <f>"2170673063 "</f>
        <v xml:space="preserve">2170673063 </v>
      </c>
      <c r="G1025" s="9" t="str">
        <f t="shared" si="36"/>
        <v>ON1</v>
      </c>
      <c r="H1025" s="9" t="s">
        <v>20</v>
      </c>
      <c r="I1025" s="9" t="s">
        <v>21</v>
      </c>
      <c r="J1025" s="9" t="str">
        <f>""</f>
        <v/>
      </c>
      <c r="K1025" s="9" t="str">
        <f>"PFES1162671766_0001"</f>
        <v>PFES1162671766_0001</v>
      </c>
      <c r="L1025" s="9">
        <v>1</v>
      </c>
      <c r="M1025" s="9">
        <v>1</v>
      </c>
    </row>
    <row r="1026" spans="1:13">
      <c r="A1026" s="6">
        <v>43503</v>
      </c>
      <c r="B1026" s="7">
        <v>0.60486111111111118</v>
      </c>
      <c r="C1026" s="9" t="str">
        <f>"FES1162671685"</f>
        <v>FES1162671685</v>
      </c>
      <c r="D1026" s="9" t="s">
        <v>18</v>
      </c>
      <c r="E1026" s="9" t="s">
        <v>200</v>
      </c>
      <c r="F1026" s="9" t="str">
        <f>"2170670451 "</f>
        <v xml:space="preserve">2170670451 </v>
      </c>
      <c r="G1026" s="9" t="str">
        <f t="shared" si="36"/>
        <v>ON1</v>
      </c>
      <c r="H1026" s="9" t="s">
        <v>20</v>
      </c>
      <c r="I1026" s="9" t="s">
        <v>201</v>
      </c>
      <c r="J1026" s="9" t="str">
        <f>""</f>
        <v/>
      </c>
      <c r="K1026" s="9" t="str">
        <f>"PFES1162671685_0001"</f>
        <v>PFES1162671685_0001</v>
      </c>
      <c r="L1026" s="9">
        <v>1</v>
      </c>
      <c r="M1026" s="9">
        <v>1</v>
      </c>
    </row>
    <row r="1027" spans="1:13">
      <c r="A1027" s="6">
        <v>43503</v>
      </c>
      <c r="B1027" s="7">
        <v>0.59027777777777779</v>
      </c>
      <c r="C1027" s="9" t="str">
        <f>"FES1162671894"</f>
        <v>FES1162671894</v>
      </c>
      <c r="D1027" s="9" t="s">
        <v>18</v>
      </c>
      <c r="E1027" s="9" t="s">
        <v>659</v>
      </c>
      <c r="F1027" s="9" t="str">
        <f>"2170673126 "</f>
        <v xml:space="preserve">2170673126 </v>
      </c>
      <c r="G1027" s="9" t="str">
        <f t="shared" si="36"/>
        <v>ON1</v>
      </c>
      <c r="H1027" s="9" t="s">
        <v>20</v>
      </c>
      <c r="I1027" s="9" t="s">
        <v>660</v>
      </c>
      <c r="J1027" s="9" t="str">
        <f>""</f>
        <v/>
      </c>
      <c r="K1027" s="9" t="str">
        <f>"PFES1162671894_0001"</f>
        <v>PFES1162671894_0001</v>
      </c>
      <c r="L1027" s="9">
        <v>1</v>
      </c>
      <c r="M1027" s="9">
        <v>2</v>
      </c>
    </row>
    <row r="1028" spans="1:13">
      <c r="A1028" s="6">
        <v>43503</v>
      </c>
      <c r="B1028" s="7">
        <v>0.58958333333333335</v>
      </c>
      <c r="C1028" s="9" t="str">
        <f>"FES1162671914"</f>
        <v>FES1162671914</v>
      </c>
      <c r="D1028" s="9" t="s">
        <v>18</v>
      </c>
      <c r="E1028" s="9" t="s">
        <v>138</v>
      </c>
      <c r="F1028" s="9" t="str">
        <f>"2170673164 "</f>
        <v xml:space="preserve">2170673164 </v>
      </c>
      <c r="G1028" s="9" t="str">
        <f t="shared" si="36"/>
        <v>ON1</v>
      </c>
      <c r="H1028" s="9" t="s">
        <v>20</v>
      </c>
      <c r="I1028" s="9" t="s">
        <v>139</v>
      </c>
      <c r="J1028" s="9" t="str">
        <f>""</f>
        <v/>
      </c>
      <c r="K1028" s="9" t="str">
        <f>"PFES1162671914_0001"</f>
        <v>PFES1162671914_0001</v>
      </c>
      <c r="L1028" s="9">
        <v>1</v>
      </c>
      <c r="M1028" s="9">
        <v>1</v>
      </c>
    </row>
    <row r="1029" spans="1:13">
      <c r="A1029" s="6">
        <v>43503</v>
      </c>
      <c r="B1029" s="7">
        <v>0.58958333333333335</v>
      </c>
      <c r="C1029" s="9" t="str">
        <f>"FES1162671899"</f>
        <v>FES1162671899</v>
      </c>
      <c r="D1029" s="9" t="s">
        <v>18</v>
      </c>
      <c r="E1029" s="9" t="s">
        <v>160</v>
      </c>
      <c r="F1029" s="9" t="str">
        <f>"2170673137 "</f>
        <v xml:space="preserve">2170673137 </v>
      </c>
      <c r="G1029" s="9" t="str">
        <f t="shared" si="36"/>
        <v>ON1</v>
      </c>
      <c r="H1029" s="9" t="s">
        <v>20</v>
      </c>
      <c r="I1029" s="9" t="s">
        <v>161</v>
      </c>
      <c r="J1029" s="9" t="str">
        <f>""</f>
        <v/>
      </c>
      <c r="K1029" s="9" t="str">
        <f>"PFES1162671899_0001"</f>
        <v>PFES1162671899_0001</v>
      </c>
      <c r="L1029" s="9">
        <v>1</v>
      </c>
      <c r="M1029" s="9">
        <v>1</v>
      </c>
    </row>
    <row r="1030" spans="1:13">
      <c r="A1030" s="6">
        <v>43503</v>
      </c>
      <c r="B1030" s="7">
        <v>0.58888888888888891</v>
      </c>
      <c r="C1030" s="9" t="str">
        <f>"FES1162671864"</f>
        <v>FES1162671864</v>
      </c>
      <c r="D1030" s="9" t="s">
        <v>18</v>
      </c>
      <c r="E1030" s="9" t="s">
        <v>661</v>
      </c>
      <c r="F1030" s="9" t="str">
        <f>"2170673089 "</f>
        <v xml:space="preserve">2170673089 </v>
      </c>
      <c r="G1030" s="9" t="str">
        <f t="shared" si="36"/>
        <v>ON1</v>
      </c>
      <c r="H1030" s="9" t="s">
        <v>20</v>
      </c>
      <c r="I1030" s="9" t="s">
        <v>539</v>
      </c>
      <c r="J1030" s="9" t="str">
        <f>""</f>
        <v/>
      </c>
      <c r="K1030" s="9" t="str">
        <f>"PFES1162671864_0001"</f>
        <v>PFES1162671864_0001</v>
      </c>
      <c r="L1030" s="9">
        <v>1</v>
      </c>
      <c r="M1030" s="9">
        <v>1</v>
      </c>
    </row>
    <row r="1031" spans="1:13">
      <c r="A1031" s="6">
        <v>43503</v>
      </c>
      <c r="B1031" s="7">
        <v>0.58819444444444446</v>
      </c>
      <c r="C1031" s="9" t="str">
        <f>"FES1162671834"</f>
        <v>FES1162671834</v>
      </c>
      <c r="D1031" s="9" t="s">
        <v>18</v>
      </c>
      <c r="E1031" s="9" t="s">
        <v>662</v>
      </c>
      <c r="F1031" s="9" t="str">
        <f>"2170671503 "</f>
        <v xml:space="preserve">2170671503 </v>
      </c>
      <c r="G1031" s="9" t="str">
        <f t="shared" si="36"/>
        <v>ON1</v>
      </c>
      <c r="H1031" s="9" t="s">
        <v>20</v>
      </c>
      <c r="I1031" s="9" t="s">
        <v>663</v>
      </c>
      <c r="J1031" s="9" t="str">
        <f>""</f>
        <v/>
      </c>
      <c r="K1031" s="9" t="str">
        <f>"PFES1162671834_0001"</f>
        <v>PFES1162671834_0001</v>
      </c>
      <c r="L1031" s="9">
        <v>1</v>
      </c>
      <c r="M1031" s="9">
        <v>6</v>
      </c>
    </row>
    <row r="1032" spans="1:13">
      <c r="A1032" s="6">
        <v>43503</v>
      </c>
      <c r="B1032" s="7">
        <v>0.58680555555555558</v>
      </c>
      <c r="C1032" s="9" t="str">
        <f>"FES1162671733"</f>
        <v>FES1162671733</v>
      </c>
      <c r="D1032" s="9" t="s">
        <v>18</v>
      </c>
      <c r="E1032" s="9" t="s">
        <v>664</v>
      </c>
      <c r="F1032" s="9" t="str">
        <f>"2170673055 "</f>
        <v xml:space="preserve">2170673055 </v>
      </c>
      <c r="G1032" s="9" t="str">
        <f t="shared" si="36"/>
        <v>ON1</v>
      </c>
      <c r="H1032" s="9" t="s">
        <v>20</v>
      </c>
      <c r="I1032" s="9" t="s">
        <v>89</v>
      </c>
      <c r="J1032" s="9" t="str">
        <f>""</f>
        <v/>
      </c>
      <c r="K1032" s="9" t="str">
        <f>"PFES1162671733_0001"</f>
        <v>PFES1162671733_0001</v>
      </c>
      <c r="L1032" s="9">
        <v>1</v>
      </c>
      <c r="M1032" s="9">
        <v>4</v>
      </c>
    </row>
    <row r="1033" spans="1:13">
      <c r="A1033" s="6">
        <v>43503</v>
      </c>
      <c r="B1033" s="7">
        <v>0.58472222222222225</v>
      </c>
      <c r="C1033" s="9" t="str">
        <f>"FES1162671701"</f>
        <v>FES1162671701</v>
      </c>
      <c r="D1033" s="9" t="s">
        <v>18</v>
      </c>
      <c r="E1033" s="9" t="s">
        <v>150</v>
      </c>
      <c r="F1033" s="9" t="str">
        <f>"2170673024 "</f>
        <v xml:space="preserve">2170673024 </v>
      </c>
      <c r="G1033" s="9" t="str">
        <f t="shared" si="36"/>
        <v>ON1</v>
      </c>
      <c r="H1033" s="9" t="s">
        <v>20</v>
      </c>
      <c r="I1033" s="9" t="s">
        <v>137</v>
      </c>
      <c r="J1033" s="9" t="str">
        <f>""</f>
        <v/>
      </c>
      <c r="K1033" s="9" t="str">
        <f>"PFES1162671701_0001"</f>
        <v>PFES1162671701_0001</v>
      </c>
      <c r="L1033" s="9">
        <v>2</v>
      </c>
      <c r="M1033" s="9">
        <v>12</v>
      </c>
    </row>
    <row r="1034" spans="1:13">
      <c r="A1034" s="6">
        <v>43503</v>
      </c>
      <c r="B1034" s="7">
        <v>0.58472222222222225</v>
      </c>
      <c r="C1034" s="9" t="str">
        <f>"FES1162671701"</f>
        <v>FES1162671701</v>
      </c>
      <c r="D1034" s="9" t="s">
        <v>18</v>
      </c>
      <c r="E1034" s="9" t="s">
        <v>150</v>
      </c>
      <c r="F1034" s="9" t="str">
        <f>"2170673024 "</f>
        <v xml:space="preserve">2170673024 </v>
      </c>
      <c r="G1034" s="9" t="str">
        <f t="shared" si="36"/>
        <v>ON1</v>
      </c>
      <c r="H1034" s="9" t="s">
        <v>20</v>
      </c>
      <c r="I1034" s="9" t="s">
        <v>137</v>
      </c>
      <c r="J1034" s="9"/>
      <c r="K1034" s="9" t="str">
        <f>"PFES1162671701_0002"</f>
        <v>PFES1162671701_0002</v>
      </c>
      <c r="L1034" s="9">
        <v>2</v>
      </c>
      <c r="M1034" s="9">
        <v>12</v>
      </c>
    </row>
    <row r="1035" spans="1:13">
      <c r="A1035" s="6">
        <v>43503</v>
      </c>
      <c r="B1035" s="7">
        <v>0.58194444444444449</v>
      </c>
      <c r="C1035" s="9" t="str">
        <f>"FES1162671776"</f>
        <v>FES1162671776</v>
      </c>
      <c r="D1035" s="9" t="s">
        <v>18</v>
      </c>
      <c r="E1035" s="9" t="s">
        <v>151</v>
      </c>
      <c r="F1035" s="9" t="str">
        <f>"2170670381 "</f>
        <v xml:space="preserve">2170670381 </v>
      </c>
      <c r="G1035" s="9" t="str">
        <f>"ON1"</f>
        <v>ON1</v>
      </c>
      <c r="H1035" s="9" t="s">
        <v>20</v>
      </c>
      <c r="I1035" s="9" t="s">
        <v>63</v>
      </c>
      <c r="J1035" s="9" t="str">
        <f>""</f>
        <v/>
      </c>
      <c r="K1035" s="9" t="str">
        <f>"PFES1162671776_0001"</f>
        <v>PFES1162671776_0001</v>
      </c>
      <c r="L1035" s="9">
        <v>1</v>
      </c>
      <c r="M1035" s="9">
        <v>16</v>
      </c>
    </row>
    <row r="1036" spans="1:13">
      <c r="A1036" s="6">
        <v>43503</v>
      </c>
      <c r="B1036" s="7">
        <v>0.57986111111111105</v>
      </c>
      <c r="C1036" s="9" t="str">
        <f>"FES1162671696"</f>
        <v>FES1162671696</v>
      </c>
      <c r="D1036" s="9" t="s">
        <v>18</v>
      </c>
      <c r="E1036" s="9" t="s">
        <v>255</v>
      </c>
      <c r="F1036" s="9" t="str">
        <f>"2170673009 "</f>
        <v xml:space="preserve">2170673009 </v>
      </c>
      <c r="G1036" s="9" t="str">
        <f>"DBC"</f>
        <v>DBC</v>
      </c>
      <c r="H1036" s="9" t="s">
        <v>20</v>
      </c>
      <c r="I1036" s="9" t="s">
        <v>256</v>
      </c>
      <c r="J1036" s="9" t="str">
        <f>""</f>
        <v/>
      </c>
      <c r="K1036" s="9" t="str">
        <f>"PFES1162671696_0001"</f>
        <v>PFES1162671696_0001</v>
      </c>
      <c r="L1036" s="9">
        <v>1</v>
      </c>
      <c r="M1036" s="9">
        <v>25</v>
      </c>
    </row>
    <row r="1037" spans="1:13">
      <c r="A1037" s="6">
        <v>43503</v>
      </c>
      <c r="B1037" s="7">
        <v>0.57708333333333328</v>
      </c>
      <c r="C1037" s="9" t="str">
        <f>"009935723035"</f>
        <v>009935723035</v>
      </c>
      <c r="D1037" s="9" t="s">
        <v>18</v>
      </c>
      <c r="E1037" s="9" t="s">
        <v>267</v>
      </c>
      <c r="F1037" s="9" t="str">
        <f>"1162576438 "</f>
        <v xml:space="preserve">1162576438 </v>
      </c>
      <c r="G1037" s="9" t="str">
        <f>"ON1"</f>
        <v>ON1</v>
      </c>
      <c r="H1037" s="9" t="s">
        <v>20</v>
      </c>
      <c r="I1037" s="9" t="s">
        <v>268</v>
      </c>
      <c r="J1037" s="9" t="str">
        <f>"RE SEND PARCEL"</f>
        <v>RE SEND PARCEL</v>
      </c>
      <c r="K1037" s="9" t="str">
        <f>"P009935723035_0001"</f>
        <v>P009935723035_0001</v>
      </c>
      <c r="L1037" s="9">
        <v>1</v>
      </c>
      <c r="M1037" s="9">
        <v>3</v>
      </c>
    </row>
    <row r="1038" spans="1:13">
      <c r="A1038" s="6">
        <v>43503</v>
      </c>
      <c r="B1038" s="7">
        <v>0.5756944444444444</v>
      </c>
      <c r="C1038" s="9" t="str">
        <f>"009935723034"</f>
        <v>009935723034</v>
      </c>
      <c r="D1038" s="9" t="s">
        <v>18</v>
      </c>
      <c r="E1038" s="9" t="s">
        <v>665</v>
      </c>
      <c r="F1038" s="9" t="str">
        <f>"1162669229 "</f>
        <v xml:space="preserve">1162669229 </v>
      </c>
      <c r="G1038" s="9" t="str">
        <f>"ON1"</f>
        <v>ON1</v>
      </c>
      <c r="H1038" s="9" t="s">
        <v>20</v>
      </c>
      <c r="I1038" s="9" t="s">
        <v>561</v>
      </c>
      <c r="J1038" s="9" t="str">
        <f>"RE SEND PARCEL"</f>
        <v>RE SEND PARCEL</v>
      </c>
      <c r="K1038" s="9" t="str">
        <f>"P009935723034_0001"</f>
        <v>P009935723034_0001</v>
      </c>
      <c r="L1038" s="9">
        <v>1</v>
      </c>
      <c r="M1038" s="9">
        <v>5</v>
      </c>
    </row>
    <row r="1039" spans="1:13">
      <c r="A1039" s="6">
        <v>43503</v>
      </c>
      <c r="B1039" s="7">
        <v>0.57361111111111118</v>
      </c>
      <c r="C1039" s="9" t="str">
        <f>"FES1162671718"</f>
        <v>FES1162671718</v>
      </c>
      <c r="D1039" s="9" t="s">
        <v>18</v>
      </c>
      <c r="E1039" s="9" t="s">
        <v>666</v>
      </c>
      <c r="F1039" s="9" t="str">
        <f>"2170672988 "</f>
        <v xml:space="preserve">2170672988 </v>
      </c>
      <c r="G1039" s="9" t="str">
        <f>"ON1"</f>
        <v>ON1</v>
      </c>
      <c r="H1039" s="9" t="s">
        <v>20</v>
      </c>
      <c r="I1039" s="9" t="s">
        <v>655</v>
      </c>
      <c r="J1039" s="9" t="str">
        <f>""</f>
        <v/>
      </c>
      <c r="K1039" s="9" t="str">
        <f>"PFES1162671718_0001"</f>
        <v>PFES1162671718_0001</v>
      </c>
      <c r="L1039" s="9">
        <v>1</v>
      </c>
      <c r="M1039" s="9">
        <v>7</v>
      </c>
    </row>
    <row r="1040" spans="1:13">
      <c r="A1040" s="6">
        <v>43503</v>
      </c>
      <c r="B1040" s="7">
        <v>0.57222222222222219</v>
      </c>
      <c r="C1040" s="9" t="str">
        <f>"FES1162671872"</f>
        <v>FES1162671872</v>
      </c>
      <c r="D1040" s="9" t="s">
        <v>18</v>
      </c>
      <c r="E1040" s="9" t="s">
        <v>47</v>
      </c>
      <c r="F1040" s="9" t="str">
        <f>"2170666269 "</f>
        <v xml:space="preserve">2170666269 </v>
      </c>
      <c r="G1040" s="9" t="str">
        <f>"ON1"</f>
        <v>ON1</v>
      </c>
      <c r="H1040" s="9" t="s">
        <v>20</v>
      </c>
      <c r="I1040" s="9" t="s">
        <v>48</v>
      </c>
      <c r="J1040" s="9" t="str">
        <f>""</f>
        <v/>
      </c>
      <c r="K1040" s="9" t="str">
        <f>"PFES1162671872_0001"</f>
        <v>PFES1162671872_0001</v>
      </c>
      <c r="L1040" s="9">
        <v>2</v>
      </c>
      <c r="M1040" s="9">
        <v>8</v>
      </c>
    </row>
    <row r="1041" spans="1:13">
      <c r="A1041" s="6">
        <v>43503</v>
      </c>
      <c r="B1041" s="7">
        <v>0.57222222222222219</v>
      </c>
      <c r="C1041" s="9" t="str">
        <f>"FES1162671872"</f>
        <v>FES1162671872</v>
      </c>
      <c r="D1041" s="9" t="s">
        <v>18</v>
      </c>
      <c r="E1041" s="9" t="s">
        <v>47</v>
      </c>
      <c r="F1041" s="9" t="str">
        <f>"2170666269 "</f>
        <v xml:space="preserve">2170666269 </v>
      </c>
      <c r="G1041" s="9" t="str">
        <f>"ON1"</f>
        <v>ON1</v>
      </c>
      <c r="H1041" s="9" t="s">
        <v>20</v>
      </c>
      <c r="I1041" s="9" t="s">
        <v>48</v>
      </c>
      <c r="J1041" s="9"/>
      <c r="K1041" s="9" t="str">
        <f>"PFES1162671872_0002"</f>
        <v>PFES1162671872_0002</v>
      </c>
      <c r="L1041" s="9">
        <v>2</v>
      </c>
      <c r="M1041" s="9">
        <v>8</v>
      </c>
    </row>
    <row r="1042" spans="1:13">
      <c r="A1042" s="6">
        <v>43503</v>
      </c>
      <c r="B1042" s="7">
        <v>0.5708333333333333</v>
      </c>
      <c r="C1042" s="9" t="str">
        <f>"FES1162671819"</f>
        <v>FES1162671819</v>
      </c>
      <c r="D1042" s="9" t="s">
        <v>18</v>
      </c>
      <c r="E1042" s="9" t="s">
        <v>32</v>
      </c>
      <c r="F1042" s="9" t="str">
        <f>"2170671368 "</f>
        <v xml:space="preserve">2170671368 </v>
      </c>
      <c r="G1042" s="9" t="str">
        <f t="shared" ref="G1042:G1105" si="37">"ON1"</f>
        <v>ON1</v>
      </c>
      <c r="H1042" s="9" t="s">
        <v>20</v>
      </c>
      <c r="I1042" s="9" t="s">
        <v>33</v>
      </c>
      <c r="J1042" s="9" t="str">
        <f>""</f>
        <v/>
      </c>
      <c r="K1042" s="9" t="str">
        <f>"PFES1162671819_0001"</f>
        <v>PFES1162671819_0001</v>
      </c>
      <c r="L1042" s="9">
        <v>1</v>
      </c>
      <c r="M1042" s="9">
        <v>6</v>
      </c>
    </row>
    <row r="1043" spans="1:13">
      <c r="A1043" s="6">
        <v>43503</v>
      </c>
      <c r="B1043" s="7">
        <v>0.56874999999999998</v>
      </c>
      <c r="C1043" s="9" t="str">
        <f>"FES1162671676"</f>
        <v>FES1162671676</v>
      </c>
      <c r="D1043" s="9" t="s">
        <v>18</v>
      </c>
      <c r="E1043" s="9" t="s">
        <v>667</v>
      </c>
      <c r="F1043" s="9" t="str">
        <f>"2170672998 "</f>
        <v xml:space="preserve">2170672998 </v>
      </c>
      <c r="G1043" s="9" t="str">
        <f t="shared" si="37"/>
        <v>ON1</v>
      </c>
      <c r="H1043" s="9" t="s">
        <v>20</v>
      </c>
      <c r="I1043" s="9" t="s">
        <v>111</v>
      </c>
      <c r="J1043" s="9" t="str">
        <f>""</f>
        <v/>
      </c>
      <c r="K1043" s="9" t="str">
        <f>"PFES1162671676_0001"</f>
        <v>PFES1162671676_0001</v>
      </c>
      <c r="L1043" s="9">
        <v>1</v>
      </c>
      <c r="M1043" s="9">
        <v>3</v>
      </c>
    </row>
    <row r="1044" spans="1:13">
      <c r="A1044" s="6">
        <v>43503</v>
      </c>
      <c r="B1044" s="7">
        <v>0.56597222222222221</v>
      </c>
      <c r="C1044" s="9" t="str">
        <f>"FES1162671788"</f>
        <v>FES1162671788</v>
      </c>
      <c r="D1044" s="9" t="s">
        <v>18</v>
      </c>
      <c r="E1044" s="9" t="s">
        <v>668</v>
      </c>
      <c r="F1044" s="9" t="str">
        <f>"2170671038 "</f>
        <v xml:space="preserve">2170671038 </v>
      </c>
      <c r="G1044" s="9" t="str">
        <f t="shared" si="37"/>
        <v>ON1</v>
      </c>
      <c r="H1044" s="9" t="s">
        <v>20</v>
      </c>
      <c r="I1044" s="9" t="s">
        <v>239</v>
      </c>
      <c r="J1044" s="9" t="str">
        <f>""</f>
        <v/>
      </c>
      <c r="K1044" s="9" t="str">
        <f>"PFES1162671788_0001"</f>
        <v>PFES1162671788_0001</v>
      </c>
      <c r="L1044" s="9">
        <v>1</v>
      </c>
      <c r="M1044" s="9">
        <v>1</v>
      </c>
    </row>
    <row r="1045" spans="1:13">
      <c r="A1045" s="6">
        <v>43503</v>
      </c>
      <c r="B1045" s="7">
        <v>0.56527777777777777</v>
      </c>
      <c r="C1045" s="9" t="str">
        <f>"FES1162671765"</f>
        <v>FES1162671765</v>
      </c>
      <c r="D1045" s="9" t="s">
        <v>18</v>
      </c>
      <c r="E1045" s="9" t="s">
        <v>102</v>
      </c>
      <c r="F1045" s="9" t="str">
        <f>"2170673061 "</f>
        <v xml:space="preserve">2170673061 </v>
      </c>
      <c r="G1045" s="9" t="str">
        <f t="shared" si="37"/>
        <v>ON1</v>
      </c>
      <c r="H1045" s="9" t="s">
        <v>20</v>
      </c>
      <c r="I1045" s="9" t="s">
        <v>103</v>
      </c>
      <c r="J1045" s="9" t="str">
        <f>""</f>
        <v/>
      </c>
      <c r="K1045" s="9" t="str">
        <f>"PFES1162671765_0001"</f>
        <v>PFES1162671765_0001</v>
      </c>
      <c r="L1045" s="9">
        <v>1</v>
      </c>
      <c r="M1045" s="9">
        <v>1</v>
      </c>
    </row>
    <row r="1046" spans="1:13">
      <c r="A1046" s="6">
        <v>43503</v>
      </c>
      <c r="B1046" s="7">
        <v>0.56458333333333333</v>
      </c>
      <c r="C1046" s="9" t="str">
        <f>"FES1162671739"</f>
        <v>FES1162671739</v>
      </c>
      <c r="D1046" s="9" t="s">
        <v>18</v>
      </c>
      <c r="E1046" s="9" t="s">
        <v>92</v>
      </c>
      <c r="F1046" s="9" t="str">
        <f>"217066754 "</f>
        <v xml:space="preserve">217066754 </v>
      </c>
      <c r="G1046" s="9" t="str">
        <f t="shared" si="37"/>
        <v>ON1</v>
      </c>
      <c r="H1046" s="9" t="s">
        <v>20</v>
      </c>
      <c r="I1046" s="9" t="s">
        <v>93</v>
      </c>
      <c r="J1046" s="9" t="str">
        <f>""</f>
        <v/>
      </c>
      <c r="K1046" s="9" t="str">
        <f>"PFES1162671739_0001"</f>
        <v>PFES1162671739_0001</v>
      </c>
      <c r="L1046" s="9">
        <v>1</v>
      </c>
      <c r="M1046" s="9">
        <v>1</v>
      </c>
    </row>
    <row r="1047" spans="1:13">
      <c r="A1047" s="6">
        <v>43503</v>
      </c>
      <c r="B1047" s="7">
        <v>0.56458333333333333</v>
      </c>
      <c r="C1047" s="9" t="str">
        <f>"FES1162671828"</f>
        <v>FES1162671828</v>
      </c>
      <c r="D1047" s="9" t="s">
        <v>18</v>
      </c>
      <c r="E1047" s="9" t="s">
        <v>387</v>
      </c>
      <c r="F1047" s="9" t="str">
        <f>"2170671437 "</f>
        <v xml:space="preserve">2170671437 </v>
      </c>
      <c r="G1047" s="9" t="str">
        <f t="shared" si="37"/>
        <v>ON1</v>
      </c>
      <c r="H1047" s="9" t="s">
        <v>20</v>
      </c>
      <c r="I1047" s="9" t="s">
        <v>388</v>
      </c>
      <c r="J1047" s="9" t="str">
        <f>""</f>
        <v/>
      </c>
      <c r="K1047" s="9" t="str">
        <f>"PFES1162671828_0001"</f>
        <v>PFES1162671828_0001</v>
      </c>
      <c r="L1047" s="9">
        <v>1</v>
      </c>
      <c r="M1047" s="9">
        <v>1</v>
      </c>
    </row>
    <row r="1048" spans="1:13">
      <c r="A1048" s="6">
        <v>43503</v>
      </c>
      <c r="B1048" s="7">
        <v>0.56388888888888888</v>
      </c>
      <c r="C1048" s="9" t="str">
        <f>"FES1162671761"</f>
        <v>FES1162671761</v>
      </c>
      <c r="D1048" s="9" t="s">
        <v>18</v>
      </c>
      <c r="E1048" s="9" t="s">
        <v>298</v>
      </c>
      <c r="F1048" s="9" t="str">
        <f>"217069253 "</f>
        <v xml:space="preserve">217069253 </v>
      </c>
      <c r="G1048" s="9" t="str">
        <f t="shared" si="37"/>
        <v>ON1</v>
      </c>
      <c r="H1048" s="9" t="s">
        <v>20</v>
      </c>
      <c r="I1048" s="9" t="s">
        <v>93</v>
      </c>
      <c r="J1048" s="9" t="str">
        <f>""</f>
        <v/>
      </c>
      <c r="K1048" s="9" t="str">
        <f>"PFES1162671761_0001"</f>
        <v>PFES1162671761_0001</v>
      </c>
      <c r="L1048" s="9">
        <v>1</v>
      </c>
      <c r="M1048" s="9">
        <v>1</v>
      </c>
    </row>
    <row r="1049" spans="1:13">
      <c r="A1049" s="6">
        <v>43503</v>
      </c>
      <c r="B1049" s="7">
        <v>0.56388888888888888</v>
      </c>
      <c r="C1049" s="9" t="str">
        <f>"FES1162671745"</f>
        <v>FES1162671745</v>
      </c>
      <c r="D1049" s="9" t="s">
        <v>18</v>
      </c>
      <c r="E1049" s="9" t="s">
        <v>90</v>
      </c>
      <c r="F1049" s="9" t="str">
        <f>"2170668901 "</f>
        <v xml:space="preserve">2170668901 </v>
      </c>
      <c r="G1049" s="9" t="str">
        <f t="shared" si="37"/>
        <v>ON1</v>
      </c>
      <c r="H1049" s="9" t="s">
        <v>20</v>
      </c>
      <c r="I1049" s="9" t="s">
        <v>89</v>
      </c>
      <c r="J1049" s="9" t="str">
        <f>""</f>
        <v/>
      </c>
      <c r="K1049" s="9" t="str">
        <f>"PFES1162671745_0001"</f>
        <v>PFES1162671745_0001</v>
      </c>
      <c r="L1049" s="9">
        <v>1</v>
      </c>
      <c r="M1049" s="9">
        <v>1</v>
      </c>
    </row>
    <row r="1050" spans="1:13">
      <c r="A1050" s="6">
        <v>43503</v>
      </c>
      <c r="B1050" s="7">
        <v>0.56388888888888888</v>
      </c>
      <c r="C1050" s="9" t="str">
        <f>"FES1162671735"</f>
        <v>FES1162671735</v>
      </c>
      <c r="D1050" s="9" t="s">
        <v>18</v>
      </c>
      <c r="E1050" s="9" t="s">
        <v>664</v>
      </c>
      <c r="F1050" s="9" t="str">
        <f>"2170673057 "</f>
        <v xml:space="preserve">2170673057 </v>
      </c>
      <c r="G1050" s="9" t="str">
        <f t="shared" si="37"/>
        <v>ON1</v>
      </c>
      <c r="H1050" s="9" t="s">
        <v>20</v>
      </c>
      <c r="I1050" s="9" t="s">
        <v>89</v>
      </c>
      <c r="J1050" s="9" t="str">
        <f>""</f>
        <v/>
      </c>
      <c r="K1050" s="9" t="str">
        <f>"PFES1162671735_0001"</f>
        <v>PFES1162671735_0001</v>
      </c>
      <c r="L1050" s="9">
        <v>1</v>
      </c>
      <c r="M1050" s="9">
        <v>1</v>
      </c>
    </row>
    <row r="1051" spans="1:13">
      <c r="A1051" s="6">
        <v>43503</v>
      </c>
      <c r="B1051" s="7">
        <v>0.56319444444444444</v>
      </c>
      <c r="C1051" s="9" t="str">
        <f>"FES1162671764"</f>
        <v>FES1162671764</v>
      </c>
      <c r="D1051" s="9" t="s">
        <v>18</v>
      </c>
      <c r="E1051" s="9" t="s">
        <v>493</v>
      </c>
      <c r="F1051" s="9" t="str">
        <f>"2170673031 "</f>
        <v xml:space="preserve">2170673031 </v>
      </c>
      <c r="G1051" s="9" t="str">
        <f t="shared" si="37"/>
        <v>ON1</v>
      </c>
      <c r="H1051" s="9" t="s">
        <v>20</v>
      </c>
      <c r="I1051" s="9" t="s">
        <v>111</v>
      </c>
      <c r="J1051" s="9" t="str">
        <f>""</f>
        <v/>
      </c>
      <c r="K1051" s="9" t="str">
        <f>"PFES1162671764_0001"</f>
        <v>PFES1162671764_0001</v>
      </c>
      <c r="L1051" s="9">
        <v>1</v>
      </c>
      <c r="M1051" s="9">
        <v>1</v>
      </c>
    </row>
    <row r="1052" spans="1:13">
      <c r="A1052" s="6">
        <v>43503</v>
      </c>
      <c r="B1052" s="7">
        <v>0.56319444444444444</v>
      </c>
      <c r="C1052" s="9" t="str">
        <f>"FES1162671755"</f>
        <v>FES1162671755</v>
      </c>
      <c r="D1052" s="9" t="s">
        <v>18</v>
      </c>
      <c r="E1052" s="9" t="s">
        <v>669</v>
      </c>
      <c r="F1052" s="9" t="str">
        <f>"217071074 "</f>
        <v xml:space="preserve">217071074 </v>
      </c>
      <c r="G1052" s="9" t="str">
        <f t="shared" si="37"/>
        <v>ON1</v>
      </c>
      <c r="H1052" s="9" t="s">
        <v>20</v>
      </c>
      <c r="I1052" s="9" t="s">
        <v>89</v>
      </c>
      <c r="J1052" s="9" t="str">
        <f>""</f>
        <v/>
      </c>
      <c r="K1052" s="9" t="str">
        <f>"PFES1162671755_0001"</f>
        <v>PFES1162671755_0001</v>
      </c>
      <c r="L1052" s="9">
        <v>1</v>
      </c>
      <c r="M1052" s="9">
        <v>1</v>
      </c>
    </row>
    <row r="1053" spans="1:13">
      <c r="A1053" s="6">
        <v>43503</v>
      </c>
      <c r="B1053" s="7">
        <v>0.56180555555555556</v>
      </c>
      <c r="C1053" s="9" t="str">
        <f>"FES1162671681"</f>
        <v>FES1162671681</v>
      </c>
      <c r="D1053" s="9" t="s">
        <v>18</v>
      </c>
      <c r="E1053" s="9" t="s">
        <v>331</v>
      </c>
      <c r="F1053" s="9" t="str">
        <f>"2170655675 "</f>
        <v xml:space="preserve">2170655675 </v>
      </c>
      <c r="G1053" s="9" t="str">
        <f t="shared" si="37"/>
        <v>ON1</v>
      </c>
      <c r="H1053" s="9" t="s">
        <v>20</v>
      </c>
      <c r="I1053" s="9" t="s">
        <v>43</v>
      </c>
      <c r="J1053" s="9" t="str">
        <f>""</f>
        <v/>
      </c>
      <c r="K1053" s="9" t="str">
        <f>"PFES1162671681_0001"</f>
        <v>PFES1162671681_0001</v>
      </c>
      <c r="L1053" s="9">
        <v>1</v>
      </c>
      <c r="M1053" s="9">
        <v>2</v>
      </c>
    </row>
    <row r="1054" spans="1:13">
      <c r="A1054" s="6">
        <v>43503</v>
      </c>
      <c r="B1054" s="7">
        <v>0.56041666666666667</v>
      </c>
      <c r="C1054" s="9" t="str">
        <f>"FES1162671817"</f>
        <v>FES1162671817</v>
      </c>
      <c r="D1054" s="9" t="s">
        <v>18</v>
      </c>
      <c r="E1054" s="9" t="s">
        <v>66</v>
      </c>
      <c r="F1054" s="9" t="str">
        <f>"2170671362 "</f>
        <v xml:space="preserve">2170671362 </v>
      </c>
      <c r="G1054" s="9" t="str">
        <f t="shared" si="37"/>
        <v>ON1</v>
      </c>
      <c r="H1054" s="9" t="s">
        <v>20</v>
      </c>
      <c r="I1054" s="9" t="s">
        <v>67</v>
      </c>
      <c r="J1054" s="9" t="str">
        <f>""</f>
        <v/>
      </c>
      <c r="K1054" s="9" t="str">
        <f>"PFES1162671817_0001"</f>
        <v>PFES1162671817_0001</v>
      </c>
      <c r="L1054" s="9">
        <v>1</v>
      </c>
      <c r="M1054" s="9">
        <v>2</v>
      </c>
    </row>
    <row r="1055" spans="1:13">
      <c r="A1055" s="6">
        <v>43503</v>
      </c>
      <c r="B1055" s="7">
        <v>0.55902777777777779</v>
      </c>
      <c r="C1055" s="9" t="str">
        <f>"FES1162671856"</f>
        <v>FES1162671856</v>
      </c>
      <c r="D1055" s="9" t="s">
        <v>18</v>
      </c>
      <c r="E1055" s="9" t="s">
        <v>612</v>
      </c>
      <c r="F1055" s="9" t="str">
        <f>"2170673079 "</f>
        <v xml:space="preserve">2170673079 </v>
      </c>
      <c r="G1055" s="9" t="str">
        <f t="shared" si="37"/>
        <v>ON1</v>
      </c>
      <c r="H1055" s="9" t="s">
        <v>20</v>
      </c>
      <c r="I1055" s="9" t="s">
        <v>137</v>
      </c>
      <c r="J1055" s="9" t="str">
        <f>""</f>
        <v/>
      </c>
      <c r="K1055" s="9" t="str">
        <f>"PFES1162671856_0001"</f>
        <v>PFES1162671856_0001</v>
      </c>
      <c r="L1055" s="9">
        <v>1</v>
      </c>
      <c r="M1055" s="9">
        <v>5</v>
      </c>
    </row>
    <row r="1056" spans="1:13">
      <c r="A1056" s="6">
        <v>43503</v>
      </c>
      <c r="B1056" s="7">
        <v>0.55763888888888891</v>
      </c>
      <c r="C1056" s="9" t="str">
        <f>"FES1162671863"</f>
        <v>FES1162671863</v>
      </c>
      <c r="D1056" s="9" t="s">
        <v>18</v>
      </c>
      <c r="E1056" s="9" t="s">
        <v>486</v>
      </c>
      <c r="F1056" s="9" t="str">
        <f>"2170673088 "</f>
        <v xml:space="preserve">2170673088 </v>
      </c>
      <c r="G1056" s="9" t="str">
        <f t="shared" si="37"/>
        <v>ON1</v>
      </c>
      <c r="H1056" s="9" t="s">
        <v>20</v>
      </c>
      <c r="I1056" s="9" t="s">
        <v>87</v>
      </c>
      <c r="J1056" s="9" t="str">
        <f>""</f>
        <v/>
      </c>
      <c r="K1056" s="9" t="str">
        <f>"PFES1162671863_0001"</f>
        <v>PFES1162671863_0001</v>
      </c>
      <c r="L1056" s="9">
        <v>1</v>
      </c>
      <c r="M1056" s="9">
        <v>2</v>
      </c>
    </row>
    <row r="1057" spans="1:13">
      <c r="A1057" s="6">
        <v>43503</v>
      </c>
      <c r="B1057" s="7">
        <v>0.55625000000000002</v>
      </c>
      <c r="C1057" s="9" t="str">
        <f>"FES1162671679"</f>
        <v>FES1162671679</v>
      </c>
      <c r="D1057" s="9" t="s">
        <v>18</v>
      </c>
      <c r="E1057" s="9" t="s">
        <v>439</v>
      </c>
      <c r="F1057" s="9" t="str">
        <f>"2170673004 "</f>
        <v xml:space="preserve">2170673004 </v>
      </c>
      <c r="G1057" s="9" t="str">
        <f t="shared" si="37"/>
        <v>ON1</v>
      </c>
      <c r="H1057" s="9" t="s">
        <v>20</v>
      </c>
      <c r="I1057" s="9" t="s">
        <v>41</v>
      </c>
      <c r="J1057" s="9" t="str">
        <f>""</f>
        <v/>
      </c>
      <c r="K1057" s="9" t="str">
        <f>"PFES1162671679_0001"</f>
        <v>PFES1162671679_0001</v>
      </c>
      <c r="L1057" s="9">
        <v>1</v>
      </c>
      <c r="M1057" s="9">
        <v>2</v>
      </c>
    </row>
    <row r="1058" spans="1:13">
      <c r="A1058" s="6">
        <v>43503</v>
      </c>
      <c r="B1058" s="7">
        <v>0.55555555555555558</v>
      </c>
      <c r="C1058" s="9" t="str">
        <f>"FES1162671861"</f>
        <v>FES1162671861</v>
      </c>
      <c r="D1058" s="9" t="s">
        <v>18</v>
      </c>
      <c r="E1058" s="9" t="s">
        <v>486</v>
      </c>
      <c r="F1058" s="9" t="str">
        <f>"2170673086 "</f>
        <v xml:space="preserve">2170673086 </v>
      </c>
      <c r="G1058" s="9" t="str">
        <f t="shared" si="37"/>
        <v>ON1</v>
      </c>
      <c r="H1058" s="9" t="s">
        <v>20</v>
      </c>
      <c r="I1058" s="9" t="s">
        <v>87</v>
      </c>
      <c r="J1058" s="9" t="str">
        <f>""</f>
        <v/>
      </c>
      <c r="K1058" s="9" t="str">
        <f>"PFES1162671861_0001"</f>
        <v>PFES1162671861_0001</v>
      </c>
      <c r="L1058" s="9">
        <v>1</v>
      </c>
      <c r="M1058" s="9">
        <v>4</v>
      </c>
    </row>
    <row r="1059" spans="1:13">
      <c r="A1059" s="6">
        <v>43503</v>
      </c>
      <c r="B1059" s="7">
        <v>0.5541666666666667</v>
      </c>
      <c r="C1059" s="9" t="str">
        <f>"FES1162671800"</f>
        <v>FES1162671800</v>
      </c>
      <c r="D1059" s="9" t="s">
        <v>18</v>
      </c>
      <c r="E1059" s="9" t="s">
        <v>259</v>
      </c>
      <c r="F1059" s="9" t="str">
        <f>"2170671131 "</f>
        <v xml:space="preserve">2170671131 </v>
      </c>
      <c r="G1059" s="9" t="str">
        <f t="shared" si="37"/>
        <v>ON1</v>
      </c>
      <c r="H1059" s="9" t="s">
        <v>20</v>
      </c>
      <c r="I1059" s="9" t="s">
        <v>260</v>
      </c>
      <c r="J1059" s="9" t="str">
        <f>""</f>
        <v/>
      </c>
      <c r="K1059" s="9" t="str">
        <f>"PFES1162671800_0001"</f>
        <v>PFES1162671800_0001</v>
      </c>
      <c r="L1059" s="9">
        <v>1</v>
      </c>
      <c r="M1059" s="9">
        <v>7</v>
      </c>
    </row>
    <row r="1060" spans="1:13">
      <c r="A1060" s="6">
        <v>43503</v>
      </c>
      <c r="B1060" s="7">
        <v>0.55277777777777781</v>
      </c>
      <c r="C1060" s="9" t="str">
        <f>"FES1162671812"</f>
        <v>FES1162671812</v>
      </c>
      <c r="D1060" s="9" t="s">
        <v>18</v>
      </c>
      <c r="E1060" s="9" t="s">
        <v>178</v>
      </c>
      <c r="F1060" s="9" t="str">
        <f>"2170671302 "</f>
        <v xml:space="preserve">2170671302 </v>
      </c>
      <c r="G1060" s="9" t="str">
        <f t="shared" si="37"/>
        <v>ON1</v>
      </c>
      <c r="H1060" s="9" t="s">
        <v>20</v>
      </c>
      <c r="I1060" s="9" t="s">
        <v>31</v>
      </c>
      <c r="J1060" s="9" t="str">
        <f>""</f>
        <v/>
      </c>
      <c r="K1060" s="9" t="str">
        <f>"PFES1162671812_0001"</f>
        <v>PFES1162671812_0001</v>
      </c>
      <c r="L1060" s="9">
        <v>1</v>
      </c>
      <c r="M1060" s="9">
        <v>3</v>
      </c>
    </row>
    <row r="1061" spans="1:13">
      <c r="A1061" s="6">
        <v>43503</v>
      </c>
      <c r="B1061" s="7">
        <v>0.55069444444444449</v>
      </c>
      <c r="C1061" s="9" t="str">
        <f>"FES1162671892"</f>
        <v>FES1162671892</v>
      </c>
      <c r="D1061" s="9" t="s">
        <v>18</v>
      </c>
      <c r="E1061" s="9" t="s">
        <v>212</v>
      </c>
      <c r="F1061" s="9" t="str">
        <f>"2170673123 "</f>
        <v xml:space="preserve">2170673123 </v>
      </c>
      <c r="G1061" s="9" t="str">
        <f t="shared" si="37"/>
        <v>ON1</v>
      </c>
      <c r="H1061" s="9" t="s">
        <v>20</v>
      </c>
      <c r="I1061" s="9" t="s">
        <v>213</v>
      </c>
      <c r="J1061" s="9" t="str">
        <f>""</f>
        <v/>
      </c>
      <c r="K1061" s="9" t="str">
        <f>"PFES1162671892_0001"</f>
        <v>PFES1162671892_0001</v>
      </c>
      <c r="L1061" s="9">
        <v>1</v>
      </c>
      <c r="M1061" s="9">
        <v>2</v>
      </c>
    </row>
    <row r="1062" spans="1:13">
      <c r="A1062" s="6">
        <v>43503</v>
      </c>
      <c r="B1062" s="7">
        <v>0.5493055555555556</v>
      </c>
      <c r="C1062" s="9" t="str">
        <f>"FES1162671881"</f>
        <v>FES1162671881</v>
      </c>
      <c r="D1062" s="9" t="s">
        <v>18</v>
      </c>
      <c r="E1062" s="9" t="s">
        <v>530</v>
      </c>
      <c r="F1062" s="9" t="str">
        <f>"2170673110 "</f>
        <v xml:space="preserve">2170673110 </v>
      </c>
      <c r="G1062" s="9" t="str">
        <f t="shared" si="37"/>
        <v>ON1</v>
      </c>
      <c r="H1062" s="9" t="s">
        <v>20</v>
      </c>
      <c r="I1062" s="9" t="s">
        <v>531</v>
      </c>
      <c r="J1062" s="9" t="str">
        <f>""</f>
        <v/>
      </c>
      <c r="K1062" s="9" t="str">
        <f>"PFES1162671881_0001"</f>
        <v>PFES1162671881_0001</v>
      </c>
      <c r="L1062" s="9">
        <v>1</v>
      </c>
      <c r="M1062" s="9">
        <v>7</v>
      </c>
    </row>
    <row r="1063" spans="1:13">
      <c r="A1063" s="6">
        <v>43503</v>
      </c>
      <c r="B1063" s="7">
        <v>0.54722222222222217</v>
      </c>
      <c r="C1063" s="9" t="str">
        <f>"FES1162671777"</f>
        <v>FES1162671777</v>
      </c>
      <c r="D1063" s="9" t="s">
        <v>18</v>
      </c>
      <c r="E1063" s="9" t="s">
        <v>670</v>
      </c>
      <c r="F1063" s="9" t="str">
        <f>"2170670732 "</f>
        <v xml:space="preserve">2170670732 </v>
      </c>
      <c r="G1063" s="9" t="str">
        <f t="shared" si="37"/>
        <v>ON1</v>
      </c>
      <c r="H1063" s="9" t="s">
        <v>20</v>
      </c>
      <c r="I1063" s="9" t="s">
        <v>213</v>
      </c>
      <c r="J1063" s="9" t="str">
        <f>""</f>
        <v/>
      </c>
      <c r="K1063" s="9" t="str">
        <f>"PFES1162671777_0001"</f>
        <v>PFES1162671777_0001</v>
      </c>
      <c r="L1063" s="9">
        <v>1</v>
      </c>
      <c r="M1063" s="9">
        <v>2</v>
      </c>
    </row>
    <row r="1064" spans="1:13">
      <c r="A1064" s="6">
        <v>43503</v>
      </c>
      <c r="B1064" s="7">
        <v>0.54583333333333328</v>
      </c>
      <c r="C1064" s="9" t="str">
        <f>"FES1162670919"</f>
        <v>FES1162670919</v>
      </c>
      <c r="D1064" s="9" t="s">
        <v>18</v>
      </c>
      <c r="E1064" s="9" t="s">
        <v>212</v>
      </c>
      <c r="F1064" s="9" t="str">
        <f>"2170672379 "</f>
        <v xml:space="preserve">2170672379 </v>
      </c>
      <c r="G1064" s="9" t="str">
        <f t="shared" si="37"/>
        <v>ON1</v>
      </c>
      <c r="H1064" s="9" t="s">
        <v>20</v>
      </c>
      <c r="I1064" s="9" t="s">
        <v>213</v>
      </c>
      <c r="J1064" s="9" t="str">
        <f>""</f>
        <v/>
      </c>
      <c r="K1064" s="9" t="str">
        <f>"PFES1162670919_0001"</f>
        <v>PFES1162670919_0001</v>
      </c>
      <c r="L1064" s="9">
        <v>1</v>
      </c>
      <c r="M1064" s="9">
        <v>3</v>
      </c>
    </row>
    <row r="1065" spans="1:13">
      <c r="A1065" s="6">
        <v>43503</v>
      </c>
      <c r="B1065" s="7">
        <v>0.54375000000000007</v>
      </c>
      <c r="C1065" s="9" t="str">
        <f>"FES1162671721"</f>
        <v>FES1162671721</v>
      </c>
      <c r="D1065" s="9" t="s">
        <v>18</v>
      </c>
      <c r="E1065" s="9" t="s">
        <v>671</v>
      </c>
      <c r="F1065" s="9" t="str">
        <f>"2170673047 "</f>
        <v xml:space="preserve">2170673047 </v>
      </c>
      <c r="G1065" s="9" t="str">
        <f t="shared" si="37"/>
        <v>ON1</v>
      </c>
      <c r="H1065" s="9" t="s">
        <v>20</v>
      </c>
      <c r="I1065" s="9" t="s">
        <v>25</v>
      </c>
      <c r="J1065" s="9" t="str">
        <f>""</f>
        <v/>
      </c>
      <c r="K1065" s="9" t="str">
        <f>"PFES1162671721_0001"</f>
        <v>PFES1162671721_0001</v>
      </c>
      <c r="L1065" s="9">
        <v>1</v>
      </c>
      <c r="M1065" s="9">
        <v>2</v>
      </c>
    </row>
    <row r="1066" spans="1:13">
      <c r="A1066" s="6">
        <v>43503</v>
      </c>
      <c r="B1066" s="7">
        <v>0.54305555555555551</v>
      </c>
      <c r="C1066" s="9" t="str">
        <f>"FES1162671724"</f>
        <v>FES1162671724</v>
      </c>
      <c r="D1066" s="9" t="s">
        <v>18</v>
      </c>
      <c r="E1066" s="9" t="s">
        <v>474</v>
      </c>
      <c r="F1066" s="9" t="str">
        <f>"2170671581 "</f>
        <v xml:space="preserve">2170671581 </v>
      </c>
      <c r="G1066" s="9" t="str">
        <f t="shared" si="37"/>
        <v>ON1</v>
      </c>
      <c r="H1066" s="9" t="s">
        <v>20</v>
      </c>
      <c r="I1066" s="9" t="s">
        <v>475</v>
      </c>
      <c r="J1066" s="9" t="str">
        <f>""</f>
        <v/>
      </c>
      <c r="K1066" s="9" t="str">
        <f>"PFES1162671724_0001"</f>
        <v>PFES1162671724_0001</v>
      </c>
      <c r="L1066" s="9">
        <v>1</v>
      </c>
      <c r="M1066" s="9">
        <v>1</v>
      </c>
    </row>
    <row r="1067" spans="1:13">
      <c r="A1067" s="6">
        <v>43503</v>
      </c>
      <c r="B1067" s="7">
        <v>0.54236111111111118</v>
      </c>
      <c r="C1067" s="9" t="str">
        <f>"FES1162671822"</f>
        <v>FES1162671822</v>
      </c>
      <c r="D1067" s="9" t="s">
        <v>18</v>
      </c>
      <c r="E1067" s="9" t="s">
        <v>129</v>
      </c>
      <c r="F1067" s="9" t="str">
        <f>"2170671380 "</f>
        <v xml:space="preserve">2170671380 </v>
      </c>
      <c r="G1067" s="9" t="str">
        <f t="shared" si="37"/>
        <v>ON1</v>
      </c>
      <c r="H1067" s="9" t="s">
        <v>20</v>
      </c>
      <c r="I1067" s="9" t="s">
        <v>130</v>
      </c>
      <c r="J1067" s="9" t="str">
        <f>""</f>
        <v/>
      </c>
      <c r="K1067" s="9" t="str">
        <f>"PFES1162671822_0001"</f>
        <v>PFES1162671822_0001</v>
      </c>
      <c r="L1067" s="9">
        <v>1</v>
      </c>
      <c r="M1067" s="9">
        <v>1</v>
      </c>
    </row>
    <row r="1068" spans="1:13">
      <c r="A1068" s="6">
        <v>43503</v>
      </c>
      <c r="B1068" s="7">
        <v>0.54236111111111118</v>
      </c>
      <c r="C1068" s="9" t="str">
        <f>"FES1162671865"</f>
        <v>FES1162671865</v>
      </c>
      <c r="D1068" s="9" t="s">
        <v>18</v>
      </c>
      <c r="E1068" s="9" t="s">
        <v>601</v>
      </c>
      <c r="F1068" s="9" t="str">
        <f>"2170670906 "</f>
        <v xml:space="preserve">2170670906 </v>
      </c>
      <c r="G1068" s="9" t="str">
        <f t="shared" si="37"/>
        <v>ON1</v>
      </c>
      <c r="H1068" s="9" t="s">
        <v>20</v>
      </c>
      <c r="I1068" s="9" t="s">
        <v>602</v>
      </c>
      <c r="J1068" s="9" t="str">
        <f>""</f>
        <v/>
      </c>
      <c r="K1068" s="9" t="str">
        <f>"PFES1162671865_0001"</f>
        <v>PFES1162671865_0001</v>
      </c>
      <c r="L1068" s="9">
        <v>1</v>
      </c>
      <c r="M1068" s="9">
        <v>1</v>
      </c>
    </row>
    <row r="1069" spans="1:13">
      <c r="A1069" s="6">
        <v>43503</v>
      </c>
      <c r="B1069" s="7">
        <v>0.54166666666666663</v>
      </c>
      <c r="C1069" s="9" t="str">
        <f>"FES1162671825"</f>
        <v>FES1162671825</v>
      </c>
      <c r="D1069" s="9" t="s">
        <v>18</v>
      </c>
      <c r="E1069" s="9" t="s">
        <v>672</v>
      </c>
      <c r="F1069" s="9" t="str">
        <f>"2170671404 "</f>
        <v xml:space="preserve">2170671404 </v>
      </c>
      <c r="G1069" s="9" t="str">
        <f t="shared" si="37"/>
        <v>ON1</v>
      </c>
      <c r="H1069" s="9" t="s">
        <v>20</v>
      </c>
      <c r="I1069" s="9" t="s">
        <v>31</v>
      </c>
      <c r="J1069" s="9" t="str">
        <f>""</f>
        <v/>
      </c>
      <c r="K1069" s="9" t="str">
        <f>"PFES1162671825_0001"</f>
        <v>PFES1162671825_0001</v>
      </c>
      <c r="L1069" s="9">
        <v>1</v>
      </c>
      <c r="M1069" s="9">
        <v>1</v>
      </c>
    </row>
    <row r="1070" spans="1:13">
      <c r="A1070" s="6">
        <v>43503</v>
      </c>
      <c r="B1070" s="7">
        <v>0.54166666666666663</v>
      </c>
      <c r="C1070" s="9" t="str">
        <f>"FES1162671867"</f>
        <v>FES1162671867</v>
      </c>
      <c r="D1070" s="9" t="s">
        <v>18</v>
      </c>
      <c r="E1070" s="9" t="s">
        <v>673</v>
      </c>
      <c r="F1070" s="9" t="str">
        <f>"2170673091 "</f>
        <v xml:space="preserve">2170673091 </v>
      </c>
      <c r="G1070" s="9" t="str">
        <f t="shared" si="37"/>
        <v>ON1</v>
      </c>
      <c r="H1070" s="9" t="s">
        <v>20</v>
      </c>
      <c r="I1070" s="9" t="s">
        <v>674</v>
      </c>
      <c r="J1070" s="9" t="str">
        <f>""</f>
        <v/>
      </c>
      <c r="K1070" s="9" t="str">
        <f>"PFES1162671867_0001"</f>
        <v>PFES1162671867_0001</v>
      </c>
      <c r="L1070" s="9">
        <v>1</v>
      </c>
      <c r="M1070" s="9">
        <v>1</v>
      </c>
    </row>
    <row r="1071" spans="1:13">
      <c r="A1071" s="6">
        <v>43503</v>
      </c>
      <c r="B1071" s="7">
        <v>0.54166666666666663</v>
      </c>
      <c r="C1071" s="9" t="str">
        <f>"FES1162671476"</f>
        <v>FES1162671476</v>
      </c>
      <c r="D1071" s="9" t="s">
        <v>18</v>
      </c>
      <c r="E1071" s="9" t="s">
        <v>335</v>
      </c>
      <c r="F1071" s="9" t="str">
        <f>"2170669483 "</f>
        <v xml:space="preserve">2170669483 </v>
      </c>
      <c r="G1071" s="9" t="str">
        <f t="shared" si="37"/>
        <v>ON1</v>
      </c>
      <c r="H1071" s="9" t="s">
        <v>20</v>
      </c>
      <c r="I1071" s="9" t="s">
        <v>336</v>
      </c>
      <c r="J1071" s="9" t="str">
        <f>""</f>
        <v/>
      </c>
      <c r="K1071" s="9" t="str">
        <f>"PFES1162671476_0001"</f>
        <v>PFES1162671476_0001</v>
      </c>
      <c r="L1071" s="9">
        <v>1</v>
      </c>
      <c r="M1071" s="9">
        <v>14</v>
      </c>
    </row>
    <row r="1072" spans="1:13">
      <c r="A1072" s="6">
        <v>43503</v>
      </c>
      <c r="B1072" s="7">
        <v>0.54166666666666663</v>
      </c>
      <c r="C1072" s="9" t="str">
        <f>"FES1162671837"</f>
        <v>FES1162671837</v>
      </c>
      <c r="D1072" s="9" t="s">
        <v>18</v>
      </c>
      <c r="E1072" s="9" t="s">
        <v>151</v>
      </c>
      <c r="F1072" s="9" t="str">
        <f>"2170671515 "</f>
        <v xml:space="preserve">2170671515 </v>
      </c>
      <c r="G1072" s="9" t="str">
        <f t="shared" si="37"/>
        <v>ON1</v>
      </c>
      <c r="H1072" s="9" t="s">
        <v>20</v>
      </c>
      <c r="I1072" s="9" t="s">
        <v>63</v>
      </c>
      <c r="J1072" s="9" t="str">
        <f>""</f>
        <v/>
      </c>
      <c r="K1072" s="9" t="str">
        <f>"PFES1162671837_0001"</f>
        <v>PFES1162671837_0001</v>
      </c>
      <c r="L1072" s="9">
        <v>1</v>
      </c>
      <c r="M1072" s="9">
        <v>1</v>
      </c>
    </row>
    <row r="1073" spans="1:13">
      <c r="A1073" s="6">
        <v>43503</v>
      </c>
      <c r="B1073" s="7">
        <v>0.54097222222222219</v>
      </c>
      <c r="C1073" s="9" t="str">
        <f>"FES1162671784"</f>
        <v>FES1162671784</v>
      </c>
      <c r="D1073" s="9" t="s">
        <v>18</v>
      </c>
      <c r="E1073" s="9" t="s">
        <v>323</v>
      </c>
      <c r="F1073" s="9" t="str">
        <f>"2170670991 "</f>
        <v xml:space="preserve">2170670991 </v>
      </c>
      <c r="G1073" s="9" t="str">
        <f t="shared" si="37"/>
        <v>ON1</v>
      </c>
      <c r="H1073" s="9" t="s">
        <v>20</v>
      </c>
      <c r="I1073" s="9" t="s">
        <v>324</v>
      </c>
      <c r="J1073" s="9" t="str">
        <f>""</f>
        <v/>
      </c>
      <c r="K1073" s="9" t="str">
        <f>"PFES1162671784_0001"</f>
        <v>PFES1162671784_0001</v>
      </c>
      <c r="L1073" s="9">
        <v>1</v>
      </c>
      <c r="M1073" s="9">
        <v>1</v>
      </c>
    </row>
    <row r="1074" spans="1:13">
      <c r="A1074" s="6">
        <v>43503</v>
      </c>
      <c r="B1074" s="7">
        <v>0.54097222222222219</v>
      </c>
      <c r="C1074" s="9" t="str">
        <f>"FES1162671850"</f>
        <v>FES1162671850</v>
      </c>
      <c r="D1074" s="9" t="s">
        <v>18</v>
      </c>
      <c r="E1074" s="9" t="s">
        <v>178</v>
      </c>
      <c r="F1074" s="9" t="str">
        <f>"2170672789 "</f>
        <v xml:space="preserve">2170672789 </v>
      </c>
      <c r="G1074" s="9" t="str">
        <f t="shared" si="37"/>
        <v>ON1</v>
      </c>
      <c r="H1074" s="9" t="s">
        <v>20</v>
      </c>
      <c r="I1074" s="9" t="s">
        <v>31</v>
      </c>
      <c r="J1074" s="9" t="str">
        <f>""</f>
        <v/>
      </c>
      <c r="K1074" s="9" t="str">
        <f>"PFES1162671850_0001"</f>
        <v>PFES1162671850_0001</v>
      </c>
      <c r="L1074" s="9">
        <v>1</v>
      </c>
      <c r="M1074" s="9">
        <v>1</v>
      </c>
    </row>
    <row r="1075" spans="1:13">
      <c r="A1075" s="6">
        <v>43503</v>
      </c>
      <c r="B1075" s="7">
        <v>0.54027777777777775</v>
      </c>
      <c r="C1075" s="9" t="str">
        <f>"FES1162671798"</f>
        <v>FES1162671798</v>
      </c>
      <c r="D1075" s="9" t="s">
        <v>18</v>
      </c>
      <c r="E1075" s="9" t="s">
        <v>474</v>
      </c>
      <c r="F1075" s="9" t="str">
        <f>"217067118 "</f>
        <v xml:space="preserve">217067118 </v>
      </c>
      <c r="G1075" s="9" t="str">
        <f t="shared" si="37"/>
        <v>ON1</v>
      </c>
      <c r="H1075" s="9" t="s">
        <v>20</v>
      </c>
      <c r="I1075" s="9" t="s">
        <v>475</v>
      </c>
      <c r="J1075" s="9" t="str">
        <f>""</f>
        <v/>
      </c>
      <c r="K1075" s="9" t="str">
        <f>"PFES1162671798_0001"</f>
        <v>PFES1162671798_0001</v>
      </c>
      <c r="L1075" s="9">
        <v>1</v>
      </c>
      <c r="M1075" s="9">
        <v>1</v>
      </c>
    </row>
    <row r="1076" spans="1:13">
      <c r="A1076" s="6">
        <v>43503</v>
      </c>
      <c r="B1076" s="7">
        <v>0.54027777777777775</v>
      </c>
      <c r="C1076" s="9" t="str">
        <f>"FES1162671790"</f>
        <v>FES1162671790</v>
      </c>
      <c r="D1076" s="9" t="s">
        <v>18</v>
      </c>
      <c r="E1076" s="9" t="s">
        <v>521</v>
      </c>
      <c r="F1076" s="9" t="str">
        <f>"2170671044 "</f>
        <v xml:space="preserve">2170671044 </v>
      </c>
      <c r="G1076" s="9" t="str">
        <f t="shared" si="37"/>
        <v>ON1</v>
      </c>
      <c r="H1076" s="9" t="s">
        <v>20</v>
      </c>
      <c r="I1076" s="9" t="s">
        <v>445</v>
      </c>
      <c r="J1076" s="9" t="str">
        <f>""</f>
        <v/>
      </c>
      <c r="K1076" s="9" t="str">
        <f>"PFES1162671790_0001"</f>
        <v>PFES1162671790_0001</v>
      </c>
      <c r="L1076" s="9">
        <v>1</v>
      </c>
      <c r="M1076" s="9">
        <v>1</v>
      </c>
    </row>
    <row r="1077" spans="1:13">
      <c r="A1077" s="6">
        <v>43503</v>
      </c>
      <c r="B1077" s="7">
        <v>0.54027777777777775</v>
      </c>
      <c r="C1077" s="9" t="str">
        <f>"FES1162671787"</f>
        <v>FES1162671787</v>
      </c>
      <c r="D1077" s="9" t="s">
        <v>18</v>
      </c>
      <c r="E1077" s="9" t="s">
        <v>451</v>
      </c>
      <c r="F1077" s="9" t="str">
        <f>"2170671004 "</f>
        <v xml:space="preserve">2170671004 </v>
      </c>
      <c r="G1077" s="9" t="str">
        <f t="shared" si="37"/>
        <v>ON1</v>
      </c>
      <c r="H1077" s="9" t="s">
        <v>20</v>
      </c>
      <c r="I1077" s="9" t="s">
        <v>149</v>
      </c>
      <c r="J1077" s="9" t="str">
        <f>""</f>
        <v/>
      </c>
      <c r="K1077" s="9" t="str">
        <f>"PFES1162671787_0001"</f>
        <v>PFES1162671787_0001</v>
      </c>
      <c r="L1077" s="9">
        <v>1</v>
      </c>
      <c r="M1077" s="9">
        <v>3</v>
      </c>
    </row>
    <row r="1078" spans="1:13">
      <c r="A1078" s="6">
        <v>43503</v>
      </c>
      <c r="B1078" s="7">
        <v>0.5395833333333333</v>
      </c>
      <c r="C1078" s="9" t="str">
        <f>"FES1162671829"</f>
        <v>FES1162671829</v>
      </c>
      <c r="D1078" s="9" t="s">
        <v>18</v>
      </c>
      <c r="E1078" s="9" t="s">
        <v>456</v>
      </c>
      <c r="F1078" s="9" t="str">
        <f>"2170671440 "</f>
        <v xml:space="preserve">2170671440 </v>
      </c>
      <c r="G1078" s="9" t="str">
        <f t="shared" si="37"/>
        <v>ON1</v>
      </c>
      <c r="H1078" s="9" t="s">
        <v>20</v>
      </c>
      <c r="I1078" s="9" t="s">
        <v>457</v>
      </c>
      <c r="J1078" s="9" t="str">
        <f>""</f>
        <v/>
      </c>
      <c r="K1078" s="9" t="str">
        <f>"PFES1162671829_0001"</f>
        <v>PFES1162671829_0001</v>
      </c>
      <c r="L1078" s="9">
        <v>1</v>
      </c>
      <c r="M1078" s="9">
        <v>1</v>
      </c>
    </row>
    <row r="1079" spans="1:13">
      <c r="A1079" s="6">
        <v>43503</v>
      </c>
      <c r="B1079" s="7">
        <v>0.53819444444444442</v>
      </c>
      <c r="C1079" s="9" t="str">
        <f>"FES1162671785"</f>
        <v>FES1162671785</v>
      </c>
      <c r="D1079" s="9" t="s">
        <v>18</v>
      </c>
      <c r="E1079" s="9" t="s">
        <v>436</v>
      </c>
      <c r="F1079" s="9" t="str">
        <f>"2170670993 "</f>
        <v xml:space="preserve">2170670993 </v>
      </c>
      <c r="G1079" s="9" t="str">
        <f t="shared" si="37"/>
        <v>ON1</v>
      </c>
      <c r="H1079" s="9" t="s">
        <v>20</v>
      </c>
      <c r="I1079" s="9" t="s">
        <v>437</v>
      </c>
      <c r="J1079" s="9" t="str">
        <f>""</f>
        <v/>
      </c>
      <c r="K1079" s="9" t="str">
        <f>"PFES1162671785_0001"</f>
        <v>PFES1162671785_0001</v>
      </c>
      <c r="L1079" s="9">
        <v>1</v>
      </c>
      <c r="M1079" s="9">
        <v>4</v>
      </c>
    </row>
    <row r="1080" spans="1:13">
      <c r="A1080" s="6">
        <v>43503</v>
      </c>
      <c r="B1080" s="7">
        <v>0.53680555555555554</v>
      </c>
      <c r="C1080" s="9" t="str">
        <f>"FES1162671732"</f>
        <v>FES1162671732</v>
      </c>
      <c r="D1080" s="9" t="s">
        <v>18</v>
      </c>
      <c r="E1080" s="9" t="s">
        <v>675</v>
      </c>
      <c r="F1080" s="9" t="str">
        <f>"2170673054 "</f>
        <v xml:space="preserve">2170673054 </v>
      </c>
      <c r="G1080" s="9" t="str">
        <f t="shared" si="37"/>
        <v>ON1</v>
      </c>
      <c r="H1080" s="9" t="s">
        <v>20</v>
      </c>
      <c r="I1080" s="9" t="s">
        <v>359</v>
      </c>
      <c r="J1080" s="9" t="str">
        <f>""</f>
        <v/>
      </c>
      <c r="K1080" s="9" t="str">
        <f>"PFES1162671732_0001"</f>
        <v>PFES1162671732_0001</v>
      </c>
      <c r="L1080" s="9">
        <v>1</v>
      </c>
      <c r="M1080" s="9">
        <v>2</v>
      </c>
    </row>
    <row r="1081" spans="1:13">
      <c r="A1081" s="6">
        <v>43503</v>
      </c>
      <c r="B1081" s="7">
        <v>0.53541666666666665</v>
      </c>
      <c r="C1081" s="9" t="str">
        <f>"FES1162671780"</f>
        <v>FES1162671780</v>
      </c>
      <c r="D1081" s="9" t="s">
        <v>18</v>
      </c>
      <c r="E1081" s="9" t="s">
        <v>214</v>
      </c>
      <c r="F1081" s="9" t="str">
        <f>"2170670841 "</f>
        <v xml:space="preserve">2170670841 </v>
      </c>
      <c r="G1081" s="9" t="str">
        <f t="shared" si="37"/>
        <v>ON1</v>
      </c>
      <c r="H1081" s="9" t="s">
        <v>20</v>
      </c>
      <c r="I1081" s="9" t="s">
        <v>215</v>
      </c>
      <c r="J1081" s="9" t="str">
        <f>""</f>
        <v/>
      </c>
      <c r="K1081" s="9" t="str">
        <f>"PFES1162671780_0001"</f>
        <v>PFES1162671780_0001</v>
      </c>
      <c r="L1081" s="9">
        <v>1</v>
      </c>
      <c r="M1081" s="9">
        <v>9</v>
      </c>
    </row>
    <row r="1082" spans="1:13">
      <c r="A1082" s="6">
        <v>43503</v>
      </c>
      <c r="B1082" s="7">
        <v>0.52569444444444446</v>
      </c>
      <c r="C1082" s="9" t="str">
        <f>"FES1162671714"</f>
        <v>FES1162671714</v>
      </c>
      <c r="D1082" s="9" t="s">
        <v>18</v>
      </c>
      <c r="E1082" s="9" t="s">
        <v>140</v>
      </c>
      <c r="F1082" s="9" t="str">
        <f>"217067304 "</f>
        <v xml:space="preserve">217067304 </v>
      </c>
      <c r="G1082" s="9" t="str">
        <f t="shared" si="37"/>
        <v>ON1</v>
      </c>
      <c r="H1082" s="9" t="s">
        <v>20</v>
      </c>
      <c r="I1082" s="9" t="s">
        <v>141</v>
      </c>
      <c r="J1082" s="9" t="str">
        <f>""</f>
        <v/>
      </c>
      <c r="K1082" s="9" t="str">
        <f>"PFES1162671714_0001"</f>
        <v>PFES1162671714_0001</v>
      </c>
      <c r="L1082" s="9">
        <v>1</v>
      </c>
      <c r="M1082" s="9">
        <v>1</v>
      </c>
    </row>
    <row r="1083" spans="1:13">
      <c r="A1083" s="6">
        <v>43503</v>
      </c>
      <c r="B1083" s="7">
        <v>0.52569444444444446</v>
      </c>
      <c r="C1083" s="9" t="str">
        <f>"FES1162671709"</f>
        <v>FES1162671709</v>
      </c>
      <c r="D1083" s="9" t="s">
        <v>18</v>
      </c>
      <c r="E1083" s="9" t="s">
        <v>140</v>
      </c>
      <c r="F1083" s="9" t="str">
        <f>"2170673034 "</f>
        <v xml:space="preserve">2170673034 </v>
      </c>
      <c r="G1083" s="9" t="str">
        <f t="shared" si="37"/>
        <v>ON1</v>
      </c>
      <c r="H1083" s="9" t="s">
        <v>20</v>
      </c>
      <c r="I1083" s="9" t="s">
        <v>141</v>
      </c>
      <c r="J1083" s="9" t="str">
        <f>""</f>
        <v/>
      </c>
      <c r="K1083" s="9" t="str">
        <f>"PFES1162671709_0001"</f>
        <v>PFES1162671709_0001</v>
      </c>
      <c r="L1083" s="9">
        <v>1</v>
      </c>
      <c r="M1083" s="9">
        <v>1</v>
      </c>
    </row>
    <row r="1084" spans="1:13">
      <c r="A1084" s="6">
        <v>43503</v>
      </c>
      <c r="B1084" s="7">
        <v>0.52500000000000002</v>
      </c>
      <c r="C1084" s="9" t="str">
        <f>"FES1162671858"</f>
        <v>FES1162671858</v>
      </c>
      <c r="D1084" s="9" t="s">
        <v>18</v>
      </c>
      <c r="E1084" s="9" t="s">
        <v>676</v>
      </c>
      <c r="F1084" s="9" t="str">
        <f>"2170673081 "</f>
        <v xml:space="preserve">2170673081 </v>
      </c>
      <c r="G1084" s="9" t="str">
        <f t="shared" si="37"/>
        <v>ON1</v>
      </c>
      <c r="H1084" s="9" t="s">
        <v>20</v>
      </c>
      <c r="I1084" s="9" t="s">
        <v>258</v>
      </c>
      <c r="J1084" s="9" t="str">
        <f>""</f>
        <v/>
      </c>
      <c r="K1084" s="9" t="str">
        <f>"PFES1162671858_0001"</f>
        <v>PFES1162671858_0001</v>
      </c>
      <c r="L1084" s="9">
        <v>1</v>
      </c>
      <c r="M1084" s="9">
        <v>1</v>
      </c>
    </row>
    <row r="1085" spans="1:13">
      <c r="A1085" s="6">
        <v>43503</v>
      </c>
      <c r="B1085" s="7">
        <v>0.52083333333333337</v>
      </c>
      <c r="C1085" s="9" t="str">
        <f>"FES1162671794"</f>
        <v>FES1162671794</v>
      </c>
      <c r="D1085" s="9" t="s">
        <v>18</v>
      </c>
      <c r="E1085" s="9" t="s">
        <v>69</v>
      </c>
      <c r="F1085" s="9" t="str">
        <f>"2170671101 "</f>
        <v xml:space="preserve">2170671101 </v>
      </c>
      <c r="G1085" s="9" t="str">
        <f t="shared" si="37"/>
        <v>ON1</v>
      </c>
      <c r="H1085" s="9" t="s">
        <v>20</v>
      </c>
      <c r="I1085" s="9" t="s">
        <v>70</v>
      </c>
      <c r="J1085" s="9" t="str">
        <f>""</f>
        <v/>
      </c>
      <c r="K1085" s="9" t="str">
        <f>"PFES1162671794_0001"</f>
        <v>PFES1162671794_0001</v>
      </c>
      <c r="L1085" s="9">
        <v>1</v>
      </c>
      <c r="M1085" s="9">
        <v>1</v>
      </c>
    </row>
    <row r="1086" spans="1:13">
      <c r="A1086" s="6">
        <v>43503</v>
      </c>
      <c r="B1086" s="7">
        <v>0.51944444444444449</v>
      </c>
      <c r="C1086" s="9" t="str">
        <f>"FES1162671852"</f>
        <v>FES1162671852</v>
      </c>
      <c r="D1086" s="9" t="s">
        <v>18</v>
      </c>
      <c r="E1086" s="9" t="s">
        <v>136</v>
      </c>
      <c r="F1086" s="9" t="str">
        <f>"2170673075 "</f>
        <v xml:space="preserve">2170673075 </v>
      </c>
      <c r="G1086" s="9" t="str">
        <f t="shared" si="37"/>
        <v>ON1</v>
      </c>
      <c r="H1086" s="9" t="s">
        <v>20</v>
      </c>
      <c r="I1086" s="9" t="s">
        <v>137</v>
      </c>
      <c r="J1086" s="9" t="str">
        <f>""</f>
        <v/>
      </c>
      <c r="K1086" s="9" t="str">
        <f>"PFES1162671852_0001"</f>
        <v>PFES1162671852_0001</v>
      </c>
      <c r="L1086" s="9">
        <v>1</v>
      </c>
      <c r="M1086" s="9">
        <v>1</v>
      </c>
    </row>
    <row r="1087" spans="1:13">
      <c r="A1087" s="6">
        <v>43503</v>
      </c>
      <c r="B1087" s="7">
        <v>0.51874999999999993</v>
      </c>
      <c r="C1087" s="9" t="str">
        <f>"FES1162671797"</f>
        <v>FES1162671797</v>
      </c>
      <c r="D1087" s="9" t="s">
        <v>18</v>
      </c>
      <c r="E1087" s="9" t="s">
        <v>162</v>
      </c>
      <c r="F1087" s="9" t="str">
        <f>"2170671110 "</f>
        <v xml:space="preserve">2170671110 </v>
      </c>
      <c r="G1087" s="9" t="str">
        <f t="shared" si="37"/>
        <v>ON1</v>
      </c>
      <c r="H1087" s="9" t="s">
        <v>20</v>
      </c>
      <c r="I1087" s="9" t="s">
        <v>163</v>
      </c>
      <c r="J1087" s="9" t="str">
        <f>""</f>
        <v/>
      </c>
      <c r="K1087" s="9" t="str">
        <f>"PFES1162671797_0001"</f>
        <v>PFES1162671797_0001</v>
      </c>
      <c r="L1087" s="9">
        <v>1</v>
      </c>
      <c r="M1087" s="9">
        <v>1</v>
      </c>
    </row>
    <row r="1088" spans="1:13">
      <c r="A1088" s="6">
        <v>43503</v>
      </c>
      <c r="B1088" s="7">
        <v>0.51874999999999993</v>
      </c>
      <c r="C1088" s="9" t="str">
        <f>"FES1162671687"</f>
        <v>FES1162671687</v>
      </c>
      <c r="D1088" s="9" t="s">
        <v>18</v>
      </c>
      <c r="E1088" s="9" t="s">
        <v>259</v>
      </c>
      <c r="F1088" s="9" t="str">
        <f>"2170671131 "</f>
        <v xml:space="preserve">2170671131 </v>
      </c>
      <c r="G1088" s="9" t="str">
        <f t="shared" si="37"/>
        <v>ON1</v>
      </c>
      <c r="H1088" s="9" t="s">
        <v>20</v>
      </c>
      <c r="I1088" s="9" t="s">
        <v>260</v>
      </c>
      <c r="J1088" s="9" t="str">
        <f>""</f>
        <v/>
      </c>
      <c r="K1088" s="9" t="str">
        <f>"PFES1162671687_0001"</f>
        <v>PFES1162671687_0001</v>
      </c>
      <c r="L1088" s="9">
        <v>1</v>
      </c>
      <c r="M1088" s="9">
        <v>1</v>
      </c>
    </row>
    <row r="1089" spans="1:13">
      <c r="A1089" s="6">
        <v>43503</v>
      </c>
      <c r="B1089" s="7">
        <v>0.51736111111111105</v>
      </c>
      <c r="C1089" s="9" t="str">
        <f>"FES1162671683"</f>
        <v>FES1162671683</v>
      </c>
      <c r="D1089" s="9" t="s">
        <v>18</v>
      </c>
      <c r="E1089" s="9" t="s">
        <v>38</v>
      </c>
      <c r="F1089" s="9" t="str">
        <f>"2170670099 "</f>
        <v xml:space="preserve">2170670099 </v>
      </c>
      <c r="G1089" s="9" t="str">
        <f t="shared" si="37"/>
        <v>ON1</v>
      </c>
      <c r="H1089" s="9" t="s">
        <v>20</v>
      </c>
      <c r="I1089" s="9" t="s">
        <v>39</v>
      </c>
      <c r="J1089" s="9" t="str">
        <f>""</f>
        <v/>
      </c>
      <c r="K1089" s="9" t="str">
        <f>"PFES1162671683_0001"</f>
        <v>PFES1162671683_0001</v>
      </c>
      <c r="L1089" s="9">
        <v>1</v>
      </c>
      <c r="M1089" s="9">
        <v>1</v>
      </c>
    </row>
    <row r="1090" spans="1:13">
      <c r="A1090" s="6">
        <v>43503</v>
      </c>
      <c r="B1090" s="7">
        <v>0.51666666666666672</v>
      </c>
      <c r="C1090" s="9" t="str">
        <f>"FES1162671751"</f>
        <v>FES1162671751</v>
      </c>
      <c r="D1090" s="9" t="s">
        <v>18</v>
      </c>
      <c r="E1090" s="9" t="s">
        <v>120</v>
      </c>
      <c r="F1090" s="9" t="str">
        <f>"2170670253 "</f>
        <v xml:space="preserve">2170670253 </v>
      </c>
      <c r="G1090" s="9" t="str">
        <f t="shared" si="37"/>
        <v>ON1</v>
      </c>
      <c r="H1090" s="9" t="s">
        <v>20</v>
      </c>
      <c r="I1090" s="9" t="s">
        <v>121</v>
      </c>
      <c r="J1090" s="9" t="str">
        <f>""</f>
        <v/>
      </c>
      <c r="K1090" s="9" t="str">
        <f>"PFES1162671751_0001"</f>
        <v>PFES1162671751_0001</v>
      </c>
      <c r="L1090" s="9">
        <v>1</v>
      </c>
      <c r="M1090" s="9">
        <v>1</v>
      </c>
    </row>
    <row r="1091" spans="1:13">
      <c r="A1091" s="6">
        <v>43503</v>
      </c>
      <c r="B1091" s="7">
        <v>0.51597222222222217</v>
      </c>
      <c r="C1091" s="9" t="str">
        <f>"FES1162671831"</f>
        <v>FES1162671831</v>
      </c>
      <c r="D1091" s="9" t="s">
        <v>18</v>
      </c>
      <c r="E1091" s="9" t="s">
        <v>677</v>
      </c>
      <c r="F1091" s="9" t="str">
        <f>"2170671479 "</f>
        <v xml:space="preserve">2170671479 </v>
      </c>
      <c r="G1091" s="9" t="str">
        <f t="shared" si="37"/>
        <v>ON1</v>
      </c>
      <c r="H1091" s="9" t="s">
        <v>20</v>
      </c>
      <c r="I1091" s="9" t="s">
        <v>149</v>
      </c>
      <c r="J1091" s="9" t="str">
        <f>""</f>
        <v/>
      </c>
      <c r="K1091" s="9" t="str">
        <f>"PFES1162671831_0001"</f>
        <v>PFES1162671831_0001</v>
      </c>
      <c r="L1091" s="9">
        <v>1</v>
      </c>
      <c r="M1091" s="9">
        <v>1</v>
      </c>
    </row>
    <row r="1092" spans="1:13">
      <c r="A1092" s="6">
        <v>43503</v>
      </c>
      <c r="B1092" s="7">
        <v>0.51597222222222217</v>
      </c>
      <c r="C1092" s="9" t="str">
        <f>"FES1162671756"</f>
        <v>FES1162671756</v>
      </c>
      <c r="D1092" s="9" t="s">
        <v>18</v>
      </c>
      <c r="E1092" s="9" t="s">
        <v>84</v>
      </c>
      <c r="F1092" s="9" t="str">
        <f>"2170671220 "</f>
        <v xml:space="preserve">2170671220 </v>
      </c>
      <c r="G1092" s="9" t="str">
        <f t="shared" si="37"/>
        <v>ON1</v>
      </c>
      <c r="H1092" s="9" t="s">
        <v>20</v>
      </c>
      <c r="I1092" s="9" t="s">
        <v>85</v>
      </c>
      <c r="J1092" s="9" t="str">
        <f>""</f>
        <v/>
      </c>
      <c r="K1092" s="9" t="str">
        <f>"PFES1162671756_0001"</f>
        <v>PFES1162671756_0001</v>
      </c>
      <c r="L1092" s="9">
        <v>1</v>
      </c>
      <c r="M1092" s="9">
        <v>1</v>
      </c>
    </row>
    <row r="1093" spans="1:13">
      <c r="A1093" s="6">
        <v>43503</v>
      </c>
      <c r="B1093" s="7">
        <v>0.51527777777777783</v>
      </c>
      <c r="C1093" s="9" t="str">
        <f>"FES1162671818"</f>
        <v>FES1162671818</v>
      </c>
      <c r="D1093" s="9" t="s">
        <v>18</v>
      </c>
      <c r="E1093" s="9" t="s">
        <v>159</v>
      </c>
      <c r="F1093" s="9" t="str">
        <f>"2170671364 "</f>
        <v xml:space="preserve">2170671364 </v>
      </c>
      <c r="G1093" s="9" t="str">
        <f t="shared" si="37"/>
        <v>ON1</v>
      </c>
      <c r="H1093" s="9" t="s">
        <v>20</v>
      </c>
      <c r="I1093" s="9" t="s">
        <v>137</v>
      </c>
      <c r="J1093" s="9" t="str">
        <f>""</f>
        <v/>
      </c>
      <c r="K1093" s="9" t="str">
        <f>"PFES1162671818_0001"</f>
        <v>PFES1162671818_0001</v>
      </c>
      <c r="L1093" s="9">
        <v>1</v>
      </c>
      <c r="M1093" s="9">
        <v>1</v>
      </c>
    </row>
    <row r="1094" spans="1:13">
      <c r="A1094" s="6">
        <v>43503</v>
      </c>
      <c r="B1094" s="7">
        <v>0.51527777777777783</v>
      </c>
      <c r="C1094" s="9" t="str">
        <f>"FES1162671719"</f>
        <v>FES1162671719</v>
      </c>
      <c r="D1094" s="9" t="s">
        <v>18</v>
      </c>
      <c r="E1094" s="9" t="s">
        <v>517</v>
      </c>
      <c r="F1094" s="9" t="str">
        <f>"2170673044 "</f>
        <v xml:space="preserve">2170673044 </v>
      </c>
      <c r="G1094" s="9" t="str">
        <f t="shared" si="37"/>
        <v>ON1</v>
      </c>
      <c r="H1094" s="9" t="s">
        <v>20</v>
      </c>
      <c r="I1094" s="9" t="s">
        <v>518</v>
      </c>
      <c r="J1094" s="9" t="str">
        <f>""</f>
        <v/>
      </c>
      <c r="K1094" s="9" t="str">
        <f>"PFES1162671719_0001"</f>
        <v>PFES1162671719_0001</v>
      </c>
      <c r="L1094" s="9">
        <v>1</v>
      </c>
      <c r="M1094" s="9">
        <v>1</v>
      </c>
    </row>
    <row r="1095" spans="1:13">
      <c r="A1095" s="6">
        <v>43503</v>
      </c>
      <c r="B1095" s="7">
        <v>0.51527777777777783</v>
      </c>
      <c r="C1095" s="9" t="str">
        <f>"FES1162671702"</f>
        <v>FES1162671702</v>
      </c>
      <c r="D1095" s="9" t="s">
        <v>18</v>
      </c>
      <c r="E1095" s="9" t="s">
        <v>678</v>
      </c>
      <c r="F1095" s="9" t="str">
        <f>"2170673025 "</f>
        <v xml:space="preserve">2170673025 </v>
      </c>
      <c r="G1095" s="9" t="str">
        <f t="shared" si="37"/>
        <v>ON1</v>
      </c>
      <c r="H1095" s="9" t="s">
        <v>20</v>
      </c>
      <c r="I1095" s="9" t="s">
        <v>679</v>
      </c>
      <c r="J1095" s="9" t="str">
        <f>""</f>
        <v/>
      </c>
      <c r="K1095" s="9" t="str">
        <f>"PFES1162671702_0001"</f>
        <v>PFES1162671702_0001</v>
      </c>
      <c r="L1095" s="9">
        <v>1</v>
      </c>
      <c r="M1095" s="9">
        <v>1</v>
      </c>
    </row>
    <row r="1096" spans="1:13">
      <c r="A1096" s="6">
        <v>43503</v>
      </c>
      <c r="B1096" s="7">
        <v>0.51458333333333328</v>
      </c>
      <c r="C1096" s="9" t="str">
        <f>"FES1162671810"</f>
        <v>FES1162671810</v>
      </c>
      <c r="D1096" s="9" t="s">
        <v>18</v>
      </c>
      <c r="E1096" s="9" t="s">
        <v>58</v>
      </c>
      <c r="F1096" s="9" t="str">
        <f>"2170671269 "</f>
        <v xml:space="preserve">2170671269 </v>
      </c>
      <c r="G1096" s="9" t="str">
        <f t="shared" si="37"/>
        <v>ON1</v>
      </c>
      <c r="H1096" s="9" t="s">
        <v>20</v>
      </c>
      <c r="I1096" s="9" t="s">
        <v>59</v>
      </c>
      <c r="J1096" s="9" t="str">
        <f>""</f>
        <v/>
      </c>
      <c r="K1096" s="9" t="str">
        <f>"PFES1162671810_0001"</f>
        <v>PFES1162671810_0001</v>
      </c>
      <c r="L1096" s="9">
        <v>1</v>
      </c>
      <c r="M1096" s="9">
        <v>1</v>
      </c>
    </row>
    <row r="1097" spans="1:13">
      <c r="A1097" s="6">
        <v>43503</v>
      </c>
      <c r="B1097" s="7">
        <v>0.51458333333333328</v>
      </c>
      <c r="C1097" s="9" t="str">
        <f>"FES1162671705"</f>
        <v>FES1162671705</v>
      </c>
      <c r="D1097" s="9" t="s">
        <v>18</v>
      </c>
      <c r="E1097" s="9" t="s">
        <v>386</v>
      </c>
      <c r="F1097" s="9" t="str">
        <f>"2170673030 "</f>
        <v xml:space="preserve">2170673030 </v>
      </c>
      <c r="G1097" s="9" t="str">
        <f t="shared" si="37"/>
        <v>ON1</v>
      </c>
      <c r="H1097" s="9" t="s">
        <v>20</v>
      </c>
      <c r="I1097" s="9" t="s">
        <v>41</v>
      </c>
      <c r="J1097" s="9" t="str">
        <f>""</f>
        <v/>
      </c>
      <c r="K1097" s="9" t="str">
        <f>"PFES1162671705_0001"</f>
        <v>PFES1162671705_0001</v>
      </c>
      <c r="L1097" s="9">
        <v>1</v>
      </c>
      <c r="M1097" s="9">
        <v>1</v>
      </c>
    </row>
    <row r="1098" spans="1:13">
      <c r="A1098" s="6">
        <v>43503</v>
      </c>
      <c r="B1098" s="7">
        <v>0.51388888888888895</v>
      </c>
      <c r="C1098" s="9" t="str">
        <f>"FES1162671820"</f>
        <v>FES1162671820</v>
      </c>
      <c r="D1098" s="9" t="s">
        <v>18</v>
      </c>
      <c r="E1098" s="9" t="s">
        <v>680</v>
      </c>
      <c r="F1098" s="9" t="str">
        <f>"2170671369 "</f>
        <v xml:space="preserve">2170671369 </v>
      </c>
      <c r="G1098" s="9" t="str">
        <f t="shared" si="37"/>
        <v>ON1</v>
      </c>
      <c r="H1098" s="9" t="s">
        <v>20</v>
      </c>
      <c r="I1098" s="9" t="s">
        <v>237</v>
      </c>
      <c r="J1098" s="9" t="str">
        <f>""</f>
        <v/>
      </c>
      <c r="K1098" s="9" t="str">
        <f>"PFES1162671820_0001"</f>
        <v>PFES1162671820_0001</v>
      </c>
      <c r="L1098" s="9">
        <v>1</v>
      </c>
      <c r="M1098" s="9">
        <v>1</v>
      </c>
    </row>
    <row r="1099" spans="1:13">
      <c r="A1099" s="6">
        <v>43503</v>
      </c>
      <c r="B1099" s="7">
        <v>0.51388888888888895</v>
      </c>
      <c r="C1099" s="9" t="str">
        <f>"FES1162671686"</f>
        <v>FES1162671686</v>
      </c>
      <c r="D1099" s="9" t="s">
        <v>18</v>
      </c>
      <c r="E1099" s="9" t="s">
        <v>681</v>
      </c>
      <c r="F1099" s="9" t="str">
        <f>"2170670733 "</f>
        <v xml:space="preserve">2170670733 </v>
      </c>
      <c r="G1099" s="9" t="str">
        <f t="shared" si="37"/>
        <v>ON1</v>
      </c>
      <c r="H1099" s="9" t="s">
        <v>20</v>
      </c>
      <c r="I1099" s="9" t="s">
        <v>682</v>
      </c>
      <c r="J1099" s="9" t="str">
        <f>""</f>
        <v/>
      </c>
      <c r="K1099" s="9" t="str">
        <f>"PFES1162671686_0001"</f>
        <v>PFES1162671686_0001</v>
      </c>
      <c r="L1099" s="9">
        <v>1</v>
      </c>
      <c r="M1099" s="9">
        <v>1</v>
      </c>
    </row>
    <row r="1100" spans="1:13">
      <c r="A1100" s="6">
        <v>43503</v>
      </c>
      <c r="B1100" s="7">
        <v>0.5131944444444444</v>
      </c>
      <c r="C1100" s="9" t="str">
        <f>"FES1162671694"</f>
        <v>FES1162671694</v>
      </c>
      <c r="D1100" s="9" t="s">
        <v>18</v>
      </c>
      <c r="E1100" s="9" t="s">
        <v>462</v>
      </c>
      <c r="F1100" s="9" t="str">
        <f>"2170672577 "</f>
        <v xml:space="preserve">2170672577 </v>
      </c>
      <c r="G1100" s="9" t="str">
        <f t="shared" si="37"/>
        <v>ON1</v>
      </c>
      <c r="H1100" s="9" t="s">
        <v>20</v>
      </c>
      <c r="I1100" s="9" t="s">
        <v>463</v>
      </c>
      <c r="J1100" s="9" t="str">
        <f>""</f>
        <v/>
      </c>
      <c r="K1100" s="9" t="str">
        <f>"PFES1162671694_0001"</f>
        <v>PFES1162671694_0001</v>
      </c>
      <c r="L1100" s="9">
        <v>1</v>
      </c>
      <c r="M1100" s="9">
        <v>1</v>
      </c>
    </row>
    <row r="1101" spans="1:13">
      <c r="A1101" s="6">
        <v>43503</v>
      </c>
      <c r="B1101" s="7">
        <v>0.5131944444444444</v>
      </c>
      <c r="C1101" s="9" t="str">
        <f>"FES1162671742"</f>
        <v>FES1162671742</v>
      </c>
      <c r="D1101" s="9" t="s">
        <v>18</v>
      </c>
      <c r="E1101" s="9" t="s">
        <v>307</v>
      </c>
      <c r="F1101" s="9" t="str">
        <f>"2170668419 "</f>
        <v xml:space="preserve">2170668419 </v>
      </c>
      <c r="G1101" s="9" t="str">
        <f t="shared" si="37"/>
        <v>ON1</v>
      </c>
      <c r="H1101" s="9" t="s">
        <v>20</v>
      </c>
      <c r="I1101" s="9" t="s">
        <v>43</v>
      </c>
      <c r="J1101" s="9" t="str">
        <f>""</f>
        <v/>
      </c>
      <c r="K1101" s="9" t="str">
        <f>"PFES1162671742_0001"</f>
        <v>PFES1162671742_0001</v>
      </c>
      <c r="L1101" s="9">
        <v>1</v>
      </c>
      <c r="M1101" s="9">
        <v>1</v>
      </c>
    </row>
    <row r="1102" spans="1:13">
      <c r="A1102" s="6">
        <v>43503</v>
      </c>
      <c r="B1102" s="7">
        <v>0.51250000000000007</v>
      </c>
      <c r="C1102" s="9" t="str">
        <f>"FES1162671838"</f>
        <v>FES1162671838</v>
      </c>
      <c r="D1102" s="9" t="s">
        <v>18</v>
      </c>
      <c r="E1102" s="9" t="s">
        <v>672</v>
      </c>
      <c r="F1102" s="9" t="str">
        <f>"2170671516 "</f>
        <v xml:space="preserve">2170671516 </v>
      </c>
      <c r="G1102" s="9" t="str">
        <f t="shared" si="37"/>
        <v>ON1</v>
      </c>
      <c r="H1102" s="9" t="s">
        <v>20</v>
      </c>
      <c r="I1102" s="9" t="s">
        <v>31</v>
      </c>
      <c r="J1102" s="9" t="str">
        <f>""</f>
        <v/>
      </c>
      <c r="K1102" s="9" t="str">
        <f>"PFES1162671838_0001"</f>
        <v>PFES1162671838_0001</v>
      </c>
      <c r="L1102" s="9">
        <v>1</v>
      </c>
      <c r="M1102" s="9">
        <v>1</v>
      </c>
    </row>
    <row r="1103" spans="1:13">
      <c r="A1103" s="6">
        <v>43503</v>
      </c>
      <c r="B1103" s="7">
        <v>0.51250000000000007</v>
      </c>
      <c r="C1103" s="9" t="str">
        <f>"FES1162671736"</f>
        <v>FES1162671736</v>
      </c>
      <c r="D1103" s="9" t="s">
        <v>18</v>
      </c>
      <c r="E1103" s="9" t="s">
        <v>102</v>
      </c>
      <c r="F1103" s="9" t="str">
        <f>"2170673058 "</f>
        <v xml:space="preserve">2170673058 </v>
      </c>
      <c r="G1103" s="9" t="str">
        <f t="shared" si="37"/>
        <v>ON1</v>
      </c>
      <c r="H1103" s="9" t="s">
        <v>20</v>
      </c>
      <c r="I1103" s="9" t="s">
        <v>103</v>
      </c>
      <c r="J1103" s="9" t="str">
        <f>""</f>
        <v/>
      </c>
      <c r="K1103" s="9" t="str">
        <f>"PFES1162671736_0001"</f>
        <v>PFES1162671736_0001</v>
      </c>
      <c r="L1103" s="9">
        <v>1</v>
      </c>
      <c r="M1103" s="9">
        <v>1</v>
      </c>
    </row>
    <row r="1104" spans="1:13">
      <c r="A1104" s="6">
        <v>43503</v>
      </c>
      <c r="B1104" s="7">
        <v>0.51180555555555551</v>
      </c>
      <c r="C1104" s="9" t="str">
        <f>"FES1162671844"</f>
        <v>FES1162671844</v>
      </c>
      <c r="D1104" s="9" t="s">
        <v>18</v>
      </c>
      <c r="E1104" s="9" t="s">
        <v>110</v>
      </c>
      <c r="F1104" s="9" t="str">
        <f>"2170671586 "</f>
        <v xml:space="preserve">2170671586 </v>
      </c>
      <c r="G1104" s="9" t="str">
        <f t="shared" si="37"/>
        <v>ON1</v>
      </c>
      <c r="H1104" s="9" t="s">
        <v>20</v>
      </c>
      <c r="I1104" s="9" t="s">
        <v>111</v>
      </c>
      <c r="J1104" s="9" t="str">
        <f>""</f>
        <v/>
      </c>
      <c r="K1104" s="9" t="str">
        <f>"PFES1162671844_0001"</f>
        <v>PFES1162671844_0001</v>
      </c>
      <c r="L1104" s="9">
        <v>1</v>
      </c>
      <c r="M1104" s="9">
        <v>1</v>
      </c>
    </row>
    <row r="1105" spans="1:13">
      <c r="A1105" s="6">
        <v>43503</v>
      </c>
      <c r="B1105" s="7">
        <v>0.51180555555555551</v>
      </c>
      <c r="C1105" s="9" t="str">
        <f>"FES1162671846"</f>
        <v>FES1162671846</v>
      </c>
      <c r="D1105" s="9" t="s">
        <v>18</v>
      </c>
      <c r="E1105" s="9" t="s">
        <v>58</v>
      </c>
      <c r="F1105" s="9" t="str">
        <f>"2170673069 "</f>
        <v xml:space="preserve">2170673069 </v>
      </c>
      <c r="G1105" s="9" t="str">
        <f t="shared" si="37"/>
        <v>ON1</v>
      </c>
      <c r="H1105" s="9" t="s">
        <v>20</v>
      </c>
      <c r="I1105" s="9" t="s">
        <v>59</v>
      </c>
      <c r="J1105" s="9" t="str">
        <f>""</f>
        <v/>
      </c>
      <c r="K1105" s="9" t="str">
        <f>"PFES1162671846_0001"</f>
        <v>PFES1162671846_0001</v>
      </c>
      <c r="L1105" s="9">
        <v>1</v>
      </c>
      <c r="M1105" s="9">
        <v>1</v>
      </c>
    </row>
    <row r="1106" spans="1:13">
      <c r="A1106" s="6">
        <v>43503</v>
      </c>
      <c r="B1106" s="7">
        <v>0.51111111111111118</v>
      </c>
      <c r="C1106" s="9" t="str">
        <f>"FES1162671833"</f>
        <v>FES1162671833</v>
      </c>
      <c r="D1106" s="9" t="s">
        <v>18</v>
      </c>
      <c r="E1106" s="9" t="s">
        <v>295</v>
      </c>
      <c r="F1106" s="9" t="str">
        <f>"2170671489 "</f>
        <v xml:space="preserve">2170671489 </v>
      </c>
      <c r="G1106" s="9" t="str">
        <f t="shared" ref="G1106:G1169" si="38">"ON1"</f>
        <v>ON1</v>
      </c>
      <c r="H1106" s="9" t="s">
        <v>20</v>
      </c>
      <c r="I1106" s="9" t="s">
        <v>53</v>
      </c>
      <c r="J1106" s="9" t="str">
        <f>""</f>
        <v/>
      </c>
      <c r="K1106" s="9" t="str">
        <f>"PFES1162671833_0001"</f>
        <v>PFES1162671833_0001</v>
      </c>
      <c r="L1106" s="9">
        <v>1</v>
      </c>
      <c r="M1106" s="9">
        <v>1</v>
      </c>
    </row>
    <row r="1107" spans="1:13">
      <c r="A1107" s="6">
        <v>43503</v>
      </c>
      <c r="B1107" s="7">
        <v>0.51041666666666663</v>
      </c>
      <c r="C1107" s="9" t="str">
        <f>"FES1162671752"</f>
        <v>FES1162671752</v>
      </c>
      <c r="D1107" s="9" t="s">
        <v>18</v>
      </c>
      <c r="E1107" s="9" t="s">
        <v>452</v>
      </c>
      <c r="F1107" s="9" t="str">
        <f>"2170670972 "</f>
        <v xml:space="preserve">2170670972 </v>
      </c>
      <c r="G1107" s="9" t="str">
        <f t="shared" si="38"/>
        <v>ON1</v>
      </c>
      <c r="H1107" s="9" t="s">
        <v>20</v>
      </c>
      <c r="I1107" s="9" t="s">
        <v>453</v>
      </c>
      <c r="J1107" s="9" t="str">
        <f>""</f>
        <v/>
      </c>
      <c r="K1107" s="9" t="str">
        <f>"PFES1162671752_0001"</f>
        <v>PFES1162671752_0001</v>
      </c>
      <c r="L1107" s="9">
        <v>1</v>
      </c>
      <c r="M1107" s="9">
        <v>1</v>
      </c>
    </row>
    <row r="1108" spans="1:13">
      <c r="A1108" s="6">
        <v>43503</v>
      </c>
      <c r="B1108" s="7">
        <v>0.51041666666666663</v>
      </c>
      <c r="C1108" s="9" t="str">
        <f>"FES1162671824"</f>
        <v>FES1162671824</v>
      </c>
      <c r="D1108" s="9" t="s">
        <v>18</v>
      </c>
      <c r="E1108" s="9" t="s">
        <v>138</v>
      </c>
      <c r="F1108" s="9" t="str">
        <f>"2170671403 "</f>
        <v xml:space="preserve">2170671403 </v>
      </c>
      <c r="G1108" s="9" t="str">
        <f t="shared" si="38"/>
        <v>ON1</v>
      </c>
      <c r="H1108" s="9" t="s">
        <v>20</v>
      </c>
      <c r="I1108" s="9" t="s">
        <v>139</v>
      </c>
      <c r="J1108" s="9" t="str">
        <f>""</f>
        <v/>
      </c>
      <c r="K1108" s="9" t="str">
        <f>"PFES1162671824_0001"</f>
        <v>PFES1162671824_0001</v>
      </c>
      <c r="L1108" s="9">
        <v>1</v>
      </c>
      <c r="M1108" s="9">
        <v>1</v>
      </c>
    </row>
    <row r="1109" spans="1:13">
      <c r="A1109" s="6">
        <v>43503</v>
      </c>
      <c r="B1109" s="7">
        <v>0.51041666666666663</v>
      </c>
      <c r="C1109" s="9" t="str">
        <f>"FES1162671699"</f>
        <v>FES1162671699</v>
      </c>
      <c r="D1109" s="9" t="s">
        <v>18</v>
      </c>
      <c r="E1109" s="9" t="s">
        <v>129</v>
      </c>
      <c r="F1109" s="9" t="str">
        <f>"2170673018 "</f>
        <v xml:space="preserve">2170673018 </v>
      </c>
      <c r="G1109" s="9" t="str">
        <f t="shared" si="38"/>
        <v>ON1</v>
      </c>
      <c r="H1109" s="9" t="s">
        <v>20</v>
      </c>
      <c r="I1109" s="9" t="s">
        <v>130</v>
      </c>
      <c r="J1109" s="9" t="str">
        <f>""</f>
        <v/>
      </c>
      <c r="K1109" s="9" t="str">
        <f>"PFES1162671699_0001"</f>
        <v>PFES1162671699_0001</v>
      </c>
      <c r="L1109" s="9">
        <v>1</v>
      </c>
      <c r="M1109" s="9">
        <v>1</v>
      </c>
    </row>
    <row r="1110" spans="1:13">
      <c r="A1110" s="6">
        <v>43503</v>
      </c>
      <c r="B1110" s="7">
        <v>0.50972222222222219</v>
      </c>
      <c r="C1110" s="9" t="str">
        <f>"FES1162671814"</f>
        <v>FES1162671814</v>
      </c>
      <c r="D1110" s="9" t="s">
        <v>18</v>
      </c>
      <c r="E1110" s="9" t="s">
        <v>88</v>
      </c>
      <c r="F1110" s="9" t="str">
        <f>"2170671311 "</f>
        <v xml:space="preserve">2170671311 </v>
      </c>
      <c r="G1110" s="9" t="str">
        <f t="shared" si="38"/>
        <v>ON1</v>
      </c>
      <c r="H1110" s="9" t="s">
        <v>20</v>
      </c>
      <c r="I1110" s="9" t="s">
        <v>89</v>
      </c>
      <c r="J1110" s="9" t="str">
        <f>""</f>
        <v/>
      </c>
      <c r="K1110" s="9" t="str">
        <f>"PFES1162671814_0001"</f>
        <v>PFES1162671814_0001</v>
      </c>
      <c r="L1110" s="9">
        <v>1</v>
      </c>
      <c r="M1110" s="9">
        <v>1</v>
      </c>
    </row>
    <row r="1111" spans="1:13">
      <c r="A1111" s="6">
        <v>43503</v>
      </c>
      <c r="B1111" s="7">
        <v>0.50972222222222219</v>
      </c>
      <c r="C1111" s="9" t="str">
        <f>"FES1162671839"</f>
        <v>FES1162671839</v>
      </c>
      <c r="D1111" s="9" t="s">
        <v>18</v>
      </c>
      <c r="E1111" s="9" t="s">
        <v>138</v>
      </c>
      <c r="F1111" s="9" t="str">
        <f>"2170671522 "</f>
        <v xml:space="preserve">2170671522 </v>
      </c>
      <c r="G1111" s="9" t="str">
        <f t="shared" si="38"/>
        <v>ON1</v>
      </c>
      <c r="H1111" s="9" t="s">
        <v>20</v>
      </c>
      <c r="I1111" s="9" t="s">
        <v>139</v>
      </c>
      <c r="J1111" s="9" t="str">
        <f>""</f>
        <v/>
      </c>
      <c r="K1111" s="9" t="str">
        <f>"PFES1162671839_0001"</f>
        <v>PFES1162671839_0001</v>
      </c>
      <c r="L1111" s="9">
        <v>1</v>
      </c>
      <c r="M1111" s="9">
        <v>1</v>
      </c>
    </row>
    <row r="1112" spans="1:13">
      <c r="A1112" s="6">
        <v>43503</v>
      </c>
      <c r="B1112" s="7">
        <v>0.50902777777777775</v>
      </c>
      <c r="C1112" s="9" t="str">
        <f>"FES1162671801"</f>
        <v>FES1162671801</v>
      </c>
      <c r="D1112" s="9" t="s">
        <v>18</v>
      </c>
      <c r="E1112" s="9" t="s">
        <v>683</v>
      </c>
      <c r="F1112" s="9" t="str">
        <f>"2170671154 "</f>
        <v xml:space="preserve">2170671154 </v>
      </c>
      <c r="G1112" s="9" t="str">
        <f t="shared" si="38"/>
        <v>ON1</v>
      </c>
      <c r="H1112" s="9" t="s">
        <v>20</v>
      </c>
      <c r="I1112" s="9" t="s">
        <v>684</v>
      </c>
      <c r="J1112" s="9" t="str">
        <f>""</f>
        <v/>
      </c>
      <c r="K1112" s="9" t="str">
        <f>"PFES1162671801_0001"</f>
        <v>PFES1162671801_0001</v>
      </c>
      <c r="L1112" s="9">
        <v>1</v>
      </c>
      <c r="M1112" s="9">
        <v>1</v>
      </c>
    </row>
    <row r="1113" spans="1:13">
      <c r="A1113" s="6">
        <v>43503</v>
      </c>
      <c r="B1113" s="7">
        <v>0.50902777777777775</v>
      </c>
      <c r="C1113" s="9" t="str">
        <f>"FES1162671855"</f>
        <v>FES1162671855</v>
      </c>
      <c r="D1113" s="9" t="s">
        <v>18</v>
      </c>
      <c r="E1113" s="9" t="s">
        <v>229</v>
      </c>
      <c r="F1113" s="9" t="str">
        <f>"2170673078 "</f>
        <v xml:space="preserve">2170673078 </v>
      </c>
      <c r="G1113" s="9" t="str">
        <f t="shared" si="38"/>
        <v>ON1</v>
      </c>
      <c r="H1113" s="9" t="s">
        <v>20</v>
      </c>
      <c r="I1113" s="9" t="s">
        <v>111</v>
      </c>
      <c r="J1113" s="9" t="str">
        <f>""</f>
        <v/>
      </c>
      <c r="K1113" s="9" t="str">
        <f>"PFES1162671855_0001"</f>
        <v>PFES1162671855_0001</v>
      </c>
      <c r="L1113" s="9">
        <v>1</v>
      </c>
      <c r="M1113" s="9">
        <v>1</v>
      </c>
    </row>
    <row r="1114" spans="1:13">
      <c r="A1114" s="6">
        <v>43503</v>
      </c>
      <c r="B1114" s="7">
        <v>0.5083333333333333</v>
      </c>
      <c r="C1114" s="9" t="str">
        <f>"FES1162671698"</f>
        <v>FES1162671698</v>
      </c>
      <c r="D1114" s="9" t="s">
        <v>18</v>
      </c>
      <c r="E1114" s="9" t="s">
        <v>685</v>
      </c>
      <c r="F1114" s="9" t="str">
        <f>"2170673012 "</f>
        <v xml:space="preserve">2170673012 </v>
      </c>
      <c r="G1114" s="9" t="str">
        <f t="shared" si="38"/>
        <v>ON1</v>
      </c>
      <c r="H1114" s="9" t="s">
        <v>20</v>
      </c>
      <c r="I1114" s="9" t="s">
        <v>686</v>
      </c>
      <c r="J1114" s="9" t="str">
        <f>""</f>
        <v/>
      </c>
      <c r="K1114" s="9" t="str">
        <f>"PFES1162671698_0001"</f>
        <v>PFES1162671698_0001</v>
      </c>
      <c r="L1114" s="9">
        <v>1</v>
      </c>
      <c r="M1114" s="9">
        <v>1</v>
      </c>
    </row>
    <row r="1115" spans="1:13">
      <c r="A1115" s="6">
        <v>43503</v>
      </c>
      <c r="B1115" s="7">
        <v>0.5083333333333333</v>
      </c>
      <c r="C1115" s="9" t="str">
        <f>"FES1162671695"</f>
        <v>FES1162671695</v>
      </c>
      <c r="D1115" s="9" t="s">
        <v>18</v>
      </c>
      <c r="E1115" s="9" t="s">
        <v>298</v>
      </c>
      <c r="F1115" s="9" t="str">
        <f>"2170672953 "</f>
        <v xml:space="preserve">2170672953 </v>
      </c>
      <c r="G1115" s="9" t="str">
        <f t="shared" si="38"/>
        <v>ON1</v>
      </c>
      <c r="H1115" s="9" t="s">
        <v>20</v>
      </c>
      <c r="I1115" s="9" t="s">
        <v>93</v>
      </c>
      <c r="J1115" s="9" t="str">
        <f>""</f>
        <v/>
      </c>
      <c r="K1115" s="9" t="str">
        <f>"PFES1162671695_0001"</f>
        <v>PFES1162671695_0001</v>
      </c>
      <c r="L1115" s="9">
        <v>1</v>
      </c>
      <c r="M1115" s="9">
        <v>1</v>
      </c>
    </row>
    <row r="1116" spans="1:13">
      <c r="A1116" s="6">
        <v>43503</v>
      </c>
      <c r="B1116" s="7">
        <v>0.50763888888888886</v>
      </c>
      <c r="C1116" s="9" t="str">
        <f>"FES1162671691"</f>
        <v>FES1162671691</v>
      </c>
      <c r="D1116" s="9" t="s">
        <v>18</v>
      </c>
      <c r="E1116" s="9" t="s">
        <v>47</v>
      </c>
      <c r="F1116" s="9" t="str">
        <f>"2170671821 "</f>
        <v xml:space="preserve">2170671821 </v>
      </c>
      <c r="G1116" s="9" t="str">
        <f t="shared" si="38"/>
        <v>ON1</v>
      </c>
      <c r="H1116" s="9" t="s">
        <v>20</v>
      </c>
      <c r="I1116" s="9" t="s">
        <v>48</v>
      </c>
      <c r="J1116" s="9" t="str">
        <f>""</f>
        <v/>
      </c>
      <c r="K1116" s="9" t="str">
        <f>"PFES1162671691_0001"</f>
        <v>PFES1162671691_0001</v>
      </c>
      <c r="L1116" s="9">
        <v>1</v>
      </c>
      <c r="M1116" s="9">
        <v>1</v>
      </c>
    </row>
    <row r="1117" spans="1:13">
      <c r="A1117" s="6">
        <v>43503</v>
      </c>
      <c r="B1117" s="7">
        <v>0.50486111111111109</v>
      </c>
      <c r="C1117" s="9" t="str">
        <f>"FES1162671753"</f>
        <v>FES1162671753</v>
      </c>
      <c r="D1117" s="9" t="s">
        <v>18</v>
      </c>
      <c r="E1117" s="9" t="s">
        <v>436</v>
      </c>
      <c r="F1117" s="9" t="str">
        <f>"2170670993 "</f>
        <v xml:space="preserve">2170670993 </v>
      </c>
      <c r="G1117" s="9" t="str">
        <f t="shared" si="38"/>
        <v>ON1</v>
      </c>
      <c r="H1117" s="9" t="s">
        <v>20</v>
      </c>
      <c r="I1117" s="9" t="s">
        <v>437</v>
      </c>
      <c r="J1117" s="9" t="str">
        <f>""</f>
        <v/>
      </c>
      <c r="K1117" s="9" t="str">
        <f>"PFES1162671753_0001"</f>
        <v>PFES1162671753_0001</v>
      </c>
      <c r="L1117" s="9">
        <v>1</v>
      </c>
      <c r="M1117" s="9">
        <v>1</v>
      </c>
    </row>
    <row r="1118" spans="1:13">
      <c r="A1118" s="6">
        <v>43503</v>
      </c>
      <c r="B1118" s="7">
        <v>0.50347222222222221</v>
      </c>
      <c r="C1118" s="9" t="str">
        <f>"FES1162671712"</f>
        <v>FES1162671712</v>
      </c>
      <c r="D1118" s="9" t="s">
        <v>18</v>
      </c>
      <c r="E1118" s="9" t="s">
        <v>136</v>
      </c>
      <c r="F1118" s="9" t="str">
        <f>"2170669199 "</f>
        <v xml:space="preserve">2170669199 </v>
      </c>
      <c r="G1118" s="9" t="str">
        <f t="shared" si="38"/>
        <v>ON1</v>
      </c>
      <c r="H1118" s="9" t="s">
        <v>20</v>
      </c>
      <c r="I1118" s="9" t="s">
        <v>137</v>
      </c>
      <c r="J1118" s="9" t="str">
        <f>""</f>
        <v/>
      </c>
      <c r="K1118" s="9" t="str">
        <f>"PFES1162671712_0001"</f>
        <v>PFES1162671712_0001</v>
      </c>
      <c r="L1118" s="9">
        <v>1</v>
      </c>
      <c r="M1118" s="9">
        <v>6</v>
      </c>
    </row>
    <row r="1119" spans="1:13">
      <c r="A1119" s="6">
        <v>43503</v>
      </c>
      <c r="B1119" s="7">
        <v>0.50208333333333333</v>
      </c>
      <c r="C1119" s="9" t="str">
        <f>"FES1162671813"</f>
        <v>FES1162671813</v>
      </c>
      <c r="D1119" s="9" t="s">
        <v>18</v>
      </c>
      <c r="E1119" s="9" t="s">
        <v>536</v>
      </c>
      <c r="F1119" s="9" t="str">
        <f>"2170671309 "</f>
        <v xml:space="preserve">2170671309 </v>
      </c>
      <c r="G1119" s="9" t="str">
        <f t="shared" si="38"/>
        <v>ON1</v>
      </c>
      <c r="H1119" s="9" t="s">
        <v>20</v>
      </c>
      <c r="I1119" s="9" t="s">
        <v>362</v>
      </c>
      <c r="J1119" s="9" t="str">
        <f>""</f>
        <v/>
      </c>
      <c r="K1119" s="9" t="str">
        <f>"PFES1162671813_0001"</f>
        <v>PFES1162671813_0001</v>
      </c>
      <c r="L1119" s="9">
        <v>1</v>
      </c>
      <c r="M1119" s="9">
        <v>3</v>
      </c>
    </row>
    <row r="1120" spans="1:13">
      <c r="A1120" s="6">
        <v>43503</v>
      </c>
      <c r="B1120" s="7">
        <v>0.47986111111111113</v>
      </c>
      <c r="C1120" s="9" t="str">
        <f>"FES1162671772"</f>
        <v>FES1162671772</v>
      </c>
      <c r="D1120" s="9" t="s">
        <v>18</v>
      </c>
      <c r="E1120" s="9" t="s">
        <v>670</v>
      </c>
      <c r="F1120" s="9" t="str">
        <f>"2170669972 "</f>
        <v xml:space="preserve">2170669972 </v>
      </c>
      <c r="G1120" s="9" t="str">
        <f t="shared" si="38"/>
        <v>ON1</v>
      </c>
      <c r="H1120" s="9" t="s">
        <v>20</v>
      </c>
      <c r="I1120" s="9" t="s">
        <v>213</v>
      </c>
      <c r="J1120" s="9" t="str">
        <f>""</f>
        <v/>
      </c>
      <c r="K1120" s="9" t="str">
        <f>"PFES1162671772_0001"</f>
        <v>PFES1162671772_0001</v>
      </c>
      <c r="L1120" s="9">
        <v>1</v>
      </c>
      <c r="M1120" s="9">
        <v>1</v>
      </c>
    </row>
    <row r="1121" spans="1:13">
      <c r="A1121" s="6">
        <v>43503</v>
      </c>
      <c r="B1121" s="7">
        <v>0.47986111111111113</v>
      </c>
      <c r="C1121" s="9" t="str">
        <f>"FES1162671711"</f>
        <v>FES1162671711</v>
      </c>
      <c r="D1121" s="9" t="s">
        <v>18</v>
      </c>
      <c r="E1121" s="9" t="s">
        <v>425</v>
      </c>
      <c r="F1121" s="9" t="str">
        <f>"2170673038 "</f>
        <v xml:space="preserve">2170673038 </v>
      </c>
      <c r="G1121" s="9" t="str">
        <f t="shared" si="38"/>
        <v>ON1</v>
      </c>
      <c r="H1121" s="9" t="s">
        <v>20</v>
      </c>
      <c r="I1121" s="9" t="s">
        <v>213</v>
      </c>
      <c r="J1121" s="9" t="str">
        <f>""</f>
        <v/>
      </c>
      <c r="K1121" s="9" t="str">
        <f>"PFES1162671711_0001"</f>
        <v>PFES1162671711_0001</v>
      </c>
      <c r="L1121" s="9">
        <v>1</v>
      </c>
      <c r="M1121" s="9">
        <v>1</v>
      </c>
    </row>
    <row r="1122" spans="1:13">
      <c r="A1122" s="6">
        <v>43503</v>
      </c>
      <c r="B1122" s="7">
        <v>0.47986111111111113</v>
      </c>
      <c r="C1122" s="9" t="str">
        <f>"FES1162671740"</f>
        <v>FES1162671740</v>
      </c>
      <c r="D1122" s="9" t="s">
        <v>18</v>
      </c>
      <c r="E1122" s="9" t="s">
        <v>687</v>
      </c>
      <c r="F1122" s="9" t="str">
        <f>"2170668096 "</f>
        <v xml:space="preserve">2170668096 </v>
      </c>
      <c r="G1122" s="9" t="str">
        <f t="shared" si="38"/>
        <v>ON1</v>
      </c>
      <c r="H1122" s="9" t="s">
        <v>20</v>
      </c>
      <c r="I1122" s="9" t="s">
        <v>688</v>
      </c>
      <c r="J1122" s="9" t="str">
        <f>""</f>
        <v/>
      </c>
      <c r="K1122" s="9" t="str">
        <f>"PFES1162671740_0001"</f>
        <v>PFES1162671740_0001</v>
      </c>
      <c r="L1122" s="9">
        <v>1</v>
      </c>
      <c r="M1122" s="9">
        <v>1</v>
      </c>
    </row>
    <row r="1123" spans="1:13">
      <c r="A1123" s="6">
        <v>43503</v>
      </c>
      <c r="B1123" s="7">
        <v>0.47916666666666669</v>
      </c>
      <c r="C1123" s="9" t="str">
        <f>"FES1162671799"</f>
        <v>FES1162671799</v>
      </c>
      <c r="D1123" s="9" t="s">
        <v>18</v>
      </c>
      <c r="E1123" s="9" t="s">
        <v>380</v>
      </c>
      <c r="F1123" s="9" t="str">
        <f>"2170671127 "</f>
        <v xml:space="preserve">2170671127 </v>
      </c>
      <c r="G1123" s="9" t="str">
        <f t="shared" si="38"/>
        <v>ON1</v>
      </c>
      <c r="H1123" s="9" t="s">
        <v>20</v>
      </c>
      <c r="I1123" s="9" t="s">
        <v>213</v>
      </c>
      <c r="J1123" s="9" t="str">
        <f>""</f>
        <v/>
      </c>
      <c r="K1123" s="9" t="str">
        <f>"PFES1162671799_0001"</f>
        <v>PFES1162671799_0001</v>
      </c>
      <c r="L1123" s="9">
        <v>1</v>
      </c>
      <c r="M1123" s="9">
        <v>1</v>
      </c>
    </row>
    <row r="1124" spans="1:13">
      <c r="A1124" s="6">
        <v>43503</v>
      </c>
      <c r="B1124" s="7">
        <v>0.47916666666666669</v>
      </c>
      <c r="C1124" s="9" t="str">
        <f>"FES1162671816"</f>
        <v>FES1162671816</v>
      </c>
      <c r="D1124" s="9" t="s">
        <v>18</v>
      </c>
      <c r="E1124" s="9" t="s">
        <v>547</v>
      </c>
      <c r="F1124" s="9" t="str">
        <f>"2170671347 "</f>
        <v xml:space="preserve">2170671347 </v>
      </c>
      <c r="G1124" s="9" t="str">
        <f t="shared" si="38"/>
        <v>ON1</v>
      </c>
      <c r="H1124" s="9" t="s">
        <v>20</v>
      </c>
      <c r="I1124" s="9" t="s">
        <v>548</v>
      </c>
      <c r="J1124" s="9" t="str">
        <f>""</f>
        <v/>
      </c>
      <c r="K1124" s="9" t="str">
        <f>"PFES1162671816_0001"</f>
        <v>PFES1162671816_0001</v>
      </c>
      <c r="L1124" s="9">
        <v>1</v>
      </c>
      <c r="M1124" s="9">
        <v>1</v>
      </c>
    </row>
    <row r="1125" spans="1:13">
      <c r="A1125" s="6">
        <v>43503</v>
      </c>
      <c r="B1125" s="7">
        <v>0.47916666666666669</v>
      </c>
      <c r="C1125" s="9" t="str">
        <f>"FES1162671746"</f>
        <v>FES1162671746</v>
      </c>
      <c r="D1125" s="9" t="s">
        <v>18</v>
      </c>
      <c r="E1125" s="9" t="s">
        <v>590</v>
      </c>
      <c r="F1125" s="9" t="str">
        <f>"2170669019 "</f>
        <v xml:space="preserve">2170669019 </v>
      </c>
      <c r="G1125" s="9" t="str">
        <f t="shared" si="38"/>
        <v>ON1</v>
      </c>
      <c r="H1125" s="9" t="s">
        <v>20</v>
      </c>
      <c r="I1125" s="9" t="s">
        <v>99</v>
      </c>
      <c r="J1125" s="9" t="str">
        <f>""</f>
        <v/>
      </c>
      <c r="K1125" s="9" t="str">
        <f>"PFES1162671746_0001"</f>
        <v>PFES1162671746_0001</v>
      </c>
      <c r="L1125" s="9">
        <v>1</v>
      </c>
      <c r="M1125" s="9">
        <v>1</v>
      </c>
    </row>
    <row r="1126" spans="1:13">
      <c r="A1126" s="6">
        <v>43503</v>
      </c>
      <c r="B1126" s="7">
        <v>0.47847222222222219</v>
      </c>
      <c r="C1126" s="9" t="str">
        <f>"FES1162671767"</f>
        <v>FES1162671767</v>
      </c>
      <c r="D1126" s="9" t="s">
        <v>18</v>
      </c>
      <c r="E1126" s="9" t="s">
        <v>47</v>
      </c>
      <c r="F1126" s="9" t="str">
        <f>"2170664923 "</f>
        <v xml:space="preserve">2170664923 </v>
      </c>
      <c r="G1126" s="9" t="str">
        <f t="shared" si="38"/>
        <v>ON1</v>
      </c>
      <c r="H1126" s="9" t="s">
        <v>20</v>
      </c>
      <c r="I1126" s="9" t="s">
        <v>48</v>
      </c>
      <c r="J1126" s="9" t="str">
        <f>""</f>
        <v/>
      </c>
      <c r="K1126" s="9" t="str">
        <f>"PFES1162671767_0001"</f>
        <v>PFES1162671767_0001</v>
      </c>
      <c r="L1126" s="9">
        <v>1</v>
      </c>
      <c r="M1126" s="9">
        <v>1</v>
      </c>
    </row>
    <row r="1127" spans="1:13">
      <c r="A1127" s="6">
        <v>43503</v>
      </c>
      <c r="B1127" s="7">
        <v>0.47847222222222219</v>
      </c>
      <c r="C1127" s="9" t="str">
        <f>"FES1162671673"</f>
        <v>FES1162671673</v>
      </c>
      <c r="D1127" s="9" t="s">
        <v>18</v>
      </c>
      <c r="E1127" s="9" t="s">
        <v>19</v>
      </c>
      <c r="F1127" s="9" t="str">
        <f>"2170672823 "</f>
        <v xml:space="preserve">2170672823 </v>
      </c>
      <c r="G1127" s="9" t="str">
        <f t="shared" si="38"/>
        <v>ON1</v>
      </c>
      <c r="H1127" s="9" t="s">
        <v>20</v>
      </c>
      <c r="I1127" s="9" t="s">
        <v>21</v>
      </c>
      <c r="J1127" s="9" t="str">
        <f>""</f>
        <v/>
      </c>
      <c r="K1127" s="9" t="str">
        <f>"PFES1162671673_0001"</f>
        <v>PFES1162671673_0001</v>
      </c>
      <c r="L1127" s="9">
        <v>1</v>
      </c>
      <c r="M1127" s="9">
        <v>1</v>
      </c>
    </row>
    <row r="1128" spans="1:13">
      <c r="A1128" s="6">
        <v>43503</v>
      </c>
      <c r="B1128" s="7">
        <v>0.4777777777777778</v>
      </c>
      <c r="C1128" s="9" t="str">
        <f>"FES1162671671"</f>
        <v>FES1162671671</v>
      </c>
      <c r="D1128" s="9" t="s">
        <v>18</v>
      </c>
      <c r="E1128" s="9" t="s">
        <v>634</v>
      </c>
      <c r="F1128" s="9" t="str">
        <f>"2170672826 "</f>
        <v xml:space="preserve">2170672826 </v>
      </c>
      <c r="G1128" s="9" t="str">
        <f t="shared" si="38"/>
        <v>ON1</v>
      </c>
      <c r="H1128" s="9" t="s">
        <v>20</v>
      </c>
      <c r="I1128" s="9" t="s">
        <v>635</v>
      </c>
      <c r="J1128" s="9" t="str">
        <f>""</f>
        <v/>
      </c>
      <c r="K1128" s="9" t="str">
        <f>"PFES1162671671_0001"</f>
        <v>PFES1162671671_0001</v>
      </c>
      <c r="L1128" s="9">
        <v>1</v>
      </c>
      <c r="M1128" s="9">
        <v>1</v>
      </c>
    </row>
    <row r="1129" spans="1:13">
      <c r="A1129" s="6">
        <v>43503</v>
      </c>
      <c r="B1129" s="7">
        <v>0.4770833333333333</v>
      </c>
      <c r="C1129" s="9" t="str">
        <f>"FES1162671672"</f>
        <v>FES1162671672</v>
      </c>
      <c r="D1129" s="9" t="s">
        <v>18</v>
      </c>
      <c r="E1129" s="9" t="s">
        <v>601</v>
      </c>
      <c r="F1129" s="9" t="str">
        <f>"2170672936 "</f>
        <v xml:space="preserve">2170672936 </v>
      </c>
      <c r="G1129" s="9" t="str">
        <f t="shared" si="38"/>
        <v>ON1</v>
      </c>
      <c r="H1129" s="9" t="s">
        <v>20</v>
      </c>
      <c r="I1129" s="9" t="s">
        <v>602</v>
      </c>
      <c r="J1129" s="9" t="str">
        <f>""</f>
        <v/>
      </c>
      <c r="K1129" s="9" t="str">
        <f>"PFES1162671672_0001"</f>
        <v>PFES1162671672_0001</v>
      </c>
      <c r="L1129" s="9">
        <v>1</v>
      </c>
      <c r="M1129" s="9">
        <v>1</v>
      </c>
    </row>
    <row r="1130" spans="1:13">
      <c r="A1130" s="6">
        <v>43504</v>
      </c>
      <c r="B1130" s="7">
        <v>0.58194444444444449</v>
      </c>
      <c r="C1130" s="10" t="str">
        <f>"FES1162672116"</f>
        <v>FES1162672116</v>
      </c>
      <c r="D1130" s="10" t="s">
        <v>18</v>
      </c>
      <c r="E1130" s="10" t="s">
        <v>643</v>
      </c>
      <c r="F1130" s="10" t="str">
        <f>"2170673001 "</f>
        <v xml:space="preserve">2170673001 </v>
      </c>
      <c r="G1130" s="10" t="str">
        <f t="shared" si="38"/>
        <v>ON1</v>
      </c>
      <c r="H1130" s="10" t="s">
        <v>20</v>
      </c>
      <c r="I1130" s="10" t="s">
        <v>111</v>
      </c>
      <c r="J1130" s="10" t="str">
        <f>""</f>
        <v/>
      </c>
      <c r="K1130" s="10" t="str">
        <f>"PFES1162672116_0001"</f>
        <v>PFES1162672116_0001</v>
      </c>
      <c r="L1130" s="10">
        <v>1</v>
      </c>
      <c r="M1130" s="10">
        <v>1</v>
      </c>
    </row>
    <row r="1131" spans="1:13">
      <c r="A1131" s="6">
        <v>43504</v>
      </c>
      <c r="B1131" s="7">
        <v>0.5805555555555556</v>
      </c>
      <c r="C1131" s="10" t="str">
        <f>"FES1162672089"</f>
        <v>FES1162672089</v>
      </c>
      <c r="D1131" s="10" t="s">
        <v>18</v>
      </c>
      <c r="E1131" s="10" t="s">
        <v>110</v>
      </c>
      <c r="F1131" s="10" t="str">
        <f>"2170673402 "</f>
        <v xml:space="preserve">2170673402 </v>
      </c>
      <c r="G1131" s="10" t="str">
        <f t="shared" si="38"/>
        <v>ON1</v>
      </c>
      <c r="H1131" s="10" t="s">
        <v>20</v>
      </c>
      <c r="I1131" s="10" t="s">
        <v>111</v>
      </c>
      <c r="J1131" s="10" t="str">
        <f>""</f>
        <v/>
      </c>
      <c r="K1131" s="10" t="str">
        <f>"PFES1162672089_0001"</f>
        <v>PFES1162672089_0001</v>
      </c>
      <c r="L1131" s="10">
        <v>1</v>
      </c>
      <c r="M1131" s="10">
        <v>7</v>
      </c>
    </row>
    <row r="1132" spans="1:13">
      <c r="A1132" s="6">
        <v>43504</v>
      </c>
      <c r="B1132" s="7">
        <v>0.57847222222222217</v>
      </c>
      <c r="C1132" s="10" t="str">
        <f>"FES1162672126"</f>
        <v>FES1162672126</v>
      </c>
      <c r="D1132" s="10" t="s">
        <v>18</v>
      </c>
      <c r="E1132" s="10" t="s">
        <v>164</v>
      </c>
      <c r="F1132" s="10" t="str">
        <f>"2170673460 "</f>
        <v xml:space="preserve">2170673460 </v>
      </c>
      <c r="G1132" s="10" t="str">
        <f t="shared" si="38"/>
        <v>ON1</v>
      </c>
      <c r="H1132" s="10" t="s">
        <v>20</v>
      </c>
      <c r="I1132" s="10" t="s">
        <v>165</v>
      </c>
      <c r="J1132" s="10" t="str">
        <f>""</f>
        <v/>
      </c>
      <c r="K1132" s="10" t="str">
        <f>"PFES1162672126_0001"</f>
        <v>PFES1162672126_0001</v>
      </c>
      <c r="L1132" s="10">
        <v>1</v>
      </c>
      <c r="M1132" s="10">
        <v>1</v>
      </c>
    </row>
    <row r="1133" spans="1:13">
      <c r="A1133" s="6">
        <v>43504</v>
      </c>
      <c r="B1133" s="7">
        <v>0.57847222222222217</v>
      </c>
      <c r="C1133" s="10" t="str">
        <f>"FES1162672137"</f>
        <v>FES1162672137</v>
      </c>
      <c r="D1133" s="10" t="s">
        <v>18</v>
      </c>
      <c r="E1133" s="10" t="s">
        <v>185</v>
      </c>
      <c r="F1133" s="10" t="str">
        <f>"2170673469 "</f>
        <v xml:space="preserve">2170673469 </v>
      </c>
      <c r="G1133" s="10" t="str">
        <f t="shared" si="38"/>
        <v>ON1</v>
      </c>
      <c r="H1133" s="10" t="s">
        <v>20</v>
      </c>
      <c r="I1133" s="10" t="s">
        <v>93</v>
      </c>
      <c r="J1133" s="10" t="str">
        <f>""</f>
        <v/>
      </c>
      <c r="K1133" s="10" t="str">
        <f>"PFES1162672137_0001"</f>
        <v>PFES1162672137_0001</v>
      </c>
      <c r="L1133" s="10">
        <v>1</v>
      </c>
      <c r="M1133" s="10">
        <v>1</v>
      </c>
    </row>
    <row r="1134" spans="1:13">
      <c r="A1134" s="6">
        <v>43504</v>
      </c>
      <c r="B1134" s="7">
        <v>0.5708333333333333</v>
      </c>
      <c r="C1134" s="10" t="str">
        <f>"FES1162672105"</f>
        <v>FES1162672105</v>
      </c>
      <c r="D1134" s="10" t="s">
        <v>18</v>
      </c>
      <c r="E1134" s="10" t="s">
        <v>689</v>
      </c>
      <c r="F1134" s="10" t="str">
        <f>"2170671888 "</f>
        <v xml:space="preserve">2170671888 </v>
      </c>
      <c r="G1134" s="10" t="str">
        <f t="shared" si="38"/>
        <v>ON1</v>
      </c>
      <c r="H1134" s="10" t="s">
        <v>20</v>
      </c>
      <c r="I1134" s="10" t="s">
        <v>353</v>
      </c>
      <c r="J1134" s="10" t="str">
        <f>""</f>
        <v/>
      </c>
      <c r="K1134" s="10" t="str">
        <f>"PFES1162672105_0001"</f>
        <v>PFES1162672105_0001</v>
      </c>
      <c r="L1134" s="10">
        <v>1</v>
      </c>
      <c r="M1134" s="10">
        <v>5</v>
      </c>
    </row>
    <row r="1135" spans="1:13">
      <c r="A1135" s="6">
        <v>43504</v>
      </c>
      <c r="B1135" s="7">
        <v>0.57013888888888886</v>
      </c>
      <c r="C1135" s="10" t="str">
        <f>"FES1162672129"</f>
        <v>FES1162672129</v>
      </c>
      <c r="D1135" s="10" t="s">
        <v>18</v>
      </c>
      <c r="E1135" s="10" t="s">
        <v>649</v>
      </c>
      <c r="F1135" s="10" t="str">
        <f>"2170668625 "</f>
        <v xml:space="preserve">2170668625 </v>
      </c>
      <c r="G1135" s="10" t="str">
        <f t="shared" si="38"/>
        <v>ON1</v>
      </c>
      <c r="H1135" s="10" t="s">
        <v>20</v>
      </c>
      <c r="I1135" s="10" t="s">
        <v>650</v>
      </c>
      <c r="J1135" s="10" t="str">
        <f>""</f>
        <v/>
      </c>
      <c r="K1135" s="10" t="str">
        <f>"PFES1162672129_0001"</f>
        <v>PFES1162672129_0001</v>
      </c>
      <c r="L1135" s="10">
        <v>1</v>
      </c>
      <c r="M1135" s="10">
        <v>2</v>
      </c>
    </row>
    <row r="1136" spans="1:13">
      <c r="A1136" s="6">
        <v>43504</v>
      </c>
      <c r="B1136" s="7">
        <v>0.56874999999999998</v>
      </c>
      <c r="C1136" s="10" t="str">
        <f>"FES1162672107"</f>
        <v>FES1162672107</v>
      </c>
      <c r="D1136" s="10" t="s">
        <v>18</v>
      </c>
      <c r="E1136" s="10" t="s">
        <v>690</v>
      </c>
      <c r="F1136" s="10" t="str">
        <f>"2170673377 "</f>
        <v xml:space="preserve">2170673377 </v>
      </c>
      <c r="G1136" s="10" t="str">
        <f t="shared" si="38"/>
        <v>ON1</v>
      </c>
      <c r="H1136" s="10" t="s">
        <v>20</v>
      </c>
      <c r="I1136" s="10" t="s">
        <v>390</v>
      </c>
      <c r="J1136" s="10" t="str">
        <f>""</f>
        <v/>
      </c>
      <c r="K1136" s="10" t="str">
        <f>"PFES1162672107_0001"</f>
        <v>PFES1162672107_0001</v>
      </c>
      <c r="L1136" s="10">
        <v>1</v>
      </c>
      <c r="M1136" s="10">
        <v>2</v>
      </c>
    </row>
    <row r="1137" spans="1:13">
      <c r="A1137" s="6">
        <v>43504</v>
      </c>
      <c r="B1137" s="7">
        <v>0.56805555555555554</v>
      </c>
      <c r="C1137" s="10" t="str">
        <f>"FES1162672115"</f>
        <v>FES1162672115</v>
      </c>
      <c r="D1137" s="10" t="s">
        <v>18</v>
      </c>
      <c r="E1137" s="10" t="s">
        <v>152</v>
      </c>
      <c r="F1137" s="10" t="str">
        <f>"2170669912 "</f>
        <v xml:space="preserve">2170669912 </v>
      </c>
      <c r="G1137" s="10" t="str">
        <f t="shared" si="38"/>
        <v>ON1</v>
      </c>
      <c r="H1137" s="10" t="s">
        <v>20</v>
      </c>
      <c r="I1137" s="10" t="s">
        <v>153</v>
      </c>
      <c r="J1137" s="10" t="str">
        <f>""</f>
        <v/>
      </c>
      <c r="K1137" s="10" t="str">
        <f>"PFES1162672115_0001"</f>
        <v>PFES1162672115_0001</v>
      </c>
      <c r="L1137" s="10">
        <v>1</v>
      </c>
      <c r="M1137" s="10">
        <v>15</v>
      </c>
    </row>
    <row r="1138" spans="1:13">
      <c r="A1138" s="6">
        <v>43504</v>
      </c>
      <c r="B1138" s="7">
        <v>0.56666666666666665</v>
      </c>
      <c r="C1138" s="10" t="str">
        <f>"FES1162672111"</f>
        <v>FES1162672111</v>
      </c>
      <c r="D1138" s="10" t="s">
        <v>18</v>
      </c>
      <c r="E1138" s="10" t="s">
        <v>170</v>
      </c>
      <c r="F1138" s="10" t="str">
        <f>"2170673441 "</f>
        <v xml:space="preserve">2170673441 </v>
      </c>
      <c r="G1138" s="10" t="str">
        <f t="shared" si="38"/>
        <v>ON1</v>
      </c>
      <c r="H1138" s="10" t="s">
        <v>20</v>
      </c>
      <c r="I1138" s="10" t="s">
        <v>171</v>
      </c>
      <c r="J1138" s="10" t="str">
        <f>""</f>
        <v/>
      </c>
      <c r="K1138" s="10" t="str">
        <f>"PFES1162672111_0001"</f>
        <v>PFES1162672111_0001</v>
      </c>
      <c r="L1138" s="10">
        <v>1</v>
      </c>
      <c r="M1138" s="10">
        <v>1</v>
      </c>
    </row>
    <row r="1139" spans="1:13">
      <c r="A1139" s="6">
        <v>43504</v>
      </c>
      <c r="B1139" s="7">
        <v>0.55972222222222223</v>
      </c>
      <c r="C1139" s="10" t="str">
        <f>"FES1162672141"</f>
        <v>FES1162672141</v>
      </c>
      <c r="D1139" s="10" t="s">
        <v>18</v>
      </c>
      <c r="E1139" s="10" t="s">
        <v>148</v>
      </c>
      <c r="F1139" s="10" t="str">
        <f>"2170673478 "</f>
        <v xml:space="preserve">2170673478 </v>
      </c>
      <c r="G1139" s="10" t="str">
        <f t="shared" si="38"/>
        <v>ON1</v>
      </c>
      <c r="H1139" s="10" t="s">
        <v>20</v>
      </c>
      <c r="I1139" s="10" t="s">
        <v>149</v>
      </c>
      <c r="J1139" s="10" t="str">
        <f>""</f>
        <v/>
      </c>
      <c r="K1139" s="10" t="str">
        <f>"PFES1162672141_0001"</f>
        <v>PFES1162672141_0001</v>
      </c>
      <c r="L1139" s="10">
        <v>1</v>
      </c>
      <c r="M1139" s="10">
        <v>1</v>
      </c>
    </row>
    <row r="1140" spans="1:13">
      <c r="A1140" s="6">
        <v>43504</v>
      </c>
      <c r="B1140" s="7">
        <v>0.55972222222222223</v>
      </c>
      <c r="C1140" s="10" t="str">
        <f>"FES1162672125"</f>
        <v>FES1162672125</v>
      </c>
      <c r="D1140" s="10" t="s">
        <v>18</v>
      </c>
      <c r="E1140" s="10" t="s">
        <v>691</v>
      </c>
      <c r="F1140" s="10" t="str">
        <f>"217037459 "</f>
        <v xml:space="preserve">217037459 </v>
      </c>
      <c r="G1140" s="10" t="str">
        <f t="shared" si="38"/>
        <v>ON1</v>
      </c>
      <c r="H1140" s="10" t="s">
        <v>20</v>
      </c>
      <c r="I1140" s="10" t="s">
        <v>692</v>
      </c>
      <c r="J1140" s="10" t="str">
        <f>""</f>
        <v/>
      </c>
      <c r="K1140" s="10" t="str">
        <f>"PFES1162672125_0001"</f>
        <v>PFES1162672125_0001</v>
      </c>
      <c r="L1140" s="10">
        <v>1</v>
      </c>
      <c r="M1140" s="10">
        <v>1</v>
      </c>
    </row>
    <row r="1141" spans="1:13">
      <c r="A1141" s="6">
        <v>43504</v>
      </c>
      <c r="B1141" s="7">
        <v>0.55972222222222223</v>
      </c>
      <c r="C1141" s="10" t="str">
        <f>"FES1162672127"</f>
        <v>FES1162672127</v>
      </c>
      <c r="D1141" s="10" t="s">
        <v>18</v>
      </c>
      <c r="E1141" s="10" t="s">
        <v>693</v>
      </c>
      <c r="F1141" s="10" t="str">
        <f>"2170673461 "</f>
        <v xml:space="preserve">2170673461 </v>
      </c>
      <c r="G1141" s="10" t="str">
        <f t="shared" si="38"/>
        <v>ON1</v>
      </c>
      <c r="H1141" s="10" t="s">
        <v>20</v>
      </c>
      <c r="I1141" s="10" t="s">
        <v>694</v>
      </c>
      <c r="J1141" s="10" t="str">
        <f>""</f>
        <v/>
      </c>
      <c r="K1141" s="10" t="str">
        <f>"PFES1162672127_0001"</f>
        <v>PFES1162672127_0001</v>
      </c>
      <c r="L1141" s="10">
        <v>1</v>
      </c>
      <c r="M1141" s="10">
        <v>1</v>
      </c>
    </row>
    <row r="1142" spans="1:13">
      <c r="A1142" s="6">
        <v>43504</v>
      </c>
      <c r="B1142" s="7">
        <v>0.55833333333333335</v>
      </c>
      <c r="C1142" s="10" t="str">
        <f>"FES1162672136"</f>
        <v>FES1162672136</v>
      </c>
      <c r="D1142" s="10" t="s">
        <v>18</v>
      </c>
      <c r="E1142" s="10" t="s">
        <v>181</v>
      </c>
      <c r="F1142" s="10" t="str">
        <f>"217037468 "</f>
        <v xml:space="preserve">217037468 </v>
      </c>
      <c r="G1142" s="10" t="str">
        <f t="shared" si="38"/>
        <v>ON1</v>
      </c>
      <c r="H1142" s="10" t="s">
        <v>20</v>
      </c>
      <c r="I1142" s="10" t="s">
        <v>182</v>
      </c>
      <c r="J1142" s="10" t="str">
        <f>""</f>
        <v/>
      </c>
      <c r="K1142" s="10" t="str">
        <f>"PFES1162672136_0001"</f>
        <v>PFES1162672136_0001</v>
      </c>
      <c r="L1142" s="10">
        <v>1</v>
      </c>
      <c r="M1142" s="10">
        <v>1</v>
      </c>
    </row>
    <row r="1143" spans="1:13">
      <c r="A1143" s="6">
        <v>43504</v>
      </c>
      <c r="B1143" s="7">
        <v>0.55833333333333335</v>
      </c>
      <c r="C1143" s="10" t="str">
        <f>"FES1162672110"</f>
        <v>FES1162672110</v>
      </c>
      <c r="D1143" s="10" t="s">
        <v>18</v>
      </c>
      <c r="E1143" s="10" t="s">
        <v>19</v>
      </c>
      <c r="F1143" s="10" t="str">
        <f>"2170673483 "</f>
        <v xml:space="preserve">2170673483 </v>
      </c>
      <c r="G1143" s="10" t="str">
        <f t="shared" si="38"/>
        <v>ON1</v>
      </c>
      <c r="H1143" s="10" t="s">
        <v>20</v>
      </c>
      <c r="I1143" s="10" t="s">
        <v>21</v>
      </c>
      <c r="J1143" s="10" t="str">
        <f>""</f>
        <v/>
      </c>
      <c r="K1143" s="10" t="str">
        <f>"PFES1162672110_0001"</f>
        <v>PFES1162672110_0001</v>
      </c>
      <c r="L1143" s="10">
        <v>1</v>
      </c>
      <c r="M1143" s="10">
        <v>1</v>
      </c>
    </row>
    <row r="1144" spans="1:13">
      <c r="A1144" s="6">
        <v>43504</v>
      </c>
      <c r="B1144" s="7">
        <v>0.55763888888888891</v>
      </c>
      <c r="C1144" s="10" t="str">
        <f>"FES1162672120"</f>
        <v>FES1162672120</v>
      </c>
      <c r="D1144" s="10" t="s">
        <v>18</v>
      </c>
      <c r="E1144" s="10" t="s">
        <v>695</v>
      </c>
      <c r="F1144" s="10" t="str">
        <f>"2170673456 "</f>
        <v xml:space="preserve">2170673456 </v>
      </c>
      <c r="G1144" s="10" t="str">
        <f t="shared" si="38"/>
        <v>ON1</v>
      </c>
      <c r="H1144" s="10" t="s">
        <v>20</v>
      </c>
      <c r="I1144" s="10" t="s">
        <v>55</v>
      </c>
      <c r="J1144" s="10" t="str">
        <f>""</f>
        <v/>
      </c>
      <c r="K1144" s="10" t="str">
        <f>"PFES1162672120_0001"</f>
        <v>PFES1162672120_0001</v>
      </c>
      <c r="L1144" s="10">
        <v>1</v>
      </c>
      <c r="M1144" s="10">
        <v>1</v>
      </c>
    </row>
    <row r="1145" spans="1:13">
      <c r="A1145" s="6">
        <v>43504</v>
      </c>
      <c r="B1145" s="7">
        <v>0.55763888888888891</v>
      </c>
      <c r="C1145" s="10" t="str">
        <f>"FES1162672118"</f>
        <v>FES1162672118</v>
      </c>
      <c r="D1145" s="10" t="s">
        <v>18</v>
      </c>
      <c r="E1145" s="10" t="s">
        <v>384</v>
      </c>
      <c r="F1145" s="10" t="str">
        <f>"2170673452 "</f>
        <v xml:space="preserve">2170673452 </v>
      </c>
      <c r="G1145" s="10" t="str">
        <f t="shared" si="38"/>
        <v>ON1</v>
      </c>
      <c r="H1145" s="10" t="s">
        <v>20</v>
      </c>
      <c r="I1145" s="10" t="s">
        <v>29</v>
      </c>
      <c r="J1145" s="10" t="str">
        <f>""</f>
        <v/>
      </c>
      <c r="K1145" s="10" t="str">
        <f>"PFES1162672118_0001"</f>
        <v>PFES1162672118_0001</v>
      </c>
      <c r="L1145" s="10">
        <v>1</v>
      </c>
      <c r="M1145" s="10">
        <v>1</v>
      </c>
    </row>
    <row r="1146" spans="1:13">
      <c r="A1146" s="6">
        <v>43504</v>
      </c>
      <c r="B1146" s="7">
        <v>0.55694444444444446</v>
      </c>
      <c r="C1146" s="10" t="str">
        <f>"FES1162672114"</f>
        <v>FES1162672114</v>
      </c>
      <c r="D1146" s="10" t="s">
        <v>18</v>
      </c>
      <c r="E1146" s="10" t="s">
        <v>19</v>
      </c>
      <c r="F1146" s="10" t="str">
        <f>"2170673446 "</f>
        <v xml:space="preserve">2170673446 </v>
      </c>
      <c r="G1146" s="10" t="str">
        <f t="shared" si="38"/>
        <v>ON1</v>
      </c>
      <c r="H1146" s="10" t="s">
        <v>20</v>
      </c>
      <c r="I1146" s="10" t="s">
        <v>21</v>
      </c>
      <c r="J1146" s="10" t="str">
        <f>""</f>
        <v/>
      </c>
      <c r="K1146" s="10" t="str">
        <f>"PFES1162672114_0001"</f>
        <v>PFES1162672114_0001</v>
      </c>
      <c r="L1146" s="10">
        <v>1</v>
      </c>
      <c r="M1146" s="10">
        <v>1</v>
      </c>
    </row>
    <row r="1147" spans="1:13">
      <c r="A1147" s="6">
        <v>43504</v>
      </c>
      <c r="B1147" s="7">
        <v>0.53749999999999998</v>
      </c>
      <c r="C1147" s="10" t="str">
        <f>"FES1162672128"</f>
        <v>FES1162672128</v>
      </c>
      <c r="D1147" s="10" t="s">
        <v>18</v>
      </c>
      <c r="E1147" s="10" t="s">
        <v>138</v>
      </c>
      <c r="F1147" s="10" t="str">
        <f>"2170673463 "</f>
        <v xml:space="preserve">2170673463 </v>
      </c>
      <c r="G1147" s="10" t="str">
        <f t="shared" si="38"/>
        <v>ON1</v>
      </c>
      <c r="H1147" s="10" t="s">
        <v>20</v>
      </c>
      <c r="I1147" s="10" t="s">
        <v>139</v>
      </c>
      <c r="J1147" s="10" t="str">
        <f>""</f>
        <v/>
      </c>
      <c r="K1147" s="10" t="str">
        <f>"PFES1162672128_0001"</f>
        <v>PFES1162672128_0001</v>
      </c>
      <c r="L1147" s="10">
        <v>1</v>
      </c>
      <c r="M1147" s="10">
        <v>2</v>
      </c>
    </row>
    <row r="1148" spans="1:13">
      <c r="A1148" s="6">
        <v>43504</v>
      </c>
      <c r="B1148" s="7">
        <v>0.52569444444444446</v>
      </c>
      <c r="C1148" s="10" t="str">
        <f>"FES1162672095"</f>
        <v>FES1162672095</v>
      </c>
      <c r="D1148" s="10" t="s">
        <v>18</v>
      </c>
      <c r="E1148" s="10" t="s">
        <v>524</v>
      </c>
      <c r="F1148" s="10" t="str">
        <f>"2170673412 "</f>
        <v xml:space="preserve">2170673412 </v>
      </c>
      <c r="G1148" s="10" t="str">
        <f t="shared" si="38"/>
        <v>ON1</v>
      </c>
      <c r="H1148" s="10" t="s">
        <v>20</v>
      </c>
      <c r="I1148" s="10" t="s">
        <v>525</v>
      </c>
      <c r="J1148" s="10" t="str">
        <f>""</f>
        <v/>
      </c>
      <c r="K1148" s="10" t="str">
        <f>"PFES1162672095_0001"</f>
        <v>PFES1162672095_0001</v>
      </c>
      <c r="L1148" s="10">
        <v>1</v>
      </c>
      <c r="M1148" s="10">
        <v>1</v>
      </c>
    </row>
    <row r="1149" spans="1:13">
      <c r="A1149" s="6">
        <v>43504</v>
      </c>
      <c r="B1149" s="7">
        <v>0.52569444444444446</v>
      </c>
      <c r="C1149" s="10" t="str">
        <f>"FES1162672119"</f>
        <v>FES1162672119</v>
      </c>
      <c r="D1149" s="10" t="s">
        <v>18</v>
      </c>
      <c r="E1149" s="10" t="s">
        <v>88</v>
      </c>
      <c r="F1149" s="10" t="str">
        <f>"2170673454 "</f>
        <v xml:space="preserve">2170673454 </v>
      </c>
      <c r="G1149" s="10" t="str">
        <f t="shared" si="38"/>
        <v>ON1</v>
      </c>
      <c r="H1149" s="10" t="s">
        <v>20</v>
      </c>
      <c r="I1149" s="10" t="s">
        <v>89</v>
      </c>
      <c r="J1149" s="10" t="str">
        <f>""</f>
        <v/>
      </c>
      <c r="K1149" s="10" t="str">
        <f>"PFES1162672119_0001"</f>
        <v>PFES1162672119_0001</v>
      </c>
      <c r="L1149" s="10">
        <v>1</v>
      </c>
      <c r="M1149" s="10">
        <v>1</v>
      </c>
    </row>
    <row r="1150" spans="1:13">
      <c r="A1150" s="6">
        <v>43504</v>
      </c>
      <c r="B1150" s="7">
        <v>0.52500000000000002</v>
      </c>
      <c r="C1150" s="10" t="str">
        <f>"FES1162672093"</f>
        <v>FES1162672093</v>
      </c>
      <c r="D1150" s="10" t="s">
        <v>18</v>
      </c>
      <c r="E1150" s="10" t="s">
        <v>246</v>
      </c>
      <c r="F1150" s="10" t="str">
        <f>"2170673410 "</f>
        <v xml:space="preserve">2170673410 </v>
      </c>
      <c r="G1150" s="10" t="str">
        <f t="shared" si="38"/>
        <v>ON1</v>
      </c>
      <c r="H1150" s="10" t="s">
        <v>20</v>
      </c>
      <c r="I1150" s="10" t="s">
        <v>53</v>
      </c>
      <c r="J1150" s="10" t="str">
        <f>""</f>
        <v/>
      </c>
      <c r="K1150" s="10" t="str">
        <f>"PFES1162672093_0001"</f>
        <v>PFES1162672093_0001</v>
      </c>
      <c r="L1150" s="10">
        <v>1</v>
      </c>
      <c r="M1150" s="10">
        <v>1</v>
      </c>
    </row>
    <row r="1151" spans="1:13">
      <c r="A1151" s="6">
        <v>43504</v>
      </c>
      <c r="B1151" s="7">
        <v>0.52500000000000002</v>
      </c>
      <c r="C1151" s="10" t="str">
        <f>"FES1162672087"</f>
        <v>FES1162672087</v>
      </c>
      <c r="D1151" s="10" t="s">
        <v>18</v>
      </c>
      <c r="E1151" s="10" t="s">
        <v>527</v>
      </c>
      <c r="F1151" s="10" t="str">
        <f>"2170673395 "</f>
        <v xml:space="preserve">2170673395 </v>
      </c>
      <c r="G1151" s="10" t="str">
        <f t="shared" si="38"/>
        <v>ON1</v>
      </c>
      <c r="H1151" s="10" t="s">
        <v>20</v>
      </c>
      <c r="I1151" s="10" t="s">
        <v>276</v>
      </c>
      <c r="J1151" s="10" t="str">
        <f>""</f>
        <v/>
      </c>
      <c r="K1151" s="10" t="str">
        <f>"PFES1162672087_0001"</f>
        <v>PFES1162672087_0001</v>
      </c>
      <c r="L1151" s="10">
        <v>1</v>
      </c>
      <c r="M1151" s="10">
        <v>1</v>
      </c>
    </row>
    <row r="1152" spans="1:13">
      <c r="A1152" s="6">
        <v>43504</v>
      </c>
      <c r="B1152" s="7">
        <v>0.5180555555555556</v>
      </c>
      <c r="C1152" s="10" t="str">
        <f>"FES1162672076"</f>
        <v>FES1162672076</v>
      </c>
      <c r="D1152" s="10" t="s">
        <v>18</v>
      </c>
      <c r="E1152" s="10" t="s">
        <v>218</v>
      </c>
      <c r="F1152" s="10" t="str">
        <f>"2170673390 "</f>
        <v xml:space="preserve">2170673390 </v>
      </c>
      <c r="G1152" s="10" t="str">
        <f t="shared" si="38"/>
        <v>ON1</v>
      </c>
      <c r="H1152" s="10" t="s">
        <v>20</v>
      </c>
      <c r="I1152" s="10" t="s">
        <v>219</v>
      </c>
      <c r="J1152" s="10" t="str">
        <f>""</f>
        <v/>
      </c>
      <c r="K1152" s="10" t="str">
        <f>"PFES1162672076_0001"</f>
        <v>PFES1162672076_0001</v>
      </c>
      <c r="L1152" s="10">
        <v>1</v>
      </c>
      <c r="M1152" s="10">
        <v>1</v>
      </c>
    </row>
    <row r="1153" spans="1:13">
      <c r="A1153" s="6">
        <v>43504</v>
      </c>
      <c r="B1153" s="7">
        <v>0.51736111111111105</v>
      </c>
      <c r="C1153" s="10" t="str">
        <f>"FES1162672098"</f>
        <v>FES1162672098</v>
      </c>
      <c r="D1153" s="10" t="s">
        <v>18</v>
      </c>
      <c r="E1153" s="10" t="s">
        <v>205</v>
      </c>
      <c r="F1153" s="10" t="str">
        <f>"2170673418 "</f>
        <v xml:space="preserve">2170673418 </v>
      </c>
      <c r="G1153" s="10" t="str">
        <f t="shared" si="38"/>
        <v>ON1</v>
      </c>
      <c r="H1153" s="10" t="s">
        <v>20</v>
      </c>
      <c r="I1153" s="10" t="s">
        <v>149</v>
      </c>
      <c r="J1153" s="10" t="str">
        <f>""</f>
        <v/>
      </c>
      <c r="K1153" s="10" t="str">
        <f>"PFES1162672098_0001"</f>
        <v>PFES1162672098_0001</v>
      </c>
      <c r="L1153" s="10">
        <v>1</v>
      </c>
      <c r="M1153" s="10">
        <v>1</v>
      </c>
    </row>
    <row r="1154" spans="1:13">
      <c r="A1154" s="6">
        <v>43504</v>
      </c>
      <c r="B1154" s="7">
        <v>0.51736111111111105</v>
      </c>
      <c r="C1154" s="10" t="str">
        <f>"FES1162672121"</f>
        <v>FES1162672121</v>
      </c>
      <c r="D1154" s="10" t="s">
        <v>18</v>
      </c>
      <c r="E1154" s="10" t="s">
        <v>195</v>
      </c>
      <c r="F1154" s="10" t="str">
        <f>"2170673457 "</f>
        <v xml:space="preserve">2170673457 </v>
      </c>
      <c r="G1154" s="10" t="str">
        <f t="shared" si="38"/>
        <v>ON1</v>
      </c>
      <c r="H1154" s="10" t="s">
        <v>20</v>
      </c>
      <c r="I1154" s="10" t="s">
        <v>96</v>
      </c>
      <c r="J1154" s="10" t="str">
        <f>""</f>
        <v/>
      </c>
      <c r="K1154" s="10" t="str">
        <f>"PFES1162672121_0001"</f>
        <v>PFES1162672121_0001</v>
      </c>
      <c r="L1154" s="10">
        <v>1</v>
      </c>
      <c r="M1154" s="10">
        <v>1</v>
      </c>
    </row>
    <row r="1155" spans="1:13">
      <c r="A1155" s="6">
        <v>43504</v>
      </c>
      <c r="B1155" s="7">
        <v>0.51736111111111105</v>
      </c>
      <c r="C1155" s="10" t="str">
        <f>"FES1162672109"</f>
        <v>FES1162672109</v>
      </c>
      <c r="D1155" s="10" t="s">
        <v>18</v>
      </c>
      <c r="E1155" s="10" t="s">
        <v>140</v>
      </c>
      <c r="F1155" s="10" t="str">
        <f>"2170673437 "</f>
        <v xml:space="preserve">2170673437 </v>
      </c>
      <c r="G1155" s="10" t="str">
        <f t="shared" si="38"/>
        <v>ON1</v>
      </c>
      <c r="H1155" s="10" t="s">
        <v>20</v>
      </c>
      <c r="I1155" s="10" t="s">
        <v>141</v>
      </c>
      <c r="J1155" s="10" t="str">
        <f>""</f>
        <v/>
      </c>
      <c r="K1155" s="10" t="str">
        <f>"PFES1162672109_0001"</f>
        <v>PFES1162672109_0001</v>
      </c>
      <c r="L1155" s="10">
        <v>1</v>
      </c>
      <c r="M1155" s="10">
        <v>1</v>
      </c>
    </row>
    <row r="1156" spans="1:13">
      <c r="A1156" s="6">
        <v>43504</v>
      </c>
      <c r="B1156" s="7">
        <v>0.51666666666666672</v>
      </c>
      <c r="C1156" s="10" t="str">
        <f>"FES1162672075"</f>
        <v>FES1162672075</v>
      </c>
      <c r="D1156" s="10" t="s">
        <v>18</v>
      </c>
      <c r="E1156" s="10" t="s">
        <v>220</v>
      </c>
      <c r="F1156" s="10" t="str">
        <f>"2170673389 "</f>
        <v xml:space="preserve">2170673389 </v>
      </c>
      <c r="G1156" s="10" t="str">
        <f t="shared" si="38"/>
        <v>ON1</v>
      </c>
      <c r="H1156" s="10" t="s">
        <v>20</v>
      </c>
      <c r="I1156" s="10" t="s">
        <v>221</v>
      </c>
      <c r="J1156" s="10" t="str">
        <f>""</f>
        <v/>
      </c>
      <c r="K1156" s="10" t="str">
        <f>"PFES1162672075_0001"</f>
        <v>PFES1162672075_0001</v>
      </c>
      <c r="L1156" s="10">
        <v>1</v>
      </c>
      <c r="M1156" s="10">
        <v>1</v>
      </c>
    </row>
    <row r="1157" spans="1:13">
      <c r="A1157" s="6">
        <v>43504</v>
      </c>
      <c r="B1157" s="7">
        <v>0.51666666666666672</v>
      </c>
      <c r="C1157" s="10" t="str">
        <f>"FES1162672070"</f>
        <v>FES1162672070</v>
      </c>
      <c r="D1157" s="10" t="s">
        <v>18</v>
      </c>
      <c r="E1157" s="10" t="s">
        <v>438</v>
      </c>
      <c r="F1157" s="10" t="str">
        <f>"2170673381 "</f>
        <v xml:space="preserve">2170673381 </v>
      </c>
      <c r="G1157" s="10" t="str">
        <f t="shared" si="38"/>
        <v>ON1</v>
      </c>
      <c r="H1157" s="10" t="s">
        <v>20</v>
      </c>
      <c r="I1157" s="10" t="s">
        <v>390</v>
      </c>
      <c r="J1157" s="10" t="str">
        <f>""</f>
        <v/>
      </c>
      <c r="K1157" s="10" t="str">
        <f>"PFES1162672070_0001"</f>
        <v>PFES1162672070_0001</v>
      </c>
      <c r="L1157" s="10">
        <v>1</v>
      </c>
      <c r="M1157" s="10">
        <v>1</v>
      </c>
    </row>
    <row r="1158" spans="1:13">
      <c r="A1158" s="6">
        <v>43504</v>
      </c>
      <c r="B1158" s="7">
        <v>0.51666666666666672</v>
      </c>
      <c r="C1158" s="10" t="str">
        <f>"FES1162672097"</f>
        <v>FES1162672097</v>
      </c>
      <c r="D1158" s="10" t="s">
        <v>18</v>
      </c>
      <c r="E1158" s="10" t="s">
        <v>220</v>
      </c>
      <c r="F1158" s="10" t="str">
        <f>"217067316 "</f>
        <v xml:space="preserve">217067316 </v>
      </c>
      <c r="G1158" s="10" t="str">
        <f t="shared" si="38"/>
        <v>ON1</v>
      </c>
      <c r="H1158" s="10" t="s">
        <v>20</v>
      </c>
      <c r="I1158" s="10" t="s">
        <v>221</v>
      </c>
      <c r="J1158" s="10" t="str">
        <f>""</f>
        <v/>
      </c>
      <c r="K1158" s="10" t="str">
        <f>"PFES1162672097_0001"</f>
        <v>PFES1162672097_0001</v>
      </c>
      <c r="L1158" s="10">
        <v>1</v>
      </c>
      <c r="M1158" s="10">
        <v>1</v>
      </c>
    </row>
    <row r="1159" spans="1:13">
      <c r="A1159" s="6">
        <v>43504</v>
      </c>
      <c r="B1159" s="7">
        <v>0.51666666666666672</v>
      </c>
      <c r="C1159" s="10" t="str">
        <f>"FES1162672066"</f>
        <v>FES1162672066</v>
      </c>
      <c r="D1159" s="10" t="s">
        <v>18</v>
      </c>
      <c r="E1159" s="10" t="s">
        <v>696</v>
      </c>
      <c r="F1159" s="10" t="str">
        <f>"2170673372 "</f>
        <v xml:space="preserve">2170673372 </v>
      </c>
      <c r="G1159" s="10" t="str">
        <f t="shared" si="38"/>
        <v>ON1</v>
      </c>
      <c r="H1159" s="10" t="s">
        <v>20</v>
      </c>
      <c r="I1159" s="10" t="s">
        <v>63</v>
      </c>
      <c r="J1159" s="10" t="str">
        <f>""</f>
        <v/>
      </c>
      <c r="K1159" s="10" t="str">
        <f>"PFES1162672066_0001"</f>
        <v>PFES1162672066_0001</v>
      </c>
      <c r="L1159" s="10">
        <v>1</v>
      </c>
      <c r="M1159" s="10">
        <v>4</v>
      </c>
    </row>
    <row r="1160" spans="1:13">
      <c r="A1160" s="6">
        <v>43504</v>
      </c>
      <c r="B1160" s="7">
        <v>0.51597222222222217</v>
      </c>
      <c r="C1160" s="10" t="str">
        <f>"FES1162672094"</f>
        <v>FES1162672094</v>
      </c>
      <c r="D1160" s="10" t="s">
        <v>18</v>
      </c>
      <c r="E1160" s="10" t="s">
        <v>19</v>
      </c>
      <c r="F1160" s="10" t="str">
        <f>"2170673411 "</f>
        <v xml:space="preserve">2170673411 </v>
      </c>
      <c r="G1160" s="10" t="str">
        <f t="shared" si="38"/>
        <v>ON1</v>
      </c>
      <c r="H1160" s="10" t="s">
        <v>20</v>
      </c>
      <c r="I1160" s="10" t="s">
        <v>21</v>
      </c>
      <c r="J1160" s="10" t="str">
        <f>""</f>
        <v/>
      </c>
      <c r="K1160" s="10" t="str">
        <f>"PFES1162672094_0001"</f>
        <v>PFES1162672094_0001</v>
      </c>
      <c r="L1160" s="10">
        <v>1</v>
      </c>
      <c r="M1160" s="10">
        <v>1</v>
      </c>
    </row>
    <row r="1161" spans="1:13">
      <c r="A1161" s="6">
        <v>43504</v>
      </c>
      <c r="B1161" s="7">
        <v>0.51597222222222217</v>
      </c>
      <c r="C1161" s="10" t="str">
        <f>"FES1162672068"</f>
        <v>FES1162672068</v>
      </c>
      <c r="D1161" s="10" t="s">
        <v>18</v>
      </c>
      <c r="E1161" s="10" t="s">
        <v>19</v>
      </c>
      <c r="F1161" s="10" t="str">
        <f>"2170673378 "</f>
        <v xml:space="preserve">2170673378 </v>
      </c>
      <c r="G1161" s="10" t="str">
        <f t="shared" si="38"/>
        <v>ON1</v>
      </c>
      <c r="H1161" s="10" t="s">
        <v>20</v>
      </c>
      <c r="I1161" s="10" t="s">
        <v>21</v>
      </c>
      <c r="J1161" s="10" t="str">
        <f>""</f>
        <v/>
      </c>
      <c r="K1161" s="10" t="str">
        <f>"PFES1162672068_0001"</f>
        <v>PFES1162672068_0001</v>
      </c>
      <c r="L1161" s="10">
        <v>1</v>
      </c>
      <c r="M1161" s="10">
        <v>1</v>
      </c>
    </row>
    <row r="1162" spans="1:13">
      <c r="A1162" s="6">
        <v>43504</v>
      </c>
      <c r="B1162" s="7">
        <v>0.51527777777777783</v>
      </c>
      <c r="C1162" s="10" t="str">
        <f>"FES1162672091"</f>
        <v>FES1162672091</v>
      </c>
      <c r="D1162" s="10" t="s">
        <v>18</v>
      </c>
      <c r="E1162" s="10" t="s">
        <v>629</v>
      </c>
      <c r="F1162" s="10" t="str">
        <f>"2170673407 "</f>
        <v xml:space="preserve">2170673407 </v>
      </c>
      <c r="G1162" s="10" t="str">
        <f t="shared" si="38"/>
        <v>ON1</v>
      </c>
      <c r="H1162" s="10" t="s">
        <v>20</v>
      </c>
      <c r="I1162" s="10" t="s">
        <v>420</v>
      </c>
      <c r="J1162" s="10" t="str">
        <f>""</f>
        <v/>
      </c>
      <c r="K1162" s="10" t="str">
        <f>"PFES1162672091_0001"</f>
        <v>PFES1162672091_0001</v>
      </c>
      <c r="L1162" s="10">
        <v>1</v>
      </c>
      <c r="M1162" s="10">
        <v>2</v>
      </c>
    </row>
    <row r="1163" spans="1:13">
      <c r="A1163" s="6">
        <v>43504</v>
      </c>
      <c r="B1163" s="7">
        <v>0.51458333333333328</v>
      </c>
      <c r="C1163" s="10" t="str">
        <f>"FES1162672084"</f>
        <v>FES1162672084</v>
      </c>
      <c r="D1163" s="10" t="s">
        <v>18</v>
      </c>
      <c r="E1163" s="10" t="s">
        <v>629</v>
      </c>
      <c r="F1163" s="10" t="str">
        <f>"2170673396 "</f>
        <v xml:space="preserve">2170673396 </v>
      </c>
      <c r="G1163" s="10" t="str">
        <f t="shared" si="38"/>
        <v>ON1</v>
      </c>
      <c r="H1163" s="10" t="s">
        <v>20</v>
      </c>
      <c r="I1163" s="10" t="s">
        <v>420</v>
      </c>
      <c r="J1163" s="10" t="str">
        <f>""</f>
        <v/>
      </c>
      <c r="K1163" s="10" t="str">
        <f>"PFES1162672084_0001"</f>
        <v>PFES1162672084_0001</v>
      </c>
      <c r="L1163" s="10">
        <v>1</v>
      </c>
      <c r="M1163" s="10">
        <v>2</v>
      </c>
    </row>
    <row r="1164" spans="1:13">
      <c r="A1164" s="6">
        <v>43504</v>
      </c>
      <c r="B1164" s="7">
        <v>0.51458333333333328</v>
      </c>
      <c r="C1164" s="10" t="str">
        <f>"FES1162672086"</f>
        <v>FES1162672086</v>
      </c>
      <c r="D1164" s="10" t="s">
        <v>18</v>
      </c>
      <c r="E1164" s="10" t="s">
        <v>629</v>
      </c>
      <c r="F1164" s="10" t="str">
        <f>"2170673403 "</f>
        <v xml:space="preserve">2170673403 </v>
      </c>
      <c r="G1164" s="10" t="str">
        <f t="shared" si="38"/>
        <v>ON1</v>
      </c>
      <c r="H1164" s="10" t="s">
        <v>20</v>
      </c>
      <c r="I1164" s="10" t="s">
        <v>420</v>
      </c>
      <c r="J1164" s="10" t="str">
        <f>""</f>
        <v/>
      </c>
      <c r="K1164" s="10" t="str">
        <f>"PFES1162672086_0001"</f>
        <v>PFES1162672086_0001</v>
      </c>
      <c r="L1164" s="10">
        <v>1</v>
      </c>
      <c r="M1164" s="10">
        <v>2</v>
      </c>
    </row>
    <row r="1165" spans="1:13">
      <c r="A1165" s="6">
        <v>43504</v>
      </c>
      <c r="B1165" s="7">
        <v>0.51388888888888895</v>
      </c>
      <c r="C1165" s="10" t="str">
        <f>"FES1162672062"</f>
        <v>FES1162672062</v>
      </c>
      <c r="D1165" s="10" t="s">
        <v>18</v>
      </c>
      <c r="E1165" s="10" t="s">
        <v>629</v>
      </c>
      <c r="F1165" s="10" t="str">
        <f>"2170670949 "</f>
        <v xml:space="preserve">2170670949 </v>
      </c>
      <c r="G1165" s="10" t="str">
        <f t="shared" si="38"/>
        <v>ON1</v>
      </c>
      <c r="H1165" s="10" t="s">
        <v>20</v>
      </c>
      <c r="I1165" s="10" t="s">
        <v>420</v>
      </c>
      <c r="J1165" s="10" t="str">
        <f>""</f>
        <v/>
      </c>
      <c r="K1165" s="10" t="str">
        <f>"PFES1162672062_0001"</f>
        <v>PFES1162672062_0001</v>
      </c>
      <c r="L1165" s="10">
        <v>1</v>
      </c>
      <c r="M1165" s="10">
        <v>3</v>
      </c>
    </row>
    <row r="1166" spans="1:13">
      <c r="A1166" s="6">
        <v>43504</v>
      </c>
      <c r="B1166" s="7">
        <v>0.5131944444444444</v>
      </c>
      <c r="C1166" s="10" t="str">
        <f>"FES1162672090"</f>
        <v>FES1162672090</v>
      </c>
      <c r="D1166" s="10" t="s">
        <v>18</v>
      </c>
      <c r="E1166" s="10" t="s">
        <v>629</v>
      </c>
      <c r="F1166" s="10" t="str">
        <f>"2170673404 "</f>
        <v xml:space="preserve">2170673404 </v>
      </c>
      <c r="G1166" s="10" t="str">
        <f t="shared" si="38"/>
        <v>ON1</v>
      </c>
      <c r="H1166" s="10" t="s">
        <v>20</v>
      </c>
      <c r="I1166" s="10" t="s">
        <v>420</v>
      </c>
      <c r="J1166" s="10" t="str">
        <f>""</f>
        <v/>
      </c>
      <c r="K1166" s="10" t="str">
        <f>"PFES1162672090_0001"</f>
        <v>PFES1162672090_0001</v>
      </c>
      <c r="L1166" s="10">
        <v>1</v>
      </c>
      <c r="M1166" s="10">
        <v>2</v>
      </c>
    </row>
    <row r="1167" spans="1:13">
      <c r="A1167" s="6">
        <v>43504</v>
      </c>
      <c r="B1167" s="7">
        <v>0.51250000000000007</v>
      </c>
      <c r="C1167" s="10" t="str">
        <f>"FES1162672101"</f>
        <v>FES1162672101</v>
      </c>
      <c r="D1167" s="10" t="s">
        <v>18</v>
      </c>
      <c r="E1167" s="10" t="s">
        <v>120</v>
      </c>
      <c r="F1167" s="10" t="str">
        <f>"2170673427 "</f>
        <v xml:space="preserve">2170673427 </v>
      </c>
      <c r="G1167" s="10" t="str">
        <f t="shared" si="38"/>
        <v>ON1</v>
      </c>
      <c r="H1167" s="10" t="s">
        <v>20</v>
      </c>
      <c r="I1167" s="10" t="s">
        <v>121</v>
      </c>
      <c r="J1167" s="10" t="str">
        <f>""</f>
        <v/>
      </c>
      <c r="K1167" s="10" t="str">
        <f>"PFES1162672101_0001"</f>
        <v>PFES1162672101_0001</v>
      </c>
      <c r="L1167" s="10">
        <v>1</v>
      </c>
      <c r="M1167" s="10">
        <v>1</v>
      </c>
    </row>
    <row r="1168" spans="1:13">
      <c r="A1168" s="6">
        <v>43504</v>
      </c>
      <c r="B1168" s="7">
        <v>0.51180555555555551</v>
      </c>
      <c r="C1168" s="10" t="str">
        <f>"FES1162672106"</f>
        <v>FES1162672106</v>
      </c>
      <c r="D1168" s="10" t="s">
        <v>18</v>
      </c>
      <c r="E1168" s="10" t="s">
        <v>162</v>
      </c>
      <c r="F1168" s="10" t="str">
        <f>"2170672773 "</f>
        <v xml:space="preserve">2170672773 </v>
      </c>
      <c r="G1168" s="10" t="str">
        <f t="shared" si="38"/>
        <v>ON1</v>
      </c>
      <c r="H1168" s="10" t="s">
        <v>20</v>
      </c>
      <c r="I1168" s="10" t="s">
        <v>163</v>
      </c>
      <c r="J1168" s="10" t="str">
        <f>""</f>
        <v/>
      </c>
      <c r="K1168" s="10" t="str">
        <f>"PFES1162672106_0001"</f>
        <v>PFES1162672106_0001</v>
      </c>
      <c r="L1168" s="10">
        <v>1</v>
      </c>
      <c r="M1168" s="10">
        <v>3</v>
      </c>
    </row>
    <row r="1169" spans="1:13">
      <c r="A1169" s="6">
        <v>43504</v>
      </c>
      <c r="B1169" s="7">
        <v>0.49861111111111112</v>
      </c>
      <c r="C1169" s="10" t="str">
        <f>"FES1162672112"</f>
        <v>FES1162672112</v>
      </c>
      <c r="D1169" s="10" t="s">
        <v>18</v>
      </c>
      <c r="E1169" s="10" t="s">
        <v>212</v>
      </c>
      <c r="F1169" s="10" t="str">
        <f>"2170673443 "</f>
        <v xml:space="preserve">2170673443 </v>
      </c>
      <c r="G1169" s="10" t="str">
        <f t="shared" si="38"/>
        <v>ON1</v>
      </c>
      <c r="H1169" s="10" t="s">
        <v>20</v>
      </c>
      <c r="I1169" s="10" t="s">
        <v>213</v>
      </c>
      <c r="J1169" s="10" t="str">
        <f>""</f>
        <v/>
      </c>
      <c r="K1169" s="10" t="str">
        <f>"PFES1162672112_0001"</f>
        <v>PFES1162672112_0001</v>
      </c>
      <c r="L1169" s="10">
        <v>1</v>
      </c>
      <c r="M1169" s="10">
        <v>14</v>
      </c>
    </row>
    <row r="1170" spans="1:13">
      <c r="A1170" s="6">
        <v>43504</v>
      </c>
      <c r="B1170" s="7">
        <v>0.49791666666666662</v>
      </c>
      <c r="C1170" s="10" t="str">
        <f>"FES1162672046"</f>
        <v>FES1162672046</v>
      </c>
      <c r="D1170" s="10" t="s">
        <v>18</v>
      </c>
      <c r="E1170" s="10" t="s">
        <v>461</v>
      </c>
      <c r="F1170" s="10" t="str">
        <f>"2170673349 "</f>
        <v xml:space="preserve">2170673349 </v>
      </c>
      <c r="G1170" s="10" t="str">
        <f t="shared" ref="G1170:G1173" si="39">"ON1"</f>
        <v>ON1</v>
      </c>
      <c r="H1170" s="10" t="s">
        <v>20</v>
      </c>
      <c r="I1170" s="10" t="s">
        <v>406</v>
      </c>
      <c r="J1170" s="10" t="str">
        <f>""</f>
        <v/>
      </c>
      <c r="K1170" s="10" t="str">
        <f>"PFES1162672046_0001"</f>
        <v>PFES1162672046_0001</v>
      </c>
      <c r="L1170" s="10">
        <v>1</v>
      </c>
      <c r="M1170" s="10">
        <v>7</v>
      </c>
    </row>
    <row r="1171" spans="1:13">
      <c r="A1171" s="6">
        <v>43504</v>
      </c>
      <c r="B1171" s="7">
        <v>0.49722222222222223</v>
      </c>
      <c r="C1171" s="10" t="str">
        <f>"FES1162672010"</f>
        <v>FES1162672010</v>
      </c>
      <c r="D1171" s="10" t="s">
        <v>18</v>
      </c>
      <c r="E1171" s="10" t="s">
        <v>253</v>
      </c>
      <c r="F1171" s="10" t="str">
        <f>"2170671791 "</f>
        <v xml:space="preserve">2170671791 </v>
      </c>
      <c r="G1171" s="10" t="str">
        <f t="shared" si="39"/>
        <v>ON1</v>
      </c>
      <c r="H1171" s="10" t="s">
        <v>20</v>
      </c>
      <c r="I1171" s="10" t="s">
        <v>226</v>
      </c>
      <c r="J1171" s="10" t="str">
        <f>""</f>
        <v/>
      </c>
      <c r="K1171" s="10" t="str">
        <f>"PFES1162672010_0001"</f>
        <v>PFES1162672010_0001</v>
      </c>
      <c r="L1171" s="10">
        <v>1</v>
      </c>
      <c r="M1171" s="10">
        <v>17</v>
      </c>
    </row>
    <row r="1172" spans="1:13">
      <c r="A1172" s="6">
        <v>43504</v>
      </c>
      <c r="B1172" s="7">
        <v>0.49652777777777773</v>
      </c>
      <c r="C1172" s="10" t="str">
        <f>"FES1162672019"</f>
        <v>FES1162672019</v>
      </c>
      <c r="D1172" s="10" t="s">
        <v>18</v>
      </c>
      <c r="E1172" s="10" t="s">
        <v>306</v>
      </c>
      <c r="F1172" s="10" t="str">
        <f>"2170672811 "</f>
        <v xml:space="preserve">2170672811 </v>
      </c>
      <c r="G1172" s="10" t="str">
        <f t="shared" si="39"/>
        <v>ON1</v>
      </c>
      <c r="H1172" s="10" t="s">
        <v>20</v>
      </c>
      <c r="I1172" s="10" t="s">
        <v>228</v>
      </c>
      <c r="J1172" s="10" t="str">
        <f>""</f>
        <v/>
      </c>
      <c r="K1172" s="10" t="str">
        <f>"PFES1162672019_0001"</f>
        <v>PFES1162672019_0001</v>
      </c>
      <c r="L1172" s="10">
        <v>1</v>
      </c>
      <c r="M1172" s="10">
        <v>2</v>
      </c>
    </row>
    <row r="1173" spans="1:13">
      <c r="A1173" s="6">
        <v>43504</v>
      </c>
      <c r="B1173" s="7">
        <v>0.49513888888888885</v>
      </c>
      <c r="C1173" s="10" t="str">
        <f>"FES1162672037"</f>
        <v>FES1162672037</v>
      </c>
      <c r="D1173" s="10" t="s">
        <v>18</v>
      </c>
      <c r="E1173" s="10" t="s">
        <v>625</v>
      </c>
      <c r="F1173" s="10" t="str">
        <f>"2170673303 "</f>
        <v xml:space="preserve">2170673303 </v>
      </c>
      <c r="G1173" s="10" t="str">
        <f t="shared" si="39"/>
        <v>ON1</v>
      </c>
      <c r="H1173" s="10" t="s">
        <v>20</v>
      </c>
      <c r="I1173" s="10" t="s">
        <v>29</v>
      </c>
      <c r="J1173" s="10" t="str">
        <f>""</f>
        <v/>
      </c>
      <c r="K1173" s="10" t="str">
        <f>"PFES1162672037_0001"</f>
        <v>PFES1162672037_0001</v>
      </c>
      <c r="L1173" s="10">
        <v>1</v>
      </c>
      <c r="M1173" s="10">
        <v>2</v>
      </c>
    </row>
    <row r="1174" spans="1:13">
      <c r="A1174" s="6">
        <v>43504</v>
      </c>
      <c r="B1174" s="7">
        <v>0.49374999999999997</v>
      </c>
      <c r="C1174" s="10" t="str">
        <f>"FES1162671999"</f>
        <v>FES1162671999</v>
      </c>
      <c r="D1174" s="10" t="s">
        <v>18</v>
      </c>
      <c r="E1174" s="10" t="s">
        <v>249</v>
      </c>
      <c r="F1174" s="10" t="str">
        <f>"2170673305 "</f>
        <v xml:space="preserve">2170673305 </v>
      </c>
      <c r="G1174" s="10" t="str">
        <f>"ON2"</f>
        <v>ON2</v>
      </c>
      <c r="H1174" s="10" t="s">
        <v>20</v>
      </c>
      <c r="I1174" s="10" t="s">
        <v>29</v>
      </c>
      <c r="J1174" s="10" t="str">
        <f>"FRAGILE OIL"</f>
        <v>FRAGILE OIL</v>
      </c>
      <c r="K1174" s="10" t="str">
        <f>"PFES1162671999_0001"</f>
        <v>PFES1162671999_0001</v>
      </c>
      <c r="L1174" s="10">
        <v>1</v>
      </c>
      <c r="M1174" s="10">
        <v>7</v>
      </c>
    </row>
    <row r="1175" spans="1:13">
      <c r="A1175" s="6">
        <v>43504</v>
      </c>
      <c r="B1175" s="7">
        <v>0.49236111111111108</v>
      </c>
      <c r="C1175" s="10" t="str">
        <f>"009935723032"</f>
        <v>009935723032</v>
      </c>
      <c r="D1175" s="10" t="s">
        <v>18</v>
      </c>
      <c r="E1175" s="10" t="s">
        <v>697</v>
      </c>
      <c r="F1175" s="10" t="str">
        <f>"1162625600 "</f>
        <v xml:space="preserve">1162625600 </v>
      </c>
      <c r="G1175" s="10" t="str">
        <f t="shared" ref="G1175:G1185" si="40">"ON1"</f>
        <v>ON1</v>
      </c>
      <c r="H1175" s="10" t="s">
        <v>20</v>
      </c>
      <c r="I1175" s="10" t="s">
        <v>153</v>
      </c>
      <c r="J1175" s="10" t="str">
        <f>"RE SEND PARCEL"</f>
        <v>RE SEND PARCEL</v>
      </c>
      <c r="K1175" s="10" t="str">
        <f>"P009935723032_0001"</f>
        <v>P009935723032_0001</v>
      </c>
      <c r="L1175" s="10">
        <v>1</v>
      </c>
      <c r="M1175" s="10">
        <v>6</v>
      </c>
    </row>
    <row r="1176" spans="1:13">
      <c r="A1176" s="6">
        <v>43504</v>
      </c>
      <c r="B1176" s="7">
        <v>0.49027777777777781</v>
      </c>
      <c r="C1176" s="10" t="str">
        <f>"FES1162672007"</f>
        <v>FES1162672007</v>
      </c>
      <c r="D1176" s="10" t="s">
        <v>18</v>
      </c>
      <c r="E1176" s="10" t="s">
        <v>19</v>
      </c>
      <c r="F1176" s="10" t="str">
        <f>"2170671607 "</f>
        <v xml:space="preserve">2170671607 </v>
      </c>
      <c r="G1176" s="10" t="str">
        <f t="shared" si="40"/>
        <v>ON1</v>
      </c>
      <c r="H1176" s="10" t="s">
        <v>20</v>
      </c>
      <c r="I1176" s="10" t="s">
        <v>21</v>
      </c>
      <c r="J1176" s="10" t="str">
        <f>""</f>
        <v/>
      </c>
      <c r="K1176" s="10" t="str">
        <f>"PFES1162672007_0001"</f>
        <v>PFES1162672007_0001</v>
      </c>
      <c r="L1176" s="10">
        <v>1</v>
      </c>
      <c r="M1176" s="10">
        <v>2</v>
      </c>
    </row>
    <row r="1177" spans="1:13">
      <c r="A1177" s="6">
        <v>43504</v>
      </c>
      <c r="B1177" s="7">
        <v>0.48888888888888887</v>
      </c>
      <c r="C1177" s="10" t="str">
        <f>"FES1162672006"</f>
        <v>FES1162672006</v>
      </c>
      <c r="D1177" s="10" t="s">
        <v>18</v>
      </c>
      <c r="E1177" s="10" t="s">
        <v>19</v>
      </c>
      <c r="F1177" s="10" t="str">
        <f>"2170671606 "</f>
        <v xml:space="preserve">2170671606 </v>
      </c>
      <c r="G1177" s="10" t="str">
        <f t="shared" si="40"/>
        <v>ON1</v>
      </c>
      <c r="H1177" s="10" t="s">
        <v>20</v>
      </c>
      <c r="I1177" s="10" t="s">
        <v>21</v>
      </c>
      <c r="J1177" s="10" t="str">
        <f>""</f>
        <v/>
      </c>
      <c r="K1177" s="10" t="str">
        <f>"PFES1162672006_0001"</f>
        <v>PFES1162672006_0001</v>
      </c>
      <c r="L1177" s="10">
        <v>1</v>
      </c>
      <c r="M1177" s="10">
        <v>3</v>
      </c>
    </row>
    <row r="1178" spans="1:13">
      <c r="A1178" s="6">
        <v>43504</v>
      </c>
      <c r="B1178" s="7">
        <v>0.48819444444444443</v>
      </c>
      <c r="C1178" s="10" t="str">
        <f>"FES1162672092"</f>
        <v>FES1162672092</v>
      </c>
      <c r="D1178" s="10" t="s">
        <v>18</v>
      </c>
      <c r="E1178" s="10" t="s">
        <v>375</v>
      </c>
      <c r="F1178" s="10" t="str">
        <f>"2170673408 "</f>
        <v xml:space="preserve">2170673408 </v>
      </c>
      <c r="G1178" s="10" t="str">
        <f t="shared" si="40"/>
        <v>ON1</v>
      </c>
      <c r="H1178" s="10" t="s">
        <v>20</v>
      </c>
      <c r="I1178" s="10" t="s">
        <v>99</v>
      </c>
      <c r="J1178" s="10" t="str">
        <f>""</f>
        <v/>
      </c>
      <c r="K1178" s="10" t="str">
        <f>"PFES1162672092_0001"</f>
        <v>PFES1162672092_0001</v>
      </c>
      <c r="L1178" s="10">
        <v>1</v>
      </c>
      <c r="M1178" s="10">
        <v>1</v>
      </c>
    </row>
    <row r="1179" spans="1:13">
      <c r="A1179" s="6">
        <v>43504</v>
      </c>
      <c r="B1179" s="7">
        <v>0.48819444444444443</v>
      </c>
      <c r="C1179" s="10" t="str">
        <f>"FES1162672013"</f>
        <v>FES1162672013</v>
      </c>
      <c r="D1179" s="10" t="s">
        <v>18</v>
      </c>
      <c r="E1179" s="10" t="s">
        <v>169</v>
      </c>
      <c r="F1179" s="10" t="str">
        <f>"2170672094 "</f>
        <v xml:space="preserve">2170672094 </v>
      </c>
      <c r="G1179" s="10" t="str">
        <f t="shared" si="40"/>
        <v>ON1</v>
      </c>
      <c r="H1179" s="10" t="s">
        <v>20</v>
      </c>
      <c r="I1179" s="10" t="s">
        <v>87</v>
      </c>
      <c r="J1179" s="10" t="str">
        <f>""</f>
        <v/>
      </c>
      <c r="K1179" s="10" t="str">
        <f>"PFES1162672013_0001"</f>
        <v>PFES1162672013_0001</v>
      </c>
      <c r="L1179" s="10">
        <v>1</v>
      </c>
      <c r="M1179" s="10">
        <v>14</v>
      </c>
    </row>
    <row r="1180" spans="1:13">
      <c r="A1180" s="6">
        <v>43504</v>
      </c>
      <c r="B1180" s="7">
        <v>0.48749999999999999</v>
      </c>
      <c r="C1180" s="10" t="str">
        <f>"FES1162672029"</f>
        <v>FES1162672029</v>
      </c>
      <c r="D1180" s="10" t="s">
        <v>18</v>
      </c>
      <c r="E1180" s="10" t="s">
        <v>178</v>
      </c>
      <c r="F1180" s="10" t="str">
        <f>"2170673319 "</f>
        <v xml:space="preserve">2170673319 </v>
      </c>
      <c r="G1180" s="10" t="str">
        <f t="shared" si="40"/>
        <v>ON1</v>
      </c>
      <c r="H1180" s="10" t="s">
        <v>20</v>
      </c>
      <c r="I1180" s="10" t="s">
        <v>29</v>
      </c>
      <c r="J1180" s="10" t="str">
        <f>""</f>
        <v/>
      </c>
      <c r="K1180" s="10" t="str">
        <f>"PFES1162672029_0001"</f>
        <v>PFES1162672029_0001</v>
      </c>
      <c r="L1180" s="10">
        <v>1</v>
      </c>
      <c r="M1180" s="10">
        <v>1</v>
      </c>
    </row>
    <row r="1181" spans="1:13">
      <c r="A1181" s="6">
        <v>43504</v>
      </c>
      <c r="B1181" s="7">
        <v>0.48749999999999999</v>
      </c>
      <c r="C1181" s="10" t="str">
        <f>"FES1162672077"</f>
        <v>FES1162672077</v>
      </c>
      <c r="D1181" s="10" t="s">
        <v>18</v>
      </c>
      <c r="E1181" s="10" t="s">
        <v>78</v>
      </c>
      <c r="F1181" s="10" t="str">
        <f>"2170673391 "</f>
        <v xml:space="preserve">2170673391 </v>
      </c>
      <c r="G1181" s="10" t="str">
        <f t="shared" si="40"/>
        <v>ON1</v>
      </c>
      <c r="H1181" s="10" t="s">
        <v>20</v>
      </c>
      <c r="I1181" s="10" t="s">
        <v>79</v>
      </c>
      <c r="J1181" s="10" t="str">
        <f>""</f>
        <v/>
      </c>
      <c r="K1181" s="10" t="str">
        <f>"PFES1162672077_0001"</f>
        <v>PFES1162672077_0001</v>
      </c>
      <c r="L1181" s="10">
        <v>1</v>
      </c>
      <c r="M1181" s="10">
        <v>1</v>
      </c>
    </row>
    <row r="1182" spans="1:13">
      <c r="A1182" s="6">
        <v>43504</v>
      </c>
      <c r="B1182" s="7">
        <v>0.48749999999999999</v>
      </c>
      <c r="C1182" s="10" t="str">
        <f>"FES1162672069"</f>
        <v>FES1162672069</v>
      </c>
      <c r="D1182" s="10" t="s">
        <v>18</v>
      </c>
      <c r="E1182" s="10" t="s">
        <v>295</v>
      </c>
      <c r="F1182" s="10" t="str">
        <f>"2170673380 "</f>
        <v xml:space="preserve">2170673380 </v>
      </c>
      <c r="G1182" s="10" t="str">
        <f t="shared" si="40"/>
        <v>ON1</v>
      </c>
      <c r="H1182" s="10" t="s">
        <v>20</v>
      </c>
      <c r="I1182" s="10" t="s">
        <v>53</v>
      </c>
      <c r="J1182" s="10" t="str">
        <f>""</f>
        <v/>
      </c>
      <c r="K1182" s="10" t="str">
        <f>"PFES1162672069_0001"</f>
        <v>PFES1162672069_0001</v>
      </c>
      <c r="L1182" s="10">
        <v>1</v>
      </c>
      <c r="M1182" s="10">
        <v>1</v>
      </c>
    </row>
    <row r="1183" spans="1:13">
      <c r="A1183" s="6">
        <v>43504</v>
      </c>
      <c r="B1183" s="7">
        <v>0.4861111111111111</v>
      </c>
      <c r="C1183" s="10" t="str">
        <f>"FES1162672015"</f>
        <v>FES1162672015</v>
      </c>
      <c r="D1183" s="10" t="s">
        <v>18</v>
      </c>
      <c r="E1183" s="10" t="s">
        <v>19</v>
      </c>
      <c r="F1183" s="10" t="str">
        <f>"2170672234 "</f>
        <v xml:space="preserve">2170672234 </v>
      </c>
      <c r="G1183" s="10" t="str">
        <f t="shared" si="40"/>
        <v>ON1</v>
      </c>
      <c r="H1183" s="10" t="s">
        <v>20</v>
      </c>
      <c r="I1183" s="10" t="s">
        <v>21</v>
      </c>
      <c r="J1183" s="10" t="str">
        <f>""</f>
        <v/>
      </c>
      <c r="K1183" s="10" t="str">
        <f>"PFES1162672015_0001"</f>
        <v>PFES1162672015_0001</v>
      </c>
      <c r="L1183" s="10">
        <v>1</v>
      </c>
      <c r="M1183" s="10">
        <v>1</v>
      </c>
    </row>
    <row r="1184" spans="1:13">
      <c r="A1184" s="6">
        <v>43504</v>
      </c>
      <c r="B1184" s="7">
        <v>0.48472222222222222</v>
      </c>
      <c r="C1184" s="10" t="str">
        <f>"FES1162671980"</f>
        <v>FES1162671980</v>
      </c>
      <c r="D1184" s="10" t="s">
        <v>18</v>
      </c>
      <c r="E1184" s="10" t="s">
        <v>329</v>
      </c>
      <c r="F1184" s="10" t="str">
        <f>"2170673017 "</f>
        <v xml:space="preserve">2170673017 </v>
      </c>
      <c r="G1184" s="10" t="str">
        <f t="shared" si="40"/>
        <v>ON1</v>
      </c>
      <c r="H1184" s="10" t="s">
        <v>20</v>
      </c>
      <c r="I1184" s="10" t="s">
        <v>81</v>
      </c>
      <c r="J1184" s="10" t="str">
        <f>""</f>
        <v/>
      </c>
      <c r="K1184" s="10" t="str">
        <f>"PFES1162671980_0001"</f>
        <v>PFES1162671980_0001</v>
      </c>
      <c r="L1184" s="10">
        <v>1</v>
      </c>
      <c r="M1184" s="10">
        <v>2</v>
      </c>
    </row>
    <row r="1185" spans="1:13">
      <c r="A1185" s="6">
        <v>43504</v>
      </c>
      <c r="B1185" s="7">
        <v>0.48402777777777778</v>
      </c>
      <c r="C1185" s="10" t="str">
        <f>"FES1162672026"</f>
        <v>FES1162672026</v>
      </c>
      <c r="D1185" s="10" t="s">
        <v>18</v>
      </c>
      <c r="E1185" s="10" t="s">
        <v>698</v>
      </c>
      <c r="F1185" s="10" t="str">
        <f>"2170673316 "</f>
        <v xml:space="preserve">2170673316 </v>
      </c>
      <c r="G1185" s="10" t="str">
        <f t="shared" si="40"/>
        <v>ON1</v>
      </c>
      <c r="H1185" s="10" t="s">
        <v>20</v>
      </c>
      <c r="I1185" s="10" t="s">
        <v>226</v>
      </c>
      <c r="J1185" s="10" t="str">
        <f>""</f>
        <v/>
      </c>
      <c r="K1185" s="10" t="str">
        <f>"PFES1162672026_0001"</f>
        <v>PFES1162672026_0001</v>
      </c>
      <c r="L1185" s="10">
        <v>1</v>
      </c>
      <c r="M1185" s="10">
        <v>1</v>
      </c>
    </row>
    <row r="1186" spans="1:13">
      <c r="A1186" s="6">
        <v>43504</v>
      </c>
      <c r="B1186" s="7">
        <v>0.48333333333333334</v>
      </c>
      <c r="C1186" s="10" t="str">
        <f>"FES1162672050"</f>
        <v>FES1162672050</v>
      </c>
      <c r="D1186" s="10" t="s">
        <v>18</v>
      </c>
      <c r="E1186" s="10" t="s">
        <v>120</v>
      </c>
      <c r="F1186" s="10" t="str">
        <f>"2170673346 "</f>
        <v xml:space="preserve">2170673346 </v>
      </c>
      <c r="G1186" s="10" t="str">
        <f>"DBC"</f>
        <v>DBC</v>
      </c>
      <c r="H1186" s="10" t="s">
        <v>20</v>
      </c>
      <c r="I1186" s="10" t="s">
        <v>121</v>
      </c>
      <c r="J1186" s="10" t="str">
        <f>"FRAGILE OIL"</f>
        <v>FRAGILE OIL</v>
      </c>
      <c r="K1186" s="10" t="str">
        <f>"PFES1162672050_0001"</f>
        <v>PFES1162672050_0001</v>
      </c>
      <c r="L1186" s="10">
        <v>1</v>
      </c>
      <c r="M1186" s="10">
        <v>6</v>
      </c>
    </row>
    <row r="1187" spans="1:13">
      <c r="A1187" s="6">
        <v>43504</v>
      </c>
      <c r="B1187" s="7">
        <v>0.48333333333333334</v>
      </c>
      <c r="C1187" s="10" t="str">
        <f>"FES1162672048"</f>
        <v>FES1162672048</v>
      </c>
      <c r="D1187" s="10" t="s">
        <v>18</v>
      </c>
      <c r="E1187" s="10" t="s">
        <v>118</v>
      </c>
      <c r="F1187" s="10" t="str">
        <f>"2170673342 "</f>
        <v xml:space="preserve">2170673342 </v>
      </c>
      <c r="G1187" s="10" t="str">
        <f t="shared" ref="G1187:G1197" si="41">"ON1"</f>
        <v>ON1</v>
      </c>
      <c r="H1187" s="10" t="s">
        <v>20</v>
      </c>
      <c r="I1187" s="10" t="s">
        <v>119</v>
      </c>
      <c r="J1187" s="10" t="str">
        <f>""</f>
        <v/>
      </c>
      <c r="K1187" s="10" t="str">
        <f>"PFES1162672048_0001"</f>
        <v>PFES1162672048_0001</v>
      </c>
      <c r="L1187" s="10">
        <v>1</v>
      </c>
      <c r="M1187" s="10">
        <v>1</v>
      </c>
    </row>
    <row r="1188" spans="1:13">
      <c r="A1188" s="6">
        <v>43504</v>
      </c>
      <c r="B1188" s="7">
        <v>0.48333333333333334</v>
      </c>
      <c r="C1188" s="10" t="str">
        <f>"FES1162672036"</f>
        <v>FES1162672036</v>
      </c>
      <c r="D1188" s="10" t="s">
        <v>18</v>
      </c>
      <c r="E1188" s="10" t="s">
        <v>625</v>
      </c>
      <c r="F1188" s="10" t="str">
        <f>"2170673298 "</f>
        <v xml:space="preserve">2170673298 </v>
      </c>
      <c r="G1188" s="10" t="str">
        <f t="shared" si="41"/>
        <v>ON1</v>
      </c>
      <c r="H1188" s="10" t="s">
        <v>20</v>
      </c>
      <c r="I1188" s="10" t="s">
        <v>29</v>
      </c>
      <c r="J1188" s="10" t="str">
        <f>""</f>
        <v/>
      </c>
      <c r="K1188" s="10" t="str">
        <f>"PFES1162672036_0001"</f>
        <v>PFES1162672036_0001</v>
      </c>
      <c r="L1188" s="10">
        <v>1</v>
      </c>
      <c r="M1188" s="10">
        <v>1</v>
      </c>
    </row>
    <row r="1189" spans="1:13">
      <c r="A1189" s="6">
        <v>43504</v>
      </c>
      <c r="B1189" s="7">
        <v>0.48333333333333334</v>
      </c>
      <c r="C1189" s="10" t="str">
        <f>"FES1162672023"</f>
        <v>FES1162672023</v>
      </c>
      <c r="D1189" s="10" t="s">
        <v>18</v>
      </c>
      <c r="E1189" s="10" t="s">
        <v>623</v>
      </c>
      <c r="F1189" s="10" t="str">
        <f>"2170673309 "</f>
        <v xml:space="preserve">2170673309 </v>
      </c>
      <c r="G1189" s="10" t="str">
        <f t="shared" si="41"/>
        <v>ON1</v>
      </c>
      <c r="H1189" s="10" t="s">
        <v>20</v>
      </c>
      <c r="I1189" s="10" t="s">
        <v>429</v>
      </c>
      <c r="J1189" s="10" t="str">
        <f>""</f>
        <v/>
      </c>
      <c r="K1189" s="10" t="str">
        <f>"PFES1162672023_0001"</f>
        <v>PFES1162672023_0001</v>
      </c>
      <c r="L1189" s="10">
        <v>1</v>
      </c>
      <c r="M1189" s="10">
        <v>1</v>
      </c>
    </row>
    <row r="1190" spans="1:13">
      <c r="A1190" s="6">
        <v>43504</v>
      </c>
      <c r="B1190" s="7">
        <v>0.4826388888888889</v>
      </c>
      <c r="C1190" s="10" t="str">
        <f>"FES1162672025"</f>
        <v>FES1162672025</v>
      </c>
      <c r="D1190" s="10" t="s">
        <v>18</v>
      </c>
      <c r="E1190" s="10" t="s">
        <v>699</v>
      </c>
      <c r="F1190" s="10" t="str">
        <f>"2170673314 "</f>
        <v xml:space="preserve">2170673314 </v>
      </c>
      <c r="G1190" s="10" t="str">
        <f t="shared" si="41"/>
        <v>ON1</v>
      </c>
      <c r="H1190" s="10" t="s">
        <v>20</v>
      </c>
      <c r="I1190" s="10" t="s">
        <v>700</v>
      </c>
      <c r="J1190" s="10" t="str">
        <f>""</f>
        <v/>
      </c>
      <c r="K1190" s="10" t="str">
        <f>"PFES1162672025_0001"</f>
        <v>PFES1162672025_0001</v>
      </c>
      <c r="L1190" s="10">
        <v>1</v>
      </c>
      <c r="M1190" s="10">
        <v>6</v>
      </c>
    </row>
    <row r="1191" spans="1:13">
      <c r="A1191" s="6">
        <v>43504</v>
      </c>
      <c r="B1191" s="7">
        <v>0.48194444444444445</v>
      </c>
      <c r="C1191" s="10" t="str">
        <f>"FES1162666462"</f>
        <v>FES1162666462</v>
      </c>
      <c r="D1191" s="10" t="s">
        <v>18</v>
      </c>
      <c r="E1191" s="10" t="s">
        <v>701</v>
      </c>
      <c r="F1191" s="10" t="str">
        <f>"2170668130 "</f>
        <v xml:space="preserve">2170668130 </v>
      </c>
      <c r="G1191" s="10" t="str">
        <f t="shared" si="41"/>
        <v>ON1</v>
      </c>
      <c r="H1191" s="10" t="s">
        <v>20</v>
      </c>
      <c r="I1191" s="10" t="s">
        <v>213</v>
      </c>
      <c r="J1191" s="10" t="str">
        <f>""</f>
        <v/>
      </c>
      <c r="K1191" s="10" t="str">
        <f>"PFES1162666462_0001"</f>
        <v>PFES1162666462_0001</v>
      </c>
      <c r="L1191" s="10">
        <v>1</v>
      </c>
      <c r="M1191" s="10">
        <v>2</v>
      </c>
    </row>
    <row r="1192" spans="1:13">
      <c r="A1192" s="6">
        <v>43504</v>
      </c>
      <c r="B1192" s="7">
        <v>0.48125000000000001</v>
      </c>
      <c r="C1192" s="10" t="str">
        <f>"FES1162672067"</f>
        <v>FES1162672067</v>
      </c>
      <c r="D1192" s="10" t="s">
        <v>18</v>
      </c>
      <c r="E1192" s="10" t="s">
        <v>702</v>
      </c>
      <c r="F1192" s="10" t="str">
        <f>"2170673376 "</f>
        <v xml:space="preserve">2170673376 </v>
      </c>
      <c r="G1192" s="10" t="str">
        <f t="shared" si="41"/>
        <v>ON1</v>
      </c>
      <c r="H1192" s="10" t="s">
        <v>20</v>
      </c>
      <c r="I1192" s="10" t="s">
        <v>703</v>
      </c>
      <c r="J1192" s="10" t="str">
        <f>""</f>
        <v/>
      </c>
      <c r="K1192" s="10" t="str">
        <f>"PFES1162672067_0001"</f>
        <v>PFES1162672067_0001</v>
      </c>
      <c r="L1192" s="10">
        <v>1</v>
      </c>
      <c r="M1192" s="10">
        <v>2</v>
      </c>
    </row>
    <row r="1193" spans="1:13">
      <c r="A1193" s="6">
        <v>43504</v>
      </c>
      <c r="B1193" s="7">
        <v>0.47986111111111113</v>
      </c>
      <c r="C1193" s="10" t="str">
        <f>"FES1162672028"</f>
        <v>FES1162672028</v>
      </c>
      <c r="D1193" s="10" t="s">
        <v>18</v>
      </c>
      <c r="E1193" s="10" t="s">
        <v>493</v>
      </c>
      <c r="F1193" s="10" t="str">
        <f>"2170673318 "</f>
        <v xml:space="preserve">2170673318 </v>
      </c>
      <c r="G1193" s="10" t="str">
        <f t="shared" si="41"/>
        <v>ON1</v>
      </c>
      <c r="H1193" s="10" t="s">
        <v>20</v>
      </c>
      <c r="I1193" s="10" t="s">
        <v>111</v>
      </c>
      <c r="J1193" s="10" t="str">
        <f>""</f>
        <v/>
      </c>
      <c r="K1193" s="10" t="str">
        <f>"PFES1162672028_0001"</f>
        <v>PFES1162672028_0001</v>
      </c>
      <c r="L1193" s="10">
        <v>1</v>
      </c>
      <c r="M1193" s="10">
        <v>2</v>
      </c>
    </row>
    <row r="1194" spans="1:13">
      <c r="A1194" s="6">
        <v>43504</v>
      </c>
      <c r="B1194" s="7">
        <v>0.47986111111111113</v>
      </c>
      <c r="C1194" s="10" t="str">
        <f>"FES1162672078"</f>
        <v>FES1162672078</v>
      </c>
      <c r="D1194" s="10" t="s">
        <v>18</v>
      </c>
      <c r="E1194" s="10" t="s">
        <v>97</v>
      </c>
      <c r="F1194" s="10" t="str">
        <f>"2170673393 "</f>
        <v xml:space="preserve">2170673393 </v>
      </c>
      <c r="G1194" s="10" t="str">
        <f t="shared" si="41"/>
        <v>ON1</v>
      </c>
      <c r="H1194" s="10" t="s">
        <v>20</v>
      </c>
      <c r="I1194" s="10" t="s">
        <v>70</v>
      </c>
      <c r="J1194" s="10" t="str">
        <f>""</f>
        <v/>
      </c>
      <c r="K1194" s="10" t="str">
        <f>"PFES1162672078_0001"</f>
        <v>PFES1162672078_0001</v>
      </c>
      <c r="L1194" s="10">
        <v>1</v>
      </c>
      <c r="M1194" s="10">
        <v>1</v>
      </c>
    </row>
    <row r="1195" spans="1:13">
      <c r="A1195" s="6">
        <v>43504</v>
      </c>
      <c r="B1195" s="7">
        <v>0.47916666666666669</v>
      </c>
      <c r="C1195" s="10" t="str">
        <f>"FES1162672039"</f>
        <v>FES1162672039</v>
      </c>
      <c r="D1195" s="10" t="s">
        <v>18</v>
      </c>
      <c r="E1195" s="10" t="s">
        <v>606</v>
      </c>
      <c r="F1195" s="10" t="str">
        <f>"21706733331 "</f>
        <v xml:space="preserve">21706733331 </v>
      </c>
      <c r="G1195" s="10" t="str">
        <f t="shared" si="41"/>
        <v>ON1</v>
      </c>
      <c r="H1195" s="10" t="s">
        <v>20</v>
      </c>
      <c r="I1195" s="10" t="s">
        <v>124</v>
      </c>
      <c r="J1195" s="10" t="str">
        <f>""</f>
        <v/>
      </c>
      <c r="K1195" s="10" t="str">
        <f>"PFES1162672039_0001"</f>
        <v>PFES1162672039_0001</v>
      </c>
      <c r="L1195" s="10">
        <v>1</v>
      </c>
      <c r="M1195" s="10">
        <v>1</v>
      </c>
    </row>
    <row r="1196" spans="1:13">
      <c r="A1196" s="6">
        <v>43504</v>
      </c>
      <c r="B1196" s="7">
        <v>0.62222222222222223</v>
      </c>
      <c r="C1196" s="10" t="str">
        <f>"FES1162671993"</f>
        <v>FES1162671993</v>
      </c>
      <c r="D1196" s="10" t="s">
        <v>18</v>
      </c>
      <c r="E1196" s="10" t="s">
        <v>382</v>
      </c>
      <c r="F1196" s="10" t="str">
        <f>"2170673295 "</f>
        <v xml:space="preserve">2170673295 </v>
      </c>
      <c r="G1196" s="10" t="str">
        <f t="shared" si="41"/>
        <v>ON1</v>
      </c>
      <c r="H1196" s="10" t="s">
        <v>20</v>
      </c>
      <c r="I1196" s="10" t="s">
        <v>383</v>
      </c>
      <c r="J1196" s="10" t="str">
        <f>""</f>
        <v/>
      </c>
      <c r="K1196" s="10" t="str">
        <f>"PFES1162671993_0001"</f>
        <v>PFES1162671993_0001</v>
      </c>
      <c r="L1196" s="10">
        <v>1</v>
      </c>
      <c r="M1196" s="10">
        <v>1</v>
      </c>
    </row>
    <row r="1197" spans="1:13">
      <c r="A1197" s="6">
        <v>43504</v>
      </c>
      <c r="B1197" s="7">
        <v>0.62083333333333335</v>
      </c>
      <c r="C1197" s="10" t="str">
        <f>"FES1162672174"</f>
        <v>FES1162672174</v>
      </c>
      <c r="D1197" s="10" t="s">
        <v>18</v>
      </c>
      <c r="E1197" s="10" t="s">
        <v>704</v>
      </c>
      <c r="F1197" s="10" t="str">
        <f>"2170673514 "</f>
        <v xml:space="preserve">2170673514 </v>
      </c>
      <c r="G1197" s="10" t="str">
        <f t="shared" si="41"/>
        <v>ON1</v>
      </c>
      <c r="H1197" s="10" t="s">
        <v>20</v>
      </c>
      <c r="I1197" s="10" t="s">
        <v>228</v>
      </c>
      <c r="J1197" s="10" t="str">
        <f>""</f>
        <v/>
      </c>
      <c r="K1197" s="10" t="str">
        <f>"PFES1162672174_0001"</f>
        <v>PFES1162672174_0001</v>
      </c>
      <c r="L1197" s="10">
        <v>1</v>
      </c>
      <c r="M1197" s="10">
        <v>8</v>
      </c>
    </row>
    <row r="1198" spans="1:13">
      <c r="A1198" s="6">
        <v>43504</v>
      </c>
      <c r="B1198" s="7">
        <v>0.62013888888888891</v>
      </c>
      <c r="C1198" s="10" t="str">
        <f>"FES1162672177"</f>
        <v>FES1162672177</v>
      </c>
      <c r="D1198" s="10" t="s">
        <v>18</v>
      </c>
      <c r="E1198" s="10" t="s">
        <v>705</v>
      </c>
      <c r="F1198" s="10" t="str">
        <f>"2170673521 "</f>
        <v xml:space="preserve">2170673521 </v>
      </c>
      <c r="G1198" s="10" t="str">
        <f>"SAT"</f>
        <v>SAT</v>
      </c>
      <c r="H1198" s="10" t="s">
        <v>20</v>
      </c>
      <c r="I1198" s="10" t="s">
        <v>137</v>
      </c>
      <c r="J1198" s="10" t="str">
        <f>""</f>
        <v/>
      </c>
      <c r="K1198" s="10" t="str">
        <f>"PFES1162672177_0001"</f>
        <v>PFES1162672177_0001</v>
      </c>
      <c r="L1198" s="10">
        <v>1</v>
      </c>
      <c r="M1198" s="10">
        <v>1</v>
      </c>
    </row>
    <row r="1199" spans="1:13">
      <c r="A1199" s="6">
        <v>43504</v>
      </c>
      <c r="B1199" s="7">
        <v>0.62013888888888891</v>
      </c>
      <c r="C1199" s="10" t="str">
        <f>"FES1162672165"</f>
        <v>FES1162672165</v>
      </c>
      <c r="D1199" s="10" t="s">
        <v>18</v>
      </c>
      <c r="E1199" s="10" t="s">
        <v>339</v>
      </c>
      <c r="F1199" s="10" t="str">
        <f>"2170673501 "</f>
        <v xml:space="preserve">2170673501 </v>
      </c>
      <c r="G1199" s="10" t="str">
        <f t="shared" ref="G1199:G1246" si="42">"ON1"</f>
        <v>ON1</v>
      </c>
      <c r="H1199" s="10" t="s">
        <v>20</v>
      </c>
      <c r="I1199" s="10" t="s">
        <v>37</v>
      </c>
      <c r="J1199" s="10" t="str">
        <f>""</f>
        <v/>
      </c>
      <c r="K1199" s="10" t="str">
        <f>"PFES1162672165_0001"</f>
        <v>PFES1162672165_0001</v>
      </c>
      <c r="L1199" s="10">
        <v>1</v>
      </c>
      <c r="M1199" s="10">
        <v>4</v>
      </c>
    </row>
    <row r="1200" spans="1:13">
      <c r="A1200" s="6">
        <v>43504</v>
      </c>
      <c r="B1200" s="7">
        <v>0.61944444444444446</v>
      </c>
      <c r="C1200" s="10" t="str">
        <f>"FES1162672176"</f>
        <v>FES1162672176</v>
      </c>
      <c r="D1200" s="10" t="s">
        <v>18</v>
      </c>
      <c r="E1200" s="10" t="s">
        <v>621</v>
      </c>
      <c r="F1200" s="10" t="str">
        <f>"2170673520 "</f>
        <v xml:space="preserve">2170673520 </v>
      </c>
      <c r="G1200" s="10" t="str">
        <f t="shared" si="42"/>
        <v>ON1</v>
      </c>
      <c r="H1200" s="10" t="s">
        <v>20</v>
      </c>
      <c r="I1200" s="10" t="s">
        <v>622</v>
      </c>
      <c r="J1200" s="10" t="str">
        <f>""</f>
        <v/>
      </c>
      <c r="K1200" s="10" t="str">
        <f>"PFES1162672176_0001"</f>
        <v>PFES1162672176_0001</v>
      </c>
      <c r="L1200" s="10">
        <v>1</v>
      </c>
      <c r="M1200" s="10">
        <v>1</v>
      </c>
    </row>
    <row r="1201" spans="1:13">
      <c r="A1201" s="6">
        <v>43504</v>
      </c>
      <c r="B1201" s="7">
        <v>0.61875000000000002</v>
      </c>
      <c r="C1201" s="10" t="str">
        <f>"FES1162672173"</f>
        <v>FES1162672173</v>
      </c>
      <c r="D1201" s="10" t="s">
        <v>18</v>
      </c>
      <c r="E1201" s="10" t="s">
        <v>706</v>
      </c>
      <c r="F1201" s="10" t="str">
        <f>"2170673513 "</f>
        <v xml:space="preserve">2170673513 </v>
      </c>
      <c r="G1201" s="10" t="str">
        <f t="shared" si="42"/>
        <v>ON1</v>
      </c>
      <c r="H1201" s="10" t="s">
        <v>20</v>
      </c>
      <c r="I1201" s="10" t="s">
        <v>29</v>
      </c>
      <c r="J1201" s="10" t="str">
        <f>""</f>
        <v/>
      </c>
      <c r="K1201" s="10" t="str">
        <f>"PFES1162672173_0001"</f>
        <v>PFES1162672173_0001</v>
      </c>
      <c r="L1201" s="10">
        <v>1</v>
      </c>
      <c r="M1201" s="10">
        <v>8</v>
      </c>
    </row>
    <row r="1202" spans="1:13">
      <c r="A1202" s="6">
        <v>43504</v>
      </c>
      <c r="B1202" s="7">
        <v>0.61805555555555558</v>
      </c>
      <c r="C1202" s="10" t="str">
        <f>"FES1162672164"</f>
        <v>FES1162672164</v>
      </c>
      <c r="D1202" s="10" t="s">
        <v>18</v>
      </c>
      <c r="E1202" s="10" t="s">
        <v>157</v>
      </c>
      <c r="F1202" s="10" t="str">
        <f>"2170673490 "</f>
        <v xml:space="preserve">2170673490 </v>
      </c>
      <c r="G1202" s="10" t="str">
        <f t="shared" si="42"/>
        <v>ON1</v>
      </c>
      <c r="H1202" s="10" t="s">
        <v>20</v>
      </c>
      <c r="I1202" s="10" t="s">
        <v>158</v>
      </c>
      <c r="J1202" s="10" t="str">
        <f>""</f>
        <v/>
      </c>
      <c r="K1202" s="10" t="str">
        <f>"PFES1162672164_0001"</f>
        <v>PFES1162672164_0001</v>
      </c>
      <c r="L1202" s="10">
        <v>1</v>
      </c>
      <c r="M1202" s="10">
        <v>2</v>
      </c>
    </row>
    <row r="1203" spans="1:13">
      <c r="A1203" s="6">
        <v>43504</v>
      </c>
      <c r="B1203" s="7">
        <v>0.6166666666666667</v>
      </c>
      <c r="C1203" s="10" t="str">
        <f>"FES1162672166"</f>
        <v>FES1162672166</v>
      </c>
      <c r="D1203" s="10" t="s">
        <v>18</v>
      </c>
      <c r="E1203" s="10" t="s">
        <v>479</v>
      </c>
      <c r="F1203" s="10" t="str">
        <f>"2170673502 "</f>
        <v xml:space="preserve">2170673502 </v>
      </c>
      <c r="G1203" s="10" t="str">
        <f t="shared" si="42"/>
        <v>ON1</v>
      </c>
      <c r="H1203" s="10" t="s">
        <v>20</v>
      </c>
      <c r="I1203" s="10" t="s">
        <v>233</v>
      </c>
      <c r="J1203" s="10" t="str">
        <f>""</f>
        <v/>
      </c>
      <c r="K1203" s="10" t="str">
        <f>"PFES1162672166_0001"</f>
        <v>PFES1162672166_0001</v>
      </c>
      <c r="L1203" s="10">
        <v>1</v>
      </c>
      <c r="M1203" s="10">
        <v>3</v>
      </c>
    </row>
    <row r="1204" spans="1:13">
      <c r="A1204" s="6">
        <v>43504</v>
      </c>
      <c r="B1204" s="7">
        <v>0.61597222222222225</v>
      </c>
      <c r="C1204" s="10" t="str">
        <f>"FES1162672157"</f>
        <v>FES1162672157</v>
      </c>
      <c r="D1204" s="10" t="s">
        <v>18</v>
      </c>
      <c r="E1204" s="10" t="s">
        <v>301</v>
      </c>
      <c r="F1204" s="10" t="str">
        <f>"2170661654 "</f>
        <v xml:space="preserve">2170661654 </v>
      </c>
      <c r="G1204" s="10" t="str">
        <f t="shared" si="42"/>
        <v>ON1</v>
      </c>
      <c r="H1204" s="10" t="s">
        <v>20</v>
      </c>
      <c r="I1204" s="10" t="s">
        <v>302</v>
      </c>
      <c r="J1204" s="10" t="str">
        <f>""</f>
        <v/>
      </c>
      <c r="K1204" s="10" t="str">
        <f>"PFES1162672157_0001"</f>
        <v>PFES1162672157_0001</v>
      </c>
      <c r="L1204" s="10">
        <v>1</v>
      </c>
      <c r="M1204" s="10">
        <v>8</v>
      </c>
    </row>
    <row r="1205" spans="1:13">
      <c r="A1205" s="6">
        <v>43504</v>
      </c>
      <c r="B1205" s="7">
        <v>0.61458333333333337</v>
      </c>
      <c r="C1205" s="10" t="str">
        <f>"FES1162672161"</f>
        <v>FES1162672161</v>
      </c>
      <c r="D1205" s="10" t="s">
        <v>18</v>
      </c>
      <c r="E1205" s="10" t="s">
        <v>120</v>
      </c>
      <c r="F1205" s="10" t="str">
        <f>"2170673432 "</f>
        <v xml:space="preserve">2170673432 </v>
      </c>
      <c r="G1205" s="10" t="str">
        <f t="shared" si="42"/>
        <v>ON1</v>
      </c>
      <c r="H1205" s="10" t="s">
        <v>20</v>
      </c>
      <c r="I1205" s="10" t="s">
        <v>121</v>
      </c>
      <c r="J1205" s="10" t="str">
        <f>""</f>
        <v/>
      </c>
      <c r="K1205" s="10" t="str">
        <f>"PFES1162672161_0001"</f>
        <v>PFES1162672161_0001</v>
      </c>
      <c r="L1205" s="10">
        <v>1</v>
      </c>
      <c r="M1205" s="10">
        <v>1</v>
      </c>
    </row>
    <row r="1206" spans="1:13">
      <c r="A1206" s="6">
        <v>43504</v>
      </c>
      <c r="B1206" s="7">
        <v>0.61458333333333337</v>
      </c>
      <c r="C1206" s="10" t="str">
        <f>"FES1162672159"</f>
        <v>FES1162672159</v>
      </c>
      <c r="D1206" s="10" t="s">
        <v>18</v>
      </c>
      <c r="E1206" s="10" t="s">
        <v>58</v>
      </c>
      <c r="F1206" s="10" t="str">
        <f>"2170672864 "</f>
        <v xml:space="preserve">2170672864 </v>
      </c>
      <c r="G1206" s="10" t="str">
        <f t="shared" si="42"/>
        <v>ON1</v>
      </c>
      <c r="H1206" s="10" t="s">
        <v>20</v>
      </c>
      <c r="I1206" s="10" t="s">
        <v>59</v>
      </c>
      <c r="J1206" s="10" t="str">
        <f>""</f>
        <v/>
      </c>
      <c r="K1206" s="10" t="str">
        <f>"PFES1162672159_0001"</f>
        <v>PFES1162672159_0001</v>
      </c>
      <c r="L1206" s="10">
        <v>1</v>
      </c>
      <c r="M1206" s="10">
        <v>1</v>
      </c>
    </row>
    <row r="1207" spans="1:13">
      <c r="A1207" s="6">
        <v>43504</v>
      </c>
      <c r="B1207" s="7">
        <v>0.61388888888888882</v>
      </c>
      <c r="C1207" s="10" t="str">
        <f>"FES1162672158"</f>
        <v>FES1162672158</v>
      </c>
      <c r="D1207" s="10" t="s">
        <v>18</v>
      </c>
      <c r="E1207" s="10" t="s">
        <v>19</v>
      </c>
      <c r="F1207" s="10" t="str">
        <f>"21706727777 "</f>
        <v xml:space="preserve">21706727777 </v>
      </c>
      <c r="G1207" s="10" t="str">
        <f t="shared" si="42"/>
        <v>ON1</v>
      </c>
      <c r="H1207" s="10" t="s">
        <v>20</v>
      </c>
      <c r="I1207" s="10" t="s">
        <v>21</v>
      </c>
      <c r="J1207" s="10" t="str">
        <f>""</f>
        <v/>
      </c>
      <c r="K1207" s="10" t="str">
        <f>"PFES1162672158_0001"</f>
        <v>PFES1162672158_0001</v>
      </c>
      <c r="L1207" s="10">
        <v>1</v>
      </c>
      <c r="M1207" s="10">
        <v>1</v>
      </c>
    </row>
    <row r="1208" spans="1:13">
      <c r="A1208" s="6">
        <v>43504</v>
      </c>
      <c r="B1208" s="7">
        <v>0.61249999999999993</v>
      </c>
      <c r="C1208" s="10" t="str">
        <f>"FES1162672171"</f>
        <v>FES1162672171</v>
      </c>
      <c r="D1208" s="10" t="s">
        <v>18</v>
      </c>
      <c r="E1208" s="10" t="s">
        <v>19</v>
      </c>
      <c r="F1208" s="10" t="str">
        <f>"2170673508 "</f>
        <v xml:space="preserve">2170673508 </v>
      </c>
      <c r="G1208" s="10" t="str">
        <f t="shared" si="42"/>
        <v>ON1</v>
      </c>
      <c r="H1208" s="10" t="s">
        <v>20</v>
      </c>
      <c r="I1208" s="10" t="s">
        <v>21</v>
      </c>
      <c r="J1208" s="10" t="str">
        <f>""</f>
        <v/>
      </c>
      <c r="K1208" s="10" t="str">
        <f>"PFES1162672171_0001"</f>
        <v>PFES1162672171_0001</v>
      </c>
      <c r="L1208" s="10">
        <v>1</v>
      </c>
      <c r="M1208" s="10">
        <v>1</v>
      </c>
    </row>
    <row r="1209" spans="1:13">
      <c r="A1209" s="6">
        <v>43504</v>
      </c>
      <c r="B1209" s="7">
        <v>0.61249999999999993</v>
      </c>
      <c r="C1209" s="10" t="str">
        <f>"FES1162672168"</f>
        <v>FES1162672168</v>
      </c>
      <c r="D1209" s="10" t="s">
        <v>18</v>
      </c>
      <c r="E1209" s="10" t="s">
        <v>308</v>
      </c>
      <c r="F1209" s="10" t="str">
        <f>"2170673504 "</f>
        <v xml:space="preserve">2170673504 </v>
      </c>
      <c r="G1209" s="10" t="str">
        <f t="shared" si="42"/>
        <v>ON1</v>
      </c>
      <c r="H1209" s="10" t="s">
        <v>20</v>
      </c>
      <c r="I1209" s="10" t="s">
        <v>143</v>
      </c>
      <c r="J1209" s="10" t="str">
        <f>""</f>
        <v/>
      </c>
      <c r="K1209" s="10" t="str">
        <f>"PFES1162672168_0001"</f>
        <v>PFES1162672168_0001</v>
      </c>
      <c r="L1209" s="10">
        <v>1</v>
      </c>
      <c r="M1209" s="10">
        <v>1</v>
      </c>
    </row>
    <row r="1210" spans="1:13">
      <c r="A1210" s="6">
        <v>43504</v>
      </c>
      <c r="B1210" s="7">
        <v>0.6118055555555556</v>
      </c>
      <c r="C1210" s="10" t="str">
        <f>"FES1162672175"</f>
        <v>FES1162672175</v>
      </c>
      <c r="D1210" s="10" t="s">
        <v>18</v>
      </c>
      <c r="E1210" s="10" t="s">
        <v>699</v>
      </c>
      <c r="F1210" s="10" t="str">
        <f>"2170673517 "</f>
        <v xml:space="preserve">2170673517 </v>
      </c>
      <c r="G1210" s="10" t="str">
        <f t="shared" si="42"/>
        <v>ON1</v>
      </c>
      <c r="H1210" s="10" t="s">
        <v>20</v>
      </c>
      <c r="I1210" s="10" t="s">
        <v>700</v>
      </c>
      <c r="J1210" s="10" t="str">
        <f>""</f>
        <v/>
      </c>
      <c r="K1210" s="10" t="str">
        <f>"PFES1162672175_0001"</f>
        <v>PFES1162672175_0001</v>
      </c>
      <c r="L1210" s="10">
        <v>1</v>
      </c>
      <c r="M1210" s="10">
        <v>1</v>
      </c>
    </row>
    <row r="1211" spans="1:13">
      <c r="A1211" s="6">
        <v>43504</v>
      </c>
      <c r="B1211" s="7">
        <v>0.6118055555555556</v>
      </c>
      <c r="C1211" s="10" t="str">
        <f>"FES1162672162"</f>
        <v>FES1162672162</v>
      </c>
      <c r="D1211" s="10" t="s">
        <v>18</v>
      </c>
      <c r="E1211" s="10" t="s">
        <v>234</v>
      </c>
      <c r="F1211" s="10" t="str">
        <f>"2170673455 "</f>
        <v xml:space="preserve">2170673455 </v>
      </c>
      <c r="G1211" s="10" t="str">
        <f t="shared" si="42"/>
        <v>ON1</v>
      </c>
      <c r="H1211" s="10" t="s">
        <v>20</v>
      </c>
      <c r="I1211" s="10" t="s">
        <v>233</v>
      </c>
      <c r="J1211" s="10" t="str">
        <f>""</f>
        <v/>
      </c>
      <c r="K1211" s="10" t="str">
        <f>"PFES1162672162_0001"</f>
        <v>PFES1162672162_0001</v>
      </c>
      <c r="L1211" s="10">
        <v>1</v>
      </c>
      <c r="M1211" s="10">
        <v>1</v>
      </c>
    </row>
    <row r="1212" spans="1:13">
      <c r="A1212" s="6">
        <v>43504</v>
      </c>
      <c r="B1212" s="7">
        <v>0.60625000000000007</v>
      </c>
      <c r="C1212" s="10" t="str">
        <f>"FES1162672169"</f>
        <v>FES1162672169</v>
      </c>
      <c r="D1212" s="10" t="s">
        <v>18</v>
      </c>
      <c r="E1212" s="10" t="s">
        <v>707</v>
      </c>
      <c r="F1212" s="10" t="str">
        <f>"2170673505 "</f>
        <v xml:space="preserve">2170673505 </v>
      </c>
      <c r="G1212" s="10" t="str">
        <f t="shared" si="42"/>
        <v>ON1</v>
      </c>
      <c r="H1212" s="10" t="s">
        <v>20</v>
      </c>
      <c r="I1212" s="10" t="s">
        <v>708</v>
      </c>
      <c r="J1212" s="10" t="str">
        <f>""</f>
        <v/>
      </c>
      <c r="K1212" s="10" t="str">
        <f>"PFES1162672169_0001"</f>
        <v>PFES1162672169_0001</v>
      </c>
      <c r="L1212" s="10">
        <v>1</v>
      </c>
      <c r="M1212" s="10">
        <v>4</v>
      </c>
    </row>
    <row r="1213" spans="1:13">
      <c r="A1213" s="6">
        <v>43504</v>
      </c>
      <c r="B1213" s="7">
        <v>0.60347222222222219</v>
      </c>
      <c r="C1213" s="10" t="str">
        <f>"FES1162672138"</f>
        <v>FES1162672138</v>
      </c>
      <c r="D1213" s="10" t="s">
        <v>18</v>
      </c>
      <c r="E1213" s="10" t="s">
        <v>405</v>
      </c>
      <c r="F1213" s="10" t="str">
        <f>"2170673470 "</f>
        <v xml:space="preserve">2170673470 </v>
      </c>
      <c r="G1213" s="10" t="str">
        <f t="shared" si="42"/>
        <v>ON1</v>
      </c>
      <c r="H1213" s="10" t="s">
        <v>20</v>
      </c>
      <c r="I1213" s="10" t="s">
        <v>239</v>
      </c>
      <c r="J1213" s="10" t="str">
        <f>""</f>
        <v/>
      </c>
      <c r="K1213" s="10" t="str">
        <f>"PFES1162672138_0001"</f>
        <v>PFES1162672138_0001</v>
      </c>
      <c r="L1213" s="10">
        <v>1</v>
      </c>
      <c r="M1213" s="10">
        <v>1</v>
      </c>
    </row>
    <row r="1214" spans="1:13">
      <c r="A1214" s="6">
        <v>43504</v>
      </c>
      <c r="B1214" s="7">
        <v>0.60138888888888886</v>
      </c>
      <c r="C1214" s="10" t="str">
        <f>"FES1162672143"</f>
        <v>FES1162672143</v>
      </c>
      <c r="D1214" s="10" t="s">
        <v>18</v>
      </c>
      <c r="E1214" s="10" t="s">
        <v>709</v>
      </c>
      <c r="F1214" s="10" t="str">
        <f>"2170673474 "</f>
        <v xml:space="preserve">2170673474 </v>
      </c>
      <c r="G1214" s="10" t="str">
        <f t="shared" si="42"/>
        <v>ON1</v>
      </c>
      <c r="H1214" s="10" t="s">
        <v>20</v>
      </c>
      <c r="I1214" s="10" t="s">
        <v>43</v>
      </c>
      <c r="J1214" s="10" t="str">
        <f>""</f>
        <v/>
      </c>
      <c r="K1214" s="10" t="str">
        <f>"PFES1162672143_0001"</f>
        <v>PFES1162672143_0001</v>
      </c>
      <c r="L1214" s="10">
        <v>1</v>
      </c>
      <c r="M1214" s="10">
        <v>3</v>
      </c>
    </row>
    <row r="1215" spans="1:13">
      <c r="A1215" s="6">
        <v>43504</v>
      </c>
      <c r="B1215" s="7">
        <v>0.60138888888888886</v>
      </c>
      <c r="C1215" s="10" t="str">
        <f>"FES1162672113"</f>
        <v>FES1162672113</v>
      </c>
      <c r="D1215" s="10" t="s">
        <v>18</v>
      </c>
      <c r="E1215" s="10" t="s">
        <v>154</v>
      </c>
      <c r="F1215" s="10" t="str">
        <f>"2170673445 "</f>
        <v xml:space="preserve">2170673445 </v>
      </c>
      <c r="G1215" s="10" t="str">
        <f t="shared" si="42"/>
        <v>ON1</v>
      </c>
      <c r="H1215" s="10" t="s">
        <v>20</v>
      </c>
      <c r="I1215" s="10" t="s">
        <v>67</v>
      </c>
      <c r="J1215" s="10" t="str">
        <f>""</f>
        <v/>
      </c>
      <c r="K1215" s="10" t="str">
        <f>"PFES1162672113_0001"</f>
        <v>PFES1162672113_0001</v>
      </c>
      <c r="L1215" s="10">
        <v>1</v>
      </c>
      <c r="M1215" s="10">
        <v>1</v>
      </c>
    </row>
    <row r="1216" spans="1:13">
      <c r="A1216" s="6">
        <v>43504</v>
      </c>
      <c r="B1216" s="7">
        <v>0.60069444444444442</v>
      </c>
      <c r="C1216" s="10" t="str">
        <f>"FES1162672117"</f>
        <v>FES1162672117</v>
      </c>
      <c r="D1216" s="10" t="s">
        <v>18</v>
      </c>
      <c r="E1216" s="10" t="s">
        <v>58</v>
      </c>
      <c r="F1216" s="10" t="str">
        <f>"2170673450 "</f>
        <v xml:space="preserve">2170673450 </v>
      </c>
      <c r="G1216" s="10" t="str">
        <f t="shared" si="42"/>
        <v>ON1</v>
      </c>
      <c r="H1216" s="10" t="s">
        <v>20</v>
      </c>
      <c r="I1216" s="10" t="s">
        <v>59</v>
      </c>
      <c r="J1216" s="10" t="str">
        <f>""</f>
        <v/>
      </c>
      <c r="K1216" s="10" t="str">
        <f>"PFES1162672117_0001"</f>
        <v>PFES1162672117_0001</v>
      </c>
      <c r="L1216" s="10">
        <v>1</v>
      </c>
      <c r="M1216" s="10">
        <v>1</v>
      </c>
    </row>
    <row r="1217" spans="1:13">
      <c r="A1217" s="6">
        <v>43504</v>
      </c>
      <c r="B1217" s="7">
        <v>0.60069444444444442</v>
      </c>
      <c r="C1217" s="10" t="str">
        <f>"FES1162672146"</f>
        <v>FES1162672146</v>
      </c>
      <c r="D1217" s="10" t="s">
        <v>18</v>
      </c>
      <c r="E1217" s="10" t="s">
        <v>58</v>
      </c>
      <c r="F1217" s="10" t="str">
        <f>"2170673485 "</f>
        <v xml:space="preserve">2170673485 </v>
      </c>
      <c r="G1217" s="10" t="str">
        <f t="shared" si="42"/>
        <v>ON1</v>
      </c>
      <c r="H1217" s="10" t="s">
        <v>20</v>
      </c>
      <c r="I1217" s="10" t="s">
        <v>59</v>
      </c>
      <c r="J1217" s="10" t="str">
        <f>""</f>
        <v/>
      </c>
      <c r="K1217" s="10" t="str">
        <f>"PFES1162672146_0001"</f>
        <v>PFES1162672146_0001</v>
      </c>
      <c r="L1217" s="10">
        <v>1</v>
      </c>
      <c r="M1217" s="10">
        <v>1</v>
      </c>
    </row>
    <row r="1218" spans="1:13">
      <c r="A1218" s="6">
        <v>43504</v>
      </c>
      <c r="B1218" s="7">
        <v>0.60069444444444442</v>
      </c>
      <c r="C1218" s="10" t="str">
        <f>"FES1162672133"</f>
        <v>FES1162672133</v>
      </c>
      <c r="D1218" s="10" t="s">
        <v>18</v>
      </c>
      <c r="E1218" s="10" t="s">
        <v>710</v>
      </c>
      <c r="F1218" s="10" t="str">
        <f>"2170673405 "</f>
        <v xml:space="preserve">2170673405 </v>
      </c>
      <c r="G1218" s="10" t="str">
        <f t="shared" si="42"/>
        <v>ON1</v>
      </c>
      <c r="H1218" s="10" t="s">
        <v>20</v>
      </c>
      <c r="I1218" s="10" t="s">
        <v>378</v>
      </c>
      <c r="J1218" s="10" t="str">
        <f>""</f>
        <v/>
      </c>
      <c r="K1218" s="10" t="str">
        <f>"PFES1162672133_0001"</f>
        <v>PFES1162672133_0001</v>
      </c>
      <c r="L1218" s="10">
        <v>1</v>
      </c>
      <c r="M1218" s="10">
        <v>1</v>
      </c>
    </row>
    <row r="1219" spans="1:13">
      <c r="A1219" s="6">
        <v>43504</v>
      </c>
      <c r="B1219" s="7">
        <v>0.6</v>
      </c>
      <c r="C1219" s="10" t="str">
        <f>"FES1162672142"</f>
        <v>FES1162672142</v>
      </c>
      <c r="D1219" s="10" t="s">
        <v>18</v>
      </c>
      <c r="E1219" s="10" t="s">
        <v>34</v>
      </c>
      <c r="F1219" s="10" t="str">
        <f>"2170673473 "</f>
        <v xml:space="preserve">2170673473 </v>
      </c>
      <c r="G1219" s="10" t="str">
        <f t="shared" si="42"/>
        <v>ON1</v>
      </c>
      <c r="H1219" s="10" t="s">
        <v>20</v>
      </c>
      <c r="I1219" s="10" t="s">
        <v>35</v>
      </c>
      <c r="J1219" s="10" t="str">
        <f>""</f>
        <v/>
      </c>
      <c r="K1219" s="10" t="str">
        <f>"PFES1162672142_0001"</f>
        <v>PFES1162672142_0001</v>
      </c>
      <c r="L1219" s="10">
        <v>1</v>
      </c>
      <c r="M1219" s="10">
        <v>5</v>
      </c>
    </row>
    <row r="1220" spans="1:13">
      <c r="A1220" s="6">
        <v>43504</v>
      </c>
      <c r="B1220" s="7">
        <v>0.6</v>
      </c>
      <c r="C1220" s="10" t="str">
        <f>"FES1162672124"</f>
        <v>FES1162672124</v>
      </c>
      <c r="D1220" s="10" t="s">
        <v>18</v>
      </c>
      <c r="E1220" s="10" t="s">
        <v>462</v>
      </c>
      <c r="F1220" s="10" t="str">
        <f>"2170673433 "</f>
        <v xml:space="preserve">2170673433 </v>
      </c>
      <c r="G1220" s="10" t="str">
        <f t="shared" si="42"/>
        <v>ON1</v>
      </c>
      <c r="H1220" s="10" t="s">
        <v>20</v>
      </c>
      <c r="I1220" s="10" t="s">
        <v>463</v>
      </c>
      <c r="J1220" s="10" t="str">
        <f>""</f>
        <v/>
      </c>
      <c r="K1220" s="10" t="str">
        <f>"PFES1162672124_0001"</f>
        <v>PFES1162672124_0001</v>
      </c>
      <c r="L1220" s="10">
        <v>1</v>
      </c>
      <c r="M1220" s="10">
        <v>1</v>
      </c>
    </row>
    <row r="1221" spans="1:13">
      <c r="A1221" s="6">
        <v>43504</v>
      </c>
      <c r="B1221" s="7">
        <v>0.6</v>
      </c>
      <c r="C1221" s="10" t="str">
        <f>"FES1162672139"</f>
        <v>FES1162672139</v>
      </c>
      <c r="D1221" s="10" t="s">
        <v>18</v>
      </c>
      <c r="E1221" s="10" t="s">
        <v>596</v>
      </c>
      <c r="F1221" s="10" t="str">
        <f>"2170673471 "</f>
        <v xml:space="preserve">2170673471 </v>
      </c>
      <c r="G1221" s="10" t="str">
        <f t="shared" si="42"/>
        <v>ON1</v>
      </c>
      <c r="H1221" s="10" t="s">
        <v>20</v>
      </c>
      <c r="I1221" s="10" t="s">
        <v>597</v>
      </c>
      <c r="J1221" s="10" t="str">
        <f>""</f>
        <v/>
      </c>
      <c r="K1221" s="10" t="str">
        <f>"PFES1162672139_0001"</f>
        <v>PFES1162672139_0001</v>
      </c>
      <c r="L1221" s="10">
        <v>1</v>
      </c>
      <c r="M1221" s="10">
        <v>1</v>
      </c>
    </row>
    <row r="1222" spans="1:13">
      <c r="A1222" s="6">
        <v>43504</v>
      </c>
      <c r="B1222" s="7">
        <v>0.59930555555555554</v>
      </c>
      <c r="C1222" s="10" t="str">
        <f>"FES1162672163"</f>
        <v>FES1162672163</v>
      </c>
      <c r="D1222" s="10" t="s">
        <v>18</v>
      </c>
      <c r="E1222" s="10" t="s">
        <v>670</v>
      </c>
      <c r="F1222" s="10" t="str">
        <f>"2170673467 "</f>
        <v xml:space="preserve">2170673467 </v>
      </c>
      <c r="G1222" s="10" t="str">
        <f t="shared" si="42"/>
        <v>ON1</v>
      </c>
      <c r="H1222" s="10" t="s">
        <v>20</v>
      </c>
      <c r="I1222" s="10" t="s">
        <v>213</v>
      </c>
      <c r="J1222" s="10" t="str">
        <f>""</f>
        <v/>
      </c>
      <c r="K1222" s="10" t="str">
        <f>"PFES1162672163_0001"</f>
        <v>PFES1162672163_0001</v>
      </c>
      <c r="L1222" s="10">
        <v>1</v>
      </c>
      <c r="M1222" s="10">
        <v>1</v>
      </c>
    </row>
    <row r="1223" spans="1:13">
      <c r="A1223" s="6">
        <v>43504</v>
      </c>
      <c r="B1223" s="7">
        <v>0.59930555555555554</v>
      </c>
      <c r="C1223" s="10" t="str">
        <f>"FES1162672167"</f>
        <v>FES1162672167</v>
      </c>
      <c r="D1223" s="10" t="s">
        <v>18</v>
      </c>
      <c r="E1223" s="10" t="s">
        <v>138</v>
      </c>
      <c r="F1223" s="10" t="str">
        <f>"2170673503 "</f>
        <v xml:space="preserve">2170673503 </v>
      </c>
      <c r="G1223" s="10" t="str">
        <f t="shared" si="42"/>
        <v>ON1</v>
      </c>
      <c r="H1223" s="10" t="s">
        <v>20</v>
      </c>
      <c r="I1223" s="10" t="s">
        <v>139</v>
      </c>
      <c r="J1223" s="10" t="str">
        <f>""</f>
        <v/>
      </c>
      <c r="K1223" s="10" t="str">
        <f>"PFES1162672167_0001"</f>
        <v>PFES1162672167_0001</v>
      </c>
      <c r="L1223" s="10">
        <v>1</v>
      </c>
      <c r="M1223" s="10">
        <v>1</v>
      </c>
    </row>
    <row r="1224" spans="1:13">
      <c r="A1224" s="6">
        <v>43504</v>
      </c>
      <c r="B1224" s="7">
        <v>0.59930555555555554</v>
      </c>
      <c r="C1224" s="10" t="str">
        <f>"FES1162672140"</f>
        <v>FES1162672140</v>
      </c>
      <c r="D1224" s="10" t="s">
        <v>18</v>
      </c>
      <c r="E1224" s="10" t="s">
        <v>185</v>
      </c>
      <c r="F1224" s="10" t="str">
        <f>"2170673457 "</f>
        <v xml:space="preserve">2170673457 </v>
      </c>
      <c r="G1224" s="10" t="str">
        <f t="shared" si="42"/>
        <v>ON1</v>
      </c>
      <c r="H1224" s="10" t="s">
        <v>20</v>
      </c>
      <c r="I1224" s="10" t="s">
        <v>93</v>
      </c>
      <c r="J1224" s="10" t="str">
        <f>""</f>
        <v/>
      </c>
      <c r="K1224" s="10" t="str">
        <f>"PFES1162672140_0001"</f>
        <v>PFES1162672140_0001</v>
      </c>
      <c r="L1224" s="10">
        <v>1</v>
      </c>
      <c r="M1224" s="10">
        <v>1</v>
      </c>
    </row>
    <row r="1225" spans="1:13">
      <c r="A1225" s="6">
        <v>43504</v>
      </c>
      <c r="B1225" s="7">
        <v>0.59861111111111109</v>
      </c>
      <c r="C1225" s="10" t="str">
        <f>"FES1162672149"</f>
        <v>FES1162672149</v>
      </c>
      <c r="D1225" s="10" t="s">
        <v>18</v>
      </c>
      <c r="E1225" s="10" t="s">
        <v>279</v>
      </c>
      <c r="F1225" s="10" t="str">
        <f>"2170673491 "</f>
        <v xml:space="preserve">2170673491 </v>
      </c>
      <c r="G1225" s="10" t="str">
        <f t="shared" si="42"/>
        <v>ON1</v>
      </c>
      <c r="H1225" s="10" t="s">
        <v>20</v>
      </c>
      <c r="I1225" s="10" t="s">
        <v>280</v>
      </c>
      <c r="J1225" s="10" t="str">
        <f>""</f>
        <v/>
      </c>
      <c r="K1225" s="10" t="str">
        <f>"PFES1162672149_0001"</f>
        <v>PFES1162672149_0001</v>
      </c>
      <c r="L1225" s="10">
        <v>1</v>
      </c>
      <c r="M1225" s="10">
        <v>4</v>
      </c>
    </row>
    <row r="1226" spans="1:13">
      <c r="A1226" s="6">
        <v>43504</v>
      </c>
      <c r="B1226" s="7">
        <v>0.59861111111111109</v>
      </c>
      <c r="C1226" s="10" t="str">
        <f>"FES1162672134"</f>
        <v>FES1162672134</v>
      </c>
      <c r="D1226" s="10" t="s">
        <v>18</v>
      </c>
      <c r="E1226" s="10" t="s">
        <v>297</v>
      </c>
      <c r="F1226" s="10" t="str">
        <f>"2170673439 "</f>
        <v xml:space="preserve">2170673439 </v>
      </c>
      <c r="G1226" s="10" t="str">
        <f t="shared" si="42"/>
        <v>ON1</v>
      </c>
      <c r="H1226" s="10" t="s">
        <v>20</v>
      </c>
      <c r="I1226" s="10" t="s">
        <v>210</v>
      </c>
      <c r="J1226" s="10" t="str">
        <f>""</f>
        <v/>
      </c>
      <c r="K1226" s="10" t="str">
        <f>"PFES1162672134_0001"</f>
        <v>PFES1162672134_0001</v>
      </c>
      <c r="L1226" s="10">
        <v>1</v>
      </c>
      <c r="M1226" s="10">
        <v>1</v>
      </c>
    </row>
    <row r="1227" spans="1:13">
      <c r="A1227" s="6">
        <v>43504</v>
      </c>
      <c r="B1227" s="7">
        <v>0.59791666666666665</v>
      </c>
      <c r="C1227" s="10" t="str">
        <f>"FES1162672132"</f>
        <v>FES1162672132</v>
      </c>
      <c r="D1227" s="10" t="s">
        <v>18</v>
      </c>
      <c r="E1227" s="10" t="s">
        <v>311</v>
      </c>
      <c r="F1227" s="10" t="str">
        <f>"2170672947 "</f>
        <v xml:space="preserve">2170672947 </v>
      </c>
      <c r="G1227" s="10" t="str">
        <f t="shared" si="42"/>
        <v>ON1</v>
      </c>
      <c r="H1227" s="10" t="s">
        <v>20</v>
      </c>
      <c r="I1227" s="10" t="s">
        <v>53</v>
      </c>
      <c r="J1227" s="10" t="str">
        <f>""</f>
        <v/>
      </c>
      <c r="K1227" s="10" t="str">
        <f>"PFES1162672132_0001"</f>
        <v>PFES1162672132_0001</v>
      </c>
      <c r="L1227" s="10">
        <v>1</v>
      </c>
      <c r="M1227" s="10">
        <v>2</v>
      </c>
    </row>
    <row r="1228" spans="1:13">
      <c r="A1228" s="6">
        <v>43504</v>
      </c>
      <c r="B1228" s="7">
        <v>0.59652777777777777</v>
      </c>
      <c r="C1228" s="10" t="str">
        <f>"FES1162672135"</f>
        <v>FES1162672135</v>
      </c>
      <c r="D1228" s="10" t="s">
        <v>18</v>
      </c>
      <c r="E1228" s="10" t="s">
        <v>245</v>
      </c>
      <c r="F1228" s="10" t="str">
        <f>"2170673465 "</f>
        <v xml:space="preserve">2170673465 </v>
      </c>
      <c r="G1228" s="10" t="str">
        <f t="shared" si="42"/>
        <v>ON1</v>
      </c>
      <c r="H1228" s="10" t="s">
        <v>20</v>
      </c>
      <c r="I1228" s="10" t="s">
        <v>89</v>
      </c>
      <c r="J1228" s="10" t="str">
        <f>""</f>
        <v/>
      </c>
      <c r="K1228" s="10" t="str">
        <f>"PFES1162672135_0001"</f>
        <v>PFES1162672135_0001</v>
      </c>
      <c r="L1228" s="10">
        <v>1</v>
      </c>
      <c r="M1228" s="10">
        <v>2</v>
      </c>
    </row>
    <row r="1229" spans="1:13">
      <c r="A1229" s="6">
        <v>43504</v>
      </c>
      <c r="B1229" s="7">
        <v>0.59097222222222223</v>
      </c>
      <c r="C1229" s="10" t="str">
        <f>"FES1162672156"</f>
        <v>FES1162672156</v>
      </c>
      <c r="D1229" s="10" t="s">
        <v>18</v>
      </c>
      <c r="E1229" s="10" t="s">
        <v>711</v>
      </c>
      <c r="F1229" s="10" t="str">
        <f>"2170673499 "</f>
        <v xml:space="preserve">2170673499 </v>
      </c>
      <c r="G1229" s="10" t="str">
        <f t="shared" si="42"/>
        <v>ON1</v>
      </c>
      <c r="H1229" s="10" t="s">
        <v>20</v>
      </c>
      <c r="I1229" s="10" t="s">
        <v>712</v>
      </c>
      <c r="J1229" s="10" t="str">
        <f>""</f>
        <v/>
      </c>
      <c r="K1229" s="10" t="str">
        <f>"PFES1162672156_0001"</f>
        <v>PFES1162672156_0001</v>
      </c>
      <c r="L1229" s="10">
        <v>1</v>
      </c>
      <c r="M1229" s="10">
        <v>3</v>
      </c>
    </row>
    <row r="1230" spans="1:13">
      <c r="A1230" s="6">
        <v>43504</v>
      </c>
      <c r="B1230" s="7">
        <v>0.58611111111111114</v>
      </c>
      <c r="C1230" s="10" t="str">
        <f>"FES1162672147"</f>
        <v>FES1162672147</v>
      </c>
      <c r="D1230" s="10" t="s">
        <v>18</v>
      </c>
      <c r="E1230" s="10" t="s">
        <v>162</v>
      </c>
      <c r="F1230" s="10" t="str">
        <f>"2170673488 "</f>
        <v xml:space="preserve">2170673488 </v>
      </c>
      <c r="G1230" s="10" t="str">
        <f t="shared" si="42"/>
        <v>ON1</v>
      </c>
      <c r="H1230" s="10" t="s">
        <v>20</v>
      </c>
      <c r="I1230" s="10" t="s">
        <v>163</v>
      </c>
      <c r="J1230" s="10" t="str">
        <f>""</f>
        <v/>
      </c>
      <c r="K1230" s="10" t="str">
        <f>"PFES1162672147_0001"</f>
        <v>PFES1162672147_0001</v>
      </c>
      <c r="L1230" s="10">
        <v>1</v>
      </c>
      <c r="M1230" s="10">
        <v>1</v>
      </c>
    </row>
    <row r="1231" spans="1:13">
      <c r="A1231" s="6">
        <v>43504</v>
      </c>
      <c r="B1231" s="7">
        <v>0.5854166666666667</v>
      </c>
      <c r="C1231" s="10" t="str">
        <f>"FES1162672151"</f>
        <v>FES1162672151</v>
      </c>
      <c r="D1231" s="10" t="s">
        <v>18</v>
      </c>
      <c r="E1231" s="10" t="s">
        <v>713</v>
      </c>
      <c r="F1231" s="10" t="str">
        <f>"2170673494 "</f>
        <v xml:space="preserve">2170673494 </v>
      </c>
      <c r="G1231" s="10" t="str">
        <f t="shared" si="42"/>
        <v>ON1</v>
      </c>
      <c r="H1231" s="10" t="s">
        <v>20</v>
      </c>
      <c r="I1231" s="10" t="s">
        <v>714</v>
      </c>
      <c r="J1231" s="10" t="str">
        <f>""</f>
        <v/>
      </c>
      <c r="K1231" s="10" t="str">
        <f>"PFES1162672151_0001"</f>
        <v>PFES1162672151_0001</v>
      </c>
      <c r="L1231" s="10">
        <v>1</v>
      </c>
      <c r="M1231" s="10">
        <v>1</v>
      </c>
    </row>
    <row r="1232" spans="1:13">
      <c r="A1232" s="6">
        <v>43504</v>
      </c>
      <c r="B1232" s="7">
        <v>0.5854166666666667</v>
      </c>
      <c r="C1232" s="10" t="str">
        <f>"FES1162672148"</f>
        <v>FES1162672148</v>
      </c>
      <c r="D1232" s="10" t="s">
        <v>18</v>
      </c>
      <c r="E1232" s="10" t="s">
        <v>195</v>
      </c>
      <c r="F1232" s="10" t="str">
        <f>"2170673489 "</f>
        <v xml:space="preserve">2170673489 </v>
      </c>
      <c r="G1232" s="10" t="str">
        <f t="shared" si="42"/>
        <v>ON1</v>
      </c>
      <c r="H1232" s="10" t="s">
        <v>20</v>
      </c>
      <c r="I1232" s="10" t="s">
        <v>96</v>
      </c>
      <c r="J1232" s="10" t="str">
        <f>""</f>
        <v/>
      </c>
      <c r="K1232" s="10" t="str">
        <f>"PFES1162672148_0001"</f>
        <v>PFES1162672148_0001</v>
      </c>
      <c r="L1232" s="10">
        <v>1</v>
      </c>
      <c r="M1232" s="10">
        <v>1</v>
      </c>
    </row>
    <row r="1233" spans="1:13">
      <c r="A1233" s="6">
        <v>43504</v>
      </c>
      <c r="B1233" s="7">
        <v>0.58472222222222225</v>
      </c>
      <c r="C1233" s="10" t="str">
        <f>"FES1162672150"</f>
        <v>FES1162672150</v>
      </c>
      <c r="D1233" s="10" t="s">
        <v>18</v>
      </c>
      <c r="E1233" s="10" t="s">
        <v>715</v>
      </c>
      <c r="F1233" s="10" t="str">
        <f>"2170673493 "</f>
        <v xml:space="preserve">2170673493 </v>
      </c>
      <c r="G1233" s="10" t="str">
        <f t="shared" si="42"/>
        <v>ON1</v>
      </c>
      <c r="H1233" s="10" t="s">
        <v>20</v>
      </c>
      <c r="I1233" s="10" t="s">
        <v>383</v>
      </c>
      <c r="J1233" s="10" t="str">
        <f>""</f>
        <v/>
      </c>
      <c r="K1233" s="10" t="str">
        <f>"PFES1162672150_0001"</f>
        <v>PFES1162672150_0001</v>
      </c>
      <c r="L1233" s="10">
        <v>1</v>
      </c>
      <c r="M1233" s="10">
        <v>1</v>
      </c>
    </row>
    <row r="1234" spans="1:13">
      <c r="A1234" s="6">
        <v>43504</v>
      </c>
      <c r="B1234" s="7">
        <v>0.58472222222222225</v>
      </c>
      <c r="C1234" s="10" t="str">
        <f>"FES1162672096"</f>
        <v>FES1162672096</v>
      </c>
      <c r="D1234" s="10" t="s">
        <v>18</v>
      </c>
      <c r="E1234" s="10" t="s">
        <v>180</v>
      </c>
      <c r="F1234" s="10" t="str">
        <f>"2170673413 "</f>
        <v xml:space="preserve">2170673413 </v>
      </c>
      <c r="G1234" s="10" t="str">
        <f t="shared" si="42"/>
        <v>ON1</v>
      </c>
      <c r="H1234" s="10" t="s">
        <v>20</v>
      </c>
      <c r="I1234" s="10" t="s">
        <v>93</v>
      </c>
      <c r="J1234" s="10" t="str">
        <f>""</f>
        <v/>
      </c>
      <c r="K1234" s="10" t="str">
        <f>"PFES1162672096_0001"</f>
        <v>PFES1162672096_0001</v>
      </c>
      <c r="L1234" s="10">
        <v>1</v>
      </c>
      <c r="M1234" s="10">
        <v>15</v>
      </c>
    </row>
    <row r="1235" spans="1:13">
      <c r="A1235" s="6">
        <v>43504</v>
      </c>
      <c r="B1235" s="7">
        <v>0.58472222222222225</v>
      </c>
      <c r="C1235" s="10" t="str">
        <f>"FES1162672155"</f>
        <v>FES1162672155</v>
      </c>
      <c r="D1235" s="10" t="s">
        <v>18</v>
      </c>
      <c r="E1235" s="10" t="s">
        <v>44</v>
      </c>
      <c r="F1235" s="10" t="str">
        <f>"2170673493 "</f>
        <v xml:space="preserve">2170673493 </v>
      </c>
      <c r="G1235" s="10" t="str">
        <f t="shared" si="42"/>
        <v>ON1</v>
      </c>
      <c r="H1235" s="10" t="s">
        <v>20</v>
      </c>
      <c r="I1235" s="10" t="s">
        <v>39</v>
      </c>
      <c r="J1235" s="10" t="str">
        <f>""</f>
        <v/>
      </c>
      <c r="K1235" s="10" t="str">
        <f>"PFES1162672155_0001"</f>
        <v>PFES1162672155_0001</v>
      </c>
      <c r="L1235" s="10">
        <v>1</v>
      </c>
      <c r="M1235" s="10">
        <v>1</v>
      </c>
    </row>
    <row r="1236" spans="1:13">
      <c r="A1236" s="6">
        <v>43504</v>
      </c>
      <c r="B1236" s="7">
        <v>0.58402777777777781</v>
      </c>
      <c r="C1236" s="10" t="str">
        <f>"FES1162672131"</f>
        <v>FES1162672131</v>
      </c>
      <c r="D1236" s="10" t="s">
        <v>18</v>
      </c>
      <c r="E1236" s="10" t="s">
        <v>560</v>
      </c>
      <c r="F1236" s="10" t="str">
        <f>"2170673134 "</f>
        <v xml:space="preserve">2170673134 </v>
      </c>
      <c r="G1236" s="10" t="str">
        <f t="shared" si="42"/>
        <v>ON1</v>
      </c>
      <c r="H1236" s="10" t="s">
        <v>20</v>
      </c>
      <c r="I1236" s="10" t="s">
        <v>561</v>
      </c>
      <c r="J1236" s="10" t="str">
        <f>""</f>
        <v/>
      </c>
      <c r="K1236" s="10" t="str">
        <f>"PFES1162672131_0001"</f>
        <v>PFES1162672131_0001</v>
      </c>
      <c r="L1236" s="10">
        <v>1</v>
      </c>
      <c r="M1236" s="10">
        <v>1</v>
      </c>
    </row>
    <row r="1237" spans="1:13">
      <c r="A1237" s="6">
        <v>43504</v>
      </c>
      <c r="B1237" s="7">
        <v>0.47916666666666669</v>
      </c>
      <c r="C1237" s="10" t="str">
        <f>"FES1162672052"</f>
        <v>FES1162672052</v>
      </c>
      <c r="D1237" s="10" t="s">
        <v>18</v>
      </c>
      <c r="E1237" s="10" t="s">
        <v>716</v>
      </c>
      <c r="F1237" s="10" t="str">
        <f>"2170673351 "</f>
        <v xml:space="preserve">2170673351 </v>
      </c>
      <c r="G1237" s="10" t="str">
        <f t="shared" si="42"/>
        <v>ON1</v>
      </c>
      <c r="H1237" s="10" t="s">
        <v>20</v>
      </c>
      <c r="I1237" s="10" t="s">
        <v>717</v>
      </c>
      <c r="J1237" s="10" t="str">
        <f>""</f>
        <v/>
      </c>
      <c r="K1237" s="10" t="str">
        <f>"PFES1162672052_0001"</f>
        <v>PFES1162672052_0001</v>
      </c>
      <c r="L1237" s="10">
        <v>1</v>
      </c>
      <c r="M1237" s="10">
        <v>3</v>
      </c>
    </row>
    <row r="1238" spans="1:13">
      <c r="A1238" s="6">
        <v>43504</v>
      </c>
      <c r="B1238" s="7">
        <v>0.47916666666666669</v>
      </c>
      <c r="C1238" s="10" t="str">
        <f>"FES1162672021"</f>
        <v>FES1162672021</v>
      </c>
      <c r="D1238" s="10" t="s">
        <v>18</v>
      </c>
      <c r="E1238" s="10" t="s">
        <v>718</v>
      </c>
      <c r="F1238" s="10" t="str">
        <f>"2170673199 "</f>
        <v xml:space="preserve">2170673199 </v>
      </c>
      <c r="G1238" s="10" t="str">
        <f t="shared" si="42"/>
        <v>ON1</v>
      </c>
      <c r="H1238" s="10" t="s">
        <v>20</v>
      </c>
      <c r="I1238" s="10" t="s">
        <v>237</v>
      </c>
      <c r="J1238" s="10" t="str">
        <f>""</f>
        <v/>
      </c>
      <c r="K1238" s="10" t="str">
        <f>"PFES1162672021_0001"</f>
        <v>PFES1162672021_0001</v>
      </c>
      <c r="L1238" s="10">
        <v>1</v>
      </c>
      <c r="M1238" s="10">
        <v>1</v>
      </c>
    </row>
    <row r="1239" spans="1:13">
      <c r="A1239" s="6">
        <v>43504</v>
      </c>
      <c r="B1239" s="7">
        <v>0.47847222222222219</v>
      </c>
      <c r="C1239" s="10" t="str">
        <f>"FES1162672059"</f>
        <v>FES1162672059</v>
      </c>
      <c r="D1239" s="10" t="s">
        <v>18</v>
      </c>
      <c r="E1239" s="10" t="s">
        <v>19</v>
      </c>
      <c r="F1239" s="10" t="str">
        <f>"2170673367 "</f>
        <v xml:space="preserve">2170673367 </v>
      </c>
      <c r="G1239" s="10" t="str">
        <f t="shared" si="42"/>
        <v>ON1</v>
      </c>
      <c r="H1239" s="10" t="s">
        <v>20</v>
      </c>
      <c r="I1239" s="10" t="s">
        <v>21</v>
      </c>
      <c r="J1239" s="10" t="str">
        <f>""</f>
        <v/>
      </c>
      <c r="K1239" s="10" t="str">
        <f>"PFES1162672059_0001"</f>
        <v>PFES1162672059_0001</v>
      </c>
      <c r="L1239" s="10">
        <v>1</v>
      </c>
      <c r="M1239" s="10">
        <v>1</v>
      </c>
    </row>
    <row r="1240" spans="1:13">
      <c r="A1240" s="6">
        <v>43504</v>
      </c>
      <c r="B1240" s="7">
        <v>0.47847222222222219</v>
      </c>
      <c r="C1240" s="10" t="str">
        <f>"FES1162672027"</f>
        <v>FES1162672027</v>
      </c>
      <c r="D1240" s="10" t="s">
        <v>18</v>
      </c>
      <c r="E1240" s="10" t="s">
        <v>372</v>
      </c>
      <c r="F1240" s="10" t="str">
        <f>"2170673317 "</f>
        <v xml:space="preserve">2170673317 </v>
      </c>
      <c r="G1240" s="10" t="str">
        <f t="shared" si="42"/>
        <v>ON1</v>
      </c>
      <c r="H1240" s="10" t="s">
        <v>20</v>
      </c>
      <c r="I1240" s="10" t="s">
        <v>143</v>
      </c>
      <c r="J1240" s="10" t="str">
        <f>""</f>
        <v/>
      </c>
      <c r="K1240" s="10" t="str">
        <f>"PFES1162672027_0001"</f>
        <v>PFES1162672027_0001</v>
      </c>
      <c r="L1240" s="10">
        <v>1</v>
      </c>
      <c r="M1240" s="10">
        <v>1</v>
      </c>
    </row>
    <row r="1241" spans="1:13">
      <c r="A1241" s="6">
        <v>43504</v>
      </c>
      <c r="B1241" s="7">
        <v>0.47847222222222219</v>
      </c>
      <c r="C1241" s="10" t="str">
        <f>"FES1162672024"</f>
        <v>FES1162672024</v>
      </c>
      <c r="D1241" s="10" t="s">
        <v>18</v>
      </c>
      <c r="E1241" s="10" t="s">
        <v>719</v>
      </c>
      <c r="F1241" s="10" t="str">
        <f>"2170673313 "</f>
        <v xml:space="preserve">2170673313 </v>
      </c>
      <c r="G1241" s="10" t="str">
        <f t="shared" si="42"/>
        <v>ON1</v>
      </c>
      <c r="H1241" s="10" t="s">
        <v>20</v>
      </c>
      <c r="I1241" s="10" t="s">
        <v>720</v>
      </c>
      <c r="J1241" s="10" t="str">
        <f>""</f>
        <v/>
      </c>
      <c r="K1241" s="10" t="str">
        <f>"PFES1162672024_0001"</f>
        <v>PFES1162672024_0001</v>
      </c>
      <c r="L1241" s="10">
        <v>1</v>
      </c>
      <c r="M1241" s="10">
        <v>7</v>
      </c>
    </row>
    <row r="1242" spans="1:13">
      <c r="A1242" s="6">
        <v>43504</v>
      </c>
      <c r="B1242" s="7">
        <v>0.4777777777777778</v>
      </c>
      <c r="C1242" s="10" t="str">
        <f>"FES1162672033"</f>
        <v>FES1162672033</v>
      </c>
      <c r="D1242" s="10" t="s">
        <v>18</v>
      </c>
      <c r="E1242" s="10" t="s">
        <v>151</v>
      </c>
      <c r="F1242" s="10" t="str">
        <f>"217073325 "</f>
        <v xml:space="preserve">217073325 </v>
      </c>
      <c r="G1242" s="10" t="str">
        <f t="shared" si="42"/>
        <v>ON1</v>
      </c>
      <c r="H1242" s="10" t="s">
        <v>20</v>
      </c>
      <c r="I1242" s="10" t="s">
        <v>63</v>
      </c>
      <c r="J1242" s="10" t="str">
        <f>""</f>
        <v/>
      </c>
      <c r="K1242" s="10" t="str">
        <f>"PFES1162672033_0001"</f>
        <v>PFES1162672033_0001</v>
      </c>
      <c r="L1242" s="10">
        <v>1</v>
      </c>
      <c r="M1242" s="10">
        <v>1</v>
      </c>
    </row>
    <row r="1243" spans="1:13">
      <c r="A1243" s="6">
        <v>43504</v>
      </c>
      <c r="B1243" s="7">
        <v>0.4777777777777778</v>
      </c>
      <c r="C1243" s="10" t="str">
        <f>"FES1162672038"</f>
        <v>FES1162672038</v>
      </c>
      <c r="D1243" s="10" t="s">
        <v>18</v>
      </c>
      <c r="E1243" s="10" t="s">
        <v>606</v>
      </c>
      <c r="F1243" s="10" t="str">
        <f>"217073329 "</f>
        <v xml:space="preserve">217073329 </v>
      </c>
      <c r="G1243" s="10" t="str">
        <f t="shared" si="42"/>
        <v>ON1</v>
      </c>
      <c r="H1243" s="10" t="s">
        <v>20</v>
      </c>
      <c r="I1243" s="10" t="s">
        <v>124</v>
      </c>
      <c r="J1243" s="10" t="str">
        <f>""</f>
        <v/>
      </c>
      <c r="K1243" s="10" t="str">
        <f>"PFES1162672038_0001"</f>
        <v>PFES1162672038_0001</v>
      </c>
      <c r="L1243" s="10">
        <v>1</v>
      </c>
      <c r="M1243" s="10">
        <v>1</v>
      </c>
    </row>
    <row r="1244" spans="1:13">
      <c r="A1244" s="6">
        <v>43504</v>
      </c>
      <c r="B1244" s="7">
        <v>0.4777777777777778</v>
      </c>
      <c r="C1244" s="10" t="str">
        <f>"FES1162672003"</f>
        <v>FES1162672003</v>
      </c>
      <c r="D1244" s="10" t="s">
        <v>18</v>
      </c>
      <c r="E1244" s="10" t="s">
        <v>522</v>
      </c>
      <c r="F1244" s="10" t="str">
        <f>"2170670980 "</f>
        <v xml:space="preserve">2170670980 </v>
      </c>
      <c r="G1244" s="10" t="str">
        <f t="shared" si="42"/>
        <v>ON1</v>
      </c>
      <c r="H1244" s="10" t="s">
        <v>20</v>
      </c>
      <c r="I1244" s="10" t="s">
        <v>388</v>
      </c>
      <c r="J1244" s="10" t="str">
        <f>""</f>
        <v/>
      </c>
      <c r="K1244" s="10" t="str">
        <f>"PFES1162672003_0001"</f>
        <v>PFES1162672003_0001</v>
      </c>
      <c r="L1244" s="10">
        <v>1</v>
      </c>
      <c r="M1244" s="10">
        <v>1</v>
      </c>
    </row>
    <row r="1245" spans="1:13">
      <c r="A1245" s="6">
        <v>43504</v>
      </c>
      <c r="B1245" s="7">
        <v>0.47569444444444442</v>
      </c>
      <c r="C1245" s="10" t="str">
        <f>"FES1162672071"</f>
        <v>FES1162672071</v>
      </c>
      <c r="D1245" s="10" t="s">
        <v>18</v>
      </c>
      <c r="E1245" s="10" t="s">
        <v>721</v>
      </c>
      <c r="F1245" s="10" t="str">
        <f>"2170673383 "</f>
        <v xml:space="preserve">2170673383 </v>
      </c>
      <c r="G1245" s="10" t="str">
        <f t="shared" si="42"/>
        <v>ON1</v>
      </c>
      <c r="H1245" s="10" t="s">
        <v>20</v>
      </c>
      <c r="I1245" s="10" t="s">
        <v>215</v>
      </c>
      <c r="J1245" s="10" t="str">
        <f>""</f>
        <v/>
      </c>
      <c r="K1245" s="10" t="str">
        <f>"PFES1162672071_0001"</f>
        <v>PFES1162672071_0001</v>
      </c>
      <c r="L1245" s="10">
        <v>2</v>
      </c>
      <c r="M1245" s="10">
        <v>14</v>
      </c>
    </row>
    <row r="1246" spans="1:13">
      <c r="A1246" s="6">
        <v>43504</v>
      </c>
      <c r="B1246" s="7">
        <v>0.47569444444444442</v>
      </c>
      <c r="C1246" s="10" t="str">
        <f>"FES1162672071"</f>
        <v>FES1162672071</v>
      </c>
      <c r="D1246" s="10" t="s">
        <v>18</v>
      </c>
      <c r="E1246" s="10" t="s">
        <v>721</v>
      </c>
      <c r="F1246" s="10" t="str">
        <f>"2170673383 "</f>
        <v xml:space="preserve">2170673383 </v>
      </c>
      <c r="G1246" s="10" t="str">
        <f t="shared" si="42"/>
        <v>ON1</v>
      </c>
      <c r="H1246" s="10" t="s">
        <v>20</v>
      </c>
      <c r="I1246" s="10" t="s">
        <v>215</v>
      </c>
      <c r="J1246" s="10"/>
      <c r="K1246" s="10" t="str">
        <f>"PFES1162672071_0002"</f>
        <v>PFES1162672071_0002</v>
      </c>
      <c r="L1246" s="10">
        <v>2</v>
      </c>
      <c r="M1246" s="10">
        <v>14</v>
      </c>
    </row>
    <row r="1247" spans="1:13">
      <c r="A1247" s="6">
        <v>43504</v>
      </c>
      <c r="B1247" s="7">
        <v>0.47430555555555554</v>
      </c>
      <c r="C1247" s="10" t="str">
        <f>"FES1162672058"</f>
        <v>FES1162672058</v>
      </c>
      <c r="D1247" s="10" t="s">
        <v>18</v>
      </c>
      <c r="E1247" s="10" t="s">
        <v>19</v>
      </c>
      <c r="F1247" s="10" t="str">
        <f>"2170673362 "</f>
        <v xml:space="preserve">2170673362 </v>
      </c>
      <c r="G1247" s="10" t="str">
        <f>"ON1"</f>
        <v>ON1</v>
      </c>
      <c r="H1247" s="10" t="s">
        <v>20</v>
      </c>
      <c r="I1247" s="10" t="s">
        <v>21</v>
      </c>
      <c r="J1247" s="10" t="str">
        <f>""</f>
        <v/>
      </c>
      <c r="K1247" s="10" t="str">
        <f>"PFES1162672058_0001"</f>
        <v>PFES1162672058_0001</v>
      </c>
      <c r="L1247" s="10">
        <v>1</v>
      </c>
      <c r="M1247" s="10">
        <v>3</v>
      </c>
    </row>
    <row r="1248" spans="1:13">
      <c r="A1248" s="6">
        <v>43504</v>
      </c>
      <c r="B1248" s="7">
        <v>0.47361111111111115</v>
      </c>
      <c r="C1248" s="10" t="str">
        <f>"FES1162672044"</f>
        <v>FES1162672044</v>
      </c>
      <c r="D1248" s="10" t="s">
        <v>18</v>
      </c>
      <c r="E1248" s="10" t="s">
        <v>704</v>
      </c>
      <c r="F1248" s="10" t="str">
        <f>"2170673336 "</f>
        <v xml:space="preserve">2170673336 </v>
      </c>
      <c r="G1248" s="10" t="str">
        <f>"DBC"</f>
        <v>DBC</v>
      </c>
      <c r="H1248" s="10" t="s">
        <v>20</v>
      </c>
      <c r="I1248" s="10" t="s">
        <v>228</v>
      </c>
      <c r="J1248" s="10" t="str">
        <f>"FRAGILE OIL"</f>
        <v>FRAGILE OIL</v>
      </c>
      <c r="K1248" s="10" t="str">
        <f>"PFES1162672044_0001"</f>
        <v>PFES1162672044_0001</v>
      </c>
      <c r="L1248" s="10">
        <v>1</v>
      </c>
      <c r="M1248" s="10">
        <v>23</v>
      </c>
    </row>
    <row r="1249" spans="1:13">
      <c r="A1249" s="6">
        <v>43504</v>
      </c>
      <c r="B1249" s="7">
        <v>0.47222222222222227</v>
      </c>
      <c r="C1249" s="10" t="str">
        <f>"FES1162672055"</f>
        <v>FES1162672055</v>
      </c>
      <c r="D1249" s="10" t="s">
        <v>18</v>
      </c>
      <c r="E1249" s="10" t="s">
        <v>19</v>
      </c>
      <c r="F1249" s="10" t="str">
        <f>"2170673357 "</f>
        <v xml:space="preserve">2170673357 </v>
      </c>
      <c r="G1249" s="10" t="str">
        <f>"ON1"</f>
        <v>ON1</v>
      </c>
      <c r="H1249" s="10" t="s">
        <v>20</v>
      </c>
      <c r="I1249" s="10" t="s">
        <v>21</v>
      </c>
      <c r="J1249" s="10" t="str">
        <f>""</f>
        <v/>
      </c>
      <c r="K1249" s="10" t="str">
        <f>"PFES1162672055_0001"</f>
        <v>PFES1162672055_0001</v>
      </c>
      <c r="L1249" s="10">
        <v>1</v>
      </c>
      <c r="M1249" s="10">
        <v>11</v>
      </c>
    </row>
    <row r="1250" spans="1:13">
      <c r="A1250" s="6">
        <v>43504</v>
      </c>
      <c r="B1250" s="7">
        <v>0.47013888888888888</v>
      </c>
      <c r="C1250" s="10" t="str">
        <f>"FES1162672011"</f>
        <v>FES1162672011</v>
      </c>
      <c r="D1250" s="10" t="s">
        <v>18</v>
      </c>
      <c r="E1250" s="10" t="s">
        <v>722</v>
      </c>
      <c r="F1250" s="10" t="str">
        <f>"2170671807 "</f>
        <v xml:space="preserve">2170671807 </v>
      </c>
      <c r="G1250" s="10" t="str">
        <f>"ON1"</f>
        <v>ON1</v>
      </c>
      <c r="H1250" s="10" t="s">
        <v>20</v>
      </c>
      <c r="I1250" s="10" t="s">
        <v>723</v>
      </c>
      <c r="J1250" s="10" t="str">
        <f>""</f>
        <v/>
      </c>
      <c r="K1250" s="10" t="str">
        <f>"PFES1162672011_0001"</f>
        <v>PFES1162672011_0001</v>
      </c>
      <c r="L1250" s="10">
        <v>1</v>
      </c>
      <c r="M1250" s="10">
        <v>1</v>
      </c>
    </row>
    <row r="1251" spans="1:13">
      <c r="A1251" s="6">
        <v>43504</v>
      </c>
      <c r="B1251" s="7">
        <v>0.4694444444444445</v>
      </c>
      <c r="C1251" s="10" t="str">
        <f>"FES1162672001"</f>
        <v>FES1162672001</v>
      </c>
      <c r="D1251" s="10" t="s">
        <v>18</v>
      </c>
      <c r="E1251" s="10" t="s">
        <v>238</v>
      </c>
      <c r="F1251" s="10" t="str">
        <f>"2170668881 "</f>
        <v xml:space="preserve">2170668881 </v>
      </c>
      <c r="G1251" s="10" t="str">
        <f>"ON1"</f>
        <v>ON1</v>
      </c>
      <c r="H1251" s="10" t="s">
        <v>20</v>
      </c>
      <c r="I1251" s="10" t="s">
        <v>239</v>
      </c>
      <c r="J1251" s="10" t="str">
        <f>""</f>
        <v/>
      </c>
      <c r="K1251" s="10" t="str">
        <f>"PFES1162672001_0001"</f>
        <v>PFES1162672001_0001</v>
      </c>
      <c r="L1251" s="10">
        <v>1</v>
      </c>
      <c r="M1251" s="10">
        <v>2</v>
      </c>
    </row>
    <row r="1252" spans="1:13">
      <c r="A1252" s="6">
        <v>43504</v>
      </c>
      <c r="B1252" s="7">
        <v>0.4680555555555555</v>
      </c>
      <c r="C1252" s="10" t="str">
        <f>"FES1162671995"</f>
        <v>FES1162671995</v>
      </c>
      <c r="D1252" s="10" t="s">
        <v>18</v>
      </c>
      <c r="E1252" s="10" t="s">
        <v>431</v>
      </c>
      <c r="F1252" s="10" t="str">
        <f>"2170673299 "</f>
        <v xml:space="preserve">2170673299 </v>
      </c>
      <c r="G1252" s="10" t="str">
        <f>"ON1"</f>
        <v>ON1</v>
      </c>
      <c r="H1252" s="10" t="s">
        <v>20</v>
      </c>
      <c r="I1252" s="10" t="s">
        <v>25</v>
      </c>
      <c r="J1252" s="10" t="str">
        <f>""</f>
        <v/>
      </c>
      <c r="K1252" s="10" t="str">
        <f>"PFES1162671995_0001"</f>
        <v>PFES1162671995_0001</v>
      </c>
      <c r="L1252" s="10">
        <v>1</v>
      </c>
      <c r="M1252" s="10">
        <v>2</v>
      </c>
    </row>
    <row r="1253" spans="1:13">
      <c r="A1253" s="6">
        <v>43504</v>
      </c>
      <c r="B1253" s="7">
        <v>0.46736111111111112</v>
      </c>
      <c r="C1253" s="10" t="str">
        <f>"FES1162672045"</f>
        <v>FES1162672045</v>
      </c>
      <c r="D1253" s="10" t="s">
        <v>18</v>
      </c>
      <c r="E1253" s="10" t="s">
        <v>724</v>
      </c>
      <c r="F1253" s="10" t="str">
        <f>"2170673341 "</f>
        <v xml:space="preserve">2170673341 </v>
      </c>
      <c r="G1253" s="10" t="str">
        <f>"ON1"</f>
        <v>ON1</v>
      </c>
      <c r="H1253" s="10" t="s">
        <v>20</v>
      </c>
      <c r="I1253" s="10" t="s">
        <v>158</v>
      </c>
      <c r="J1253" s="10" t="str">
        <f>""</f>
        <v/>
      </c>
      <c r="K1253" s="10" t="str">
        <f>"PFES1162672045_0001"</f>
        <v>PFES1162672045_0001</v>
      </c>
      <c r="L1253" s="10">
        <v>1</v>
      </c>
      <c r="M1253" s="10">
        <v>7</v>
      </c>
    </row>
    <row r="1254" spans="1:13">
      <c r="A1254" s="6">
        <v>43504</v>
      </c>
      <c r="B1254" s="7">
        <v>0.45347222222222222</v>
      </c>
      <c r="C1254" s="10" t="str">
        <f>"FES1162671986"</f>
        <v>FES1162671986</v>
      </c>
      <c r="D1254" s="10" t="s">
        <v>18</v>
      </c>
      <c r="E1254" s="10" t="s">
        <v>328</v>
      </c>
      <c r="F1254" s="10" t="str">
        <f>"2170673280 "</f>
        <v xml:space="preserve">2170673280 </v>
      </c>
      <c r="G1254" s="10" t="str">
        <f>"DBC"</f>
        <v>DBC</v>
      </c>
      <c r="H1254" s="10" t="s">
        <v>20</v>
      </c>
      <c r="I1254" s="10" t="s">
        <v>29</v>
      </c>
      <c r="J1254" s="10" t="str">
        <f>""</f>
        <v/>
      </c>
      <c r="K1254" s="10" t="str">
        <f>"PFES1162671986_0001"</f>
        <v>PFES1162671986_0001</v>
      </c>
      <c r="L1254" s="10">
        <v>2</v>
      </c>
      <c r="M1254" s="10">
        <v>30</v>
      </c>
    </row>
    <row r="1255" spans="1:13">
      <c r="A1255" s="6">
        <v>43504</v>
      </c>
      <c r="B1255" s="7">
        <v>0.45347222222222222</v>
      </c>
      <c r="C1255" s="10" t="str">
        <f>"FES1162671986"</f>
        <v>FES1162671986</v>
      </c>
      <c r="D1255" s="10" t="s">
        <v>18</v>
      </c>
      <c r="E1255" s="10" t="s">
        <v>328</v>
      </c>
      <c r="F1255" s="10" t="str">
        <f>"2170673280 "</f>
        <v xml:space="preserve">2170673280 </v>
      </c>
      <c r="G1255" s="10" t="str">
        <f>"DBC"</f>
        <v>DBC</v>
      </c>
      <c r="H1255" s="10" t="s">
        <v>20</v>
      </c>
      <c r="I1255" s="10" t="s">
        <v>29</v>
      </c>
      <c r="J1255" s="10"/>
      <c r="K1255" s="10" t="str">
        <f>"PFES1162671986_0002"</f>
        <v>PFES1162671986_0002</v>
      </c>
      <c r="L1255" s="10">
        <v>2</v>
      </c>
      <c r="M1255" s="10">
        <v>30</v>
      </c>
    </row>
    <row r="1256" spans="1:13">
      <c r="A1256" s="6">
        <v>43504</v>
      </c>
      <c r="B1256" s="7">
        <v>0.45277777777777778</v>
      </c>
      <c r="C1256" s="10" t="str">
        <f>"FES1162671684"</f>
        <v>FES1162671684</v>
      </c>
      <c r="D1256" s="10" t="s">
        <v>18</v>
      </c>
      <c r="E1256" s="10" t="s">
        <v>623</v>
      </c>
      <c r="F1256" s="10" t="str">
        <f>"2170670226 "</f>
        <v xml:space="preserve">2170670226 </v>
      </c>
      <c r="G1256" s="10" t="str">
        <f>"ON1"</f>
        <v>ON1</v>
      </c>
      <c r="H1256" s="10" t="s">
        <v>20</v>
      </c>
      <c r="I1256" s="10" t="s">
        <v>429</v>
      </c>
      <c r="J1256" s="10" t="str">
        <f>""</f>
        <v/>
      </c>
      <c r="K1256" s="10" t="str">
        <f>"PFES1162671684_0001"</f>
        <v>PFES1162671684_0001</v>
      </c>
      <c r="L1256" s="10">
        <v>1</v>
      </c>
      <c r="M1256" s="10">
        <v>7</v>
      </c>
    </row>
    <row r="1257" spans="1:13">
      <c r="A1257" s="6">
        <v>43504</v>
      </c>
      <c r="B1257" s="7">
        <v>0.4513888888888889</v>
      </c>
      <c r="C1257" s="10" t="str">
        <f>"FES1162671991"</f>
        <v>FES1162671991</v>
      </c>
      <c r="D1257" s="10" t="s">
        <v>18</v>
      </c>
      <c r="E1257" s="10" t="s">
        <v>725</v>
      </c>
      <c r="F1257" s="10" t="str">
        <f>"2170673266 "</f>
        <v xml:space="preserve">2170673266 </v>
      </c>
      <c r="G1257" s="10" t="str">
        <f>"ON1"</f>
        <v>ON1</v>
      </c>
      <c r="H1257" s="10" t="s">
        <v>20</v>
      </c>
      <c r="I1257" s="10" t="s">
        <v>117</v>
      </c>
      <c r="J1257" s="10" t="str">
        <f>""</f>
        <v/>
      </c>
      <c r="K1257" s="10" t="str">
        <f>"PFES1162671991_0001"</f>
        <v>PFES1162671991_0001</v>
      </c>
      <c r="L1257" s="10">
        <v>1</v>
      </c>
      <c r="M1257" s="10">
        <v>16</v>
      </c>
    </row>
    <row r="1258" spans="1:13">
      <c r="A1258" s="6">
        <v>43504</v>
      </c>
      <c r="B1258" s="7">
        <v>0.45069444444444445</v>
      </c>
      <c r="C1258" s="10" t="str">
        <f>"FES1162672032"</f>
        <v>FES1162672032</v>
      </c>
      <c r="D1258" s="10" t="s">
        <v>18</v>
      </c>
      <c r="E1258" s="10" t="s">
        <v>339</v>
      </c>
      <c r="F1258" s="10" t="str">
        <f>"2170673323 "</f>
        <v xml:space="preserve">2170673323 </v>
      </c>
      <c r="G1258" s="10" t="str">
        <f>"ON1"</f>
        <v>ON1</v>
      </c>
      <c r="H1258" s="10" t="s">
        <v>20</v>
      </c>
      <c r="I1258" s="10" t="s">
        <v>37</v>
      </c>
      <c r="J1258" s="10" t="str">
        <f>""</f>
        <v/>
      </c>
      <c r="K1258" s="10" t="str">
        <f>"PFES1162672032_0001"</f>
        <v>PFES1162672032_0001</v>
      </c>
      <c r="L1258" s="10">
        <v>1</v>
      </c>
      <c r="M1258" s="10">
        <v>3</v>
      </c>
    </row>
    <row r="1259" spans="1:13">
      <c r="A1259" s="6">
        <v>43504</v>
      </c>
      <c r="B1259" s="7">
        <v>0.44930555555555557</v>
      </c>
      <c r="C1259" s="10" t="str">
        <f>"FES1162672020"</f>
        <v>FES1162672020</v>
      </c>
      <c r="D1259" s="10" t="s">
        <v>18</v>
      </c>
      <c r="E1259" s="10" t="s">
        <v>159</v>
      </c>
      <c r="F1259" s="10" t="str">
        <f>"2170673170 "</f>
        <v xml:space="preserve">2170673170 </v>
      </c>
      <c r="G1259" s="10" t="str">
        <f>"ON1"</f>
        <v>ON1</v>
      </c>
      <c r="H1259" s="10" t="s">
        <v>20</v>
      </c>
      <c r="I1259" s="10" t="s">
        <v>137</v>
      </c>
      <c r="J1259" s="10" t="str">
        <f>""</f>
        <v/>
      </c>
      <c r="K1259" s="10" t="str">
        <f>"PFES1162672020_0001"</f>
        <v>PFES1162672020_0001</v>
      </c>
      <c r="L1259" s="10">
        <v>2</v>
      </c>
      <c r="M1259" s="10">
        <v>4</v>
      </c>
    </row>
    <row r="1260" spans="1:13">
      <c r="A1260" s="6">
        <v>43504</v>
      </c>
      <c r="B1260" s="7">
        <v>0.44930555555555557</v>
      </c>
      <c r="C1260" s="10" t="str">
        <f>"FES1162672020"</f>
        <v>FES1162672020</v>
      </c>
      <c r="D1260" s="10" t="s">
        <v>18</v>
      </c>
      <c r="E1260" s="10" t="s">
        <v>159</v>
      </c>
      <c r="F1260" s="10" t="str">
        <f>"2170673170 "</f>
        <v xml:space="preserve">2170673170 </v>
      </c>
      <c r="G1260" s="10" t="str">
        <f>"ON1"</f>
        <v>ON1</v>
      </c>
      <c r="H1260" s="10" t="s">
        <v>20</v>
      </c>
      <c r="I1260" s="10" t="s">
        <v>137</v>
      </c>
      <c r="J1260" s="10"/>
      <c r="K1260" s="10" t="str">
        <f>"PFES1162672020_0002"</f>
        <v>PFES1162672020_0002</v>
      </c>
      <c r="L1260" s="10">
        <v>2</v>
      </c>
      <c r="M1260" s="10">
        <v>4</v>
      </c>
    </row>
    <row r="1261" spans="1:13">
      <c r="A1261" s="6">
        <v>43504</v>
      </c>
      <c r="B1261" s="7">
        <v>0.44930555555555557</v>
      </c>
      <c r="C1261" s="10" t="str">
        <f>"FES1162671988"</f>
        <v>FES1162671988</v>
      </c>
      <c r="D1261" s="10" t="s">
        <v>18</v>
      </c>
      <c r="E1261" s="10" t="s">
        <v>468</v>
      </c>
      <c r="F1261" s="10" t="str">
        <f>"2170673828 "</f>
        <v xml:space="preserve">2170673828 </v>
      </c>
      <c r="G1261" s="10" t="str">
        <f t="shared" ref="G1261:G1324" si="43">"ON1"</f>
        <v>ON1</v>
      </c>
      <c r="H1261" s="10" t="s">
        <v>20</v>
      </c>
      <c r="I1261" s="10" t="s">
        <v>188</v>
      </c>
      <c r="J1261" s="10" t="str">
        <f>""</f>
        <v/>
      </c>
      <c r="K1261" s="10" t="str">
        <f>"PFES1162671988_0001"</f>
        <v>PFES1162671988_0001</v>
      </c>
      <c r="L1261" s="10">
        <v>1</v>
      </c>
      <c r="M1261" s="10">
        <v>1</v>
      </c>
    </row>
    <row r="1262" spans="1:13">
      <c r="A1262" s="6">
        <v>43504</v>
      </c>
      <c r="B1262" s="7">
        <v>0.44861111111111113</v>
      </c>
      <c r="C1262" s="10" t="str">
        <f>"FES1162672002"</f>
        <v>FES1162672002</v>
      </c>
      <c r="D1262" s="10" t="s">
        <v>18</v>
      </c>
      <c r="E1262" s="10" t="s">
        <v>620</v>
      </c>
      <c r="F1262" s="10" t="str">
        <f>"2170670783 "</f>
        <v xml:space="preserve">2170670783 </v>
      </c>
      <c r="G1262" s="10" t="str">
        <f t="shared" si="43"/>
        <v>ON1</v>
      </c>
      <c r="H1262" s="10" t="s">
        <v>20</v>
      </c>
      <c r="I1262" s="10" t="s">
        <v>573</v>
      </c>
      <c r="J1262" s="10" t="str">
        <f>""</f>
        <v/>
      </c>
      <c r="K1262" s="10" t="str">
        <f>"PFES1162672002_0001"</f>
        <v>PFES1162672002_0001</v>
      </c>
      <c r="L1262" s="10">
        <v>1</v>
      </c>
      <c r="M1262" s="10">
        <v>1</v>
      </c>
    </row>
    <row r="1263" spans="1:13">
      <c r="A1263" s="6">
        <v>43504</v>
      </c>
      <c r="B1263" s="7">
        <v>0.44861111111111113</v>
      </c>
      <c r="C1263" s="10" t="str">
        <f>"FES1162672004"</f>
        <v>FES1162672004</v>
      </c>
      <c r="D1263" s="10" t="s">
        <v>18</v>
      </c>
      <c r="E1263" s="10" t="s">
        <v>19</v>
      </c>
      <c r="F1263" s="10" t="str">
        <f>"217067295 "</f>
        <v xml:space="preserve">217067295 </v>
      </c>
      <c r="G1263" s="10" t="str">
        <f t="shared" si="43"/>
        <v>ON1</v>
      </c>
      <c r="H1263" s="10" t="s">
        <v>20</v>
      </c>
      <c r="I1263" s="10" t="s">
        <v>21</v>
      </c>
      <c r="J1263" s="10" t="str">
        <f>""</f>
        <v/>
      </c>
      <c r="K1263" s="10" t="str">
        <f>"PFES1162672004_0001"</f>
        <v>PFES1162672004_0001</v>
      </c>
      <c r="L1263" s="10">
        <v>1</v>
      </c>
      <c r="M1263" s="10">
        <v>1</v>
      </c>
    </row>
    <row r="1264" spans="1:13">
      <c r="A1264" s="6">
        <v>43504</v>
      </c>
      <c r="B1264" s="7">
        <v>0.44791666666666669</v>
      </c>
      <c r="C1264" s="10" t="str">
        <f>"FES1162672035"</f>
        <v>FES1162672035</v>
      </c>
      <c r="D1264" s="10" t="s">
        <v>18</v>
      </c>
      <c r="E1264" s="10" t="s">
        <v>726</v>
      </c>
      <c r="F1264" s="10" t="str">
        <f>"2170673223 "</f>
        <v xml:space="preserve">2170673223 </v>
      </c>
      <c r="G1264" s="10" t="str">
        <f t="shared" si="43"/>
        <v>ON1</v>
      </c>
      <c r="H1264" s="10" t="s">
        <v>20</v>
      </c>
      <c r="I1264" s="10" t="s">
        <v>213</v>
      </c>
      <c r="J1264" s="10" t="str">
        <f>""</f>
        <v/>
      </c>
      <c r="K1264" s="10" t="str">
        <f>"PFES1162672035_0001"</f>
        <v>PFES1162672035_0001</v>
      </c>
      <c r="L1264" s="10">
        <v>1</v>
      </c>
      <c r="M1264" s="10">
        <v>2</v>
      </c>
    </row>
    <row r="1265" spans="1:13">
      <c r="A1265" s="6">
        <v>43504</v>
      </c>
      <c r="B1265" s="7">
        <v>0.44791666666666669</v>
      </c>
      <c r="C1265" s="10" t="str">
        <f>"FES1162672031"</f>
        <v>FES1162672031</v>
      </c>
      <c r="D1265" s="10" t="s">
        <v>18</v>
      </c>
      <c r="E1265" s="10" t="s">
        <v>335</v>
      </c>
      <c r="F1265" s="10" t="str">
        <f>"2170673022 "</f>
        <v xml:space="preserve">2170673022 </v>
      </c>
      <c r="G1265" s="10" t="str">
        <f t="shared" si="43"/>
        <v>ON1</v>
      </c>
      <c r="H1265" s="10" t="s">
        <v>20</v>
      </c>
      <c r="I1265" s="10" t="s">
        <v>336</v>
      </c>
      <c r="J1265" s="10" t="str">
        <f>""</f>
        <v/>
      </c>
      <c r="K1265" s="10" t="str">
        <f>"PFES1162672031_0001"</f>
        <v>PFES1162672031_0001</v>
      </c>
      <c r="L1265" s="10">
        <v>1</v>
      </c>
      <c r="M1265" s="10">
        <v>1</v>
      </c>
    </row>
    <row r="1266" spans="1:13">
      <c r="A1266" s="6">
        <v>43504</v>
      </c>
      <c r="B1266" s="7">
        <v>0.44791666666666669</v>
      </c>
      <c r="C1266" s="10" t="str">
        <f>"FES1162672018"</f>
        <v>FES1162672018</v>
      </c>
      <c r="D1266" s="10" t="s">
        <v>18</v>
      </c>
      <c r="E1266" s="10" t="s">
        <v>727</v>
      </c>
      <c r="F1266" s="10" t="str">
        <f>"2170672762 "</f>
        <v xml:space="preserve">2170672762 </v>
      </c>
      <c r="G1266" s="10" t="str">
        <f t="shared" si="43"/>
        <v>ON1</v>
      </c>
      <c r="H1266" s="10" t="s">
        <v>20</v>
      </c>
      <c r="I1266" s="10" t="s">
        <v>555</v>
      </c>
      <c r="J1266" s="10" t="str">
        <f>""</f>
        <v/>
      </c>
      <c r="K1266" s="10" t="str">
        <f>"PFES1162672018_0001"</f>
        <v>PFES1162672018_0001</v>
      </c>
      <c r="L1266" s="10">
        <v>1</v>
      </c>
      <c r="M1266" s="10">
        <v>1</v>
      </c>
    </row>
    <row r="1267" spans="1:13">
      <c r="A1267" s="6">
        <v>43504</v>
      </c>
      <c r="B1267" s="7">
        <v>0.44722222222222219</v>
      </c>
      <c r="C1267" s="10" t="str">
        <f>"FES1162672072"</f>
        <v>FES1162672072</v>
      </c>
      <c r="D1267" s="10" t="s">
        <v>18</v>
      </c>
      <c r="E1267" s="10" t="s">
        <v>728</v>
      </c>
      <c r="F1267" s="10" t="str">
        <f>"2170673388 "</f>
        <v xml:space="preserve">2170673388 </v>
      </c>
      <c r="G1267" s="10" t="str">
        <f t="shared" si="43"/>
        <v>ON1</v>
      </c>
      <c r="H1267" s="10" t="s">
        <v>20</v>
      </c>
      <c r="I1267" s="10" t="s">
        <v>213</v>
      </c>
      <c r="J1267" s="10" t="str">
        <f>""</f>
        <v/>
      </c>
      <c r="K1267" s="10" t="str">
        <f>"PFES1162672072_0001"</f>
        <v>PFES1162672072_0001</v>
      </c>
      <c r="L1267" s="10">
        <v>1</v>
      </c>
      <c r="M1267" s="10">
        <v>1</v>
      </c>
    </row>
    <row r="1268" spans="1:13">
      <c r="A1268" s="6">
        <v>43504</v>
      </c>
      <c r="B1268" s="7">
        <v>0.44722222222222219</v>
      </c>
      <c r="C1268" s="10" t="str">
        <f>"FES1162671962"</f>
        <v>FES1162671962</v>
      </c>
      <c r="D1268" s="10" t="s">
        <v>18</v>
      </c>
      <c r="E1268" s="10" t="s">
        <v>73</v>
      </c>
      <c r="F1268" s="10" t="str">
        <f>"2170671761 "</f>
        <v xml:space="preserve">2170671761 </v>
      </c>
      <c r="G1268" s="10" t="str">
        <f t="shared" si="43"/>
        <v>ON1</v>
      </c>
      <c r="H1268" s="10" t="s">
        <v>20</v>
      </c>
      <c r="I1268" s="10" t="s">
        <v>61</v>
      </c>
      <c r="J1268" s="10" t="str">
        <f>""</f>
        <v/>
      </c>
      <c r="K1268" s="10" t="str">
        <f>"PFES1162671962_0001"</f>
        <v>PFES1162671962_0001</v>
      </c>
      <c r="L1268" s="10">
        <v>1</v>
      </c>
      <c r="M1268" s="10">
        <v>1</v>
      </c>
    </row>
    <row r="1269" spans="1:13">
      <c r="A1269" s="6">
        <v>43504</v>
      </c>
      <c r="B1269" s="7">
        <v>0.4465277777777778</v>
      </c>
      <c r="C1269" s="10" t="str">
        <f>"FES1162671997"</f>
        <v>FES1162671997</v>
      </c>
      <c r="D1269" s="10" t="s">
        <v>18</v>
      </c>
      <c r="E1269" s="10" t="s">
        <v>639</v>
      </c>
      <c r="F1269" s="10" t="str">
        <f>"2170673229 "</f>
        <v xml:space="preserve">2170673229 </v>
      </c>
      <c r="G1269" s="10" t="str">
        <f t="shared" si="43"/>
        <v>ON1</v>
      </c>
      <c r="H1269" s="10" t="s">
        <v>20</v>
      </c>
      <c r="I1269" s="10" t="s">
        <v>539</v>
      </c>
      <c r="J1269" s="10" t="str">
        <f>""</f>
        <v/>
      </c>
      <c r="K1269" s="10" t="str">
        <f>"PFES1162671997_0001"</f>
        <v>PFES1162671997_0001</v>
      </c>
      <c r="L1269" s="10">
        <v>1</v>
      </c>
      <c r="M1269" s="10">
        <v>5</v>
      </c>
    </row>
    <row r="1270" spans="1:13">
      <c r="A1270" s="6">
        <v>43504</v>
      </c>
      <c r="B1270" s="7">
        <v>0.4465277777777778</v>
      </c>
      <c r="C1270" s="10" t="str">
        <f>"FES1162669967"</f>
        <v>FES1162669967</v>
      </c>
      <c r="D1270" s="10" t="s">
        <v>18</v>
      </c>
      <c r="E1270" s="10" t="s">
        <v>701</v>
      </c>
      <c r="F1270" s="10" t="str">
        <f>"2170668130 "</f>
        <v xml:space="preserve">2170668130 </v>
      </c>
      <c r="G1270" s="10" t="str">
        <f t="shared" si="43"/>
        <v>ON1</v>
      </c>
      <c r="H1270" s="10" t="s">
        <v>20</v>
      </c>
      <c r="I1270" s="10" t="s">
        <v>213</v>
      </c>
      <c r="J1270" s="10" t="str">
        <f>""</f>
        <v/>
      </c>
      <c r="K1270" s="10" t="str">
        <f>"PFES1162669967_0001"</f>
        <v>PFES1162669967_0001</v>
      </c>
      <c r="L1270" s="10">
        <v>1</v>
      </c>
      <c r="M1270" s="10">
        <v>1</v>
      </c>
    </row>
    <row r="1271" spans="1:13">
      <c r="A1271" s="6">
        <v>43504</v>
      </c>
      <c r="B1271" s="7">
        <v>0.4465277777777778</v>
      </c>
      <c r="C1271" s="10" t="str">
        <f>"FES1162672049"</f>
        <v>FES1162672049</v>
      </c>
      <c r="D1271" s="10" t="s">
        <v>18</v>
      </c>
      <c r="E1271" s="10" t="s">
        <v>148</v>
      </c>
      <c r="F1271" s="10" t="str">
        <f>"2170673344 "</f>
        <v xml:space="preserve">2170673344 </v>
      </c>
      <c r="G1271" s="10" t="str">
        <f t="shared" si="43"/>
        <v>ON1</v>
      </c>
      <c r="H1271" s="10" t="s">
        <v>20</v>
      </c>
      <c r="I1271" s="10" t="s">
        <v>149</v>
      </c>
      <c r="J1271" s="10" t="str">
        <f>""</f>
        <v/>
      </c>
      <c r="K1271" s="10" t="str">
        <f>"PFES1162672049_0001"</f>
        <v>PFES1162672049_0001</v>
      </c>
      <c r="L1271" s="10">
        <v>1</v>
      </c>
      <c r="M1271" s="10">
        <v>1</v>
      </c>
    </row>
    <row r="1272" spans="1:13">
      <c r="A1272" s="6">
        <v>43504</v>
      </c>
      <c r="B1272" s="7">
        <v>0.4465277777777778</v>
      </c>
      <c r="C1272" s="10" t="str">
        <f>"FES1162672005"</f>
        <v>FES1162672005</v>
      </c>
      <c r="D1272" s="10" t="s">
        <v>18</v>
      </c>
      <c r="E1272" s="10" t="s">
        <v>162</v>
      </c>
      <c r="F1272" s="10" t="str">
        <f>"217067168 "</f>
        <v xml:space="preserve">217067168 </v>
      </c>
      <c r="G1272" s="10" t="str">
        <f t="shared" si="43"/>
        <v>ON1</v>
      </c>
      <c r="H1272" s="10" t="s">
        <v>20</v>
      </c>
      <c r="I1272" s="10" t="s">
        <v>163</v>
      </c>
      <c r="J1272" s="10" t="str">
        <f>""</f>
        <v/>
      </c>
      <c r="K1272" s="10" t="str">
        <f>"PFES1162672005_0001"</f>
        <v>PFES1162672005_0001</v>
      </c>
      <c r="L1272" s="10">
        <v>1</v>
      </c>
      <c r="M1272" s="10">
        <v>1</v>
      </c>
    </row>
    <row r="1273" spans="1:13">
      <c r="A1273" s="6">
        <v>43504</v>
      </c>
      <c r="B1273" s="7">
        <v>0.4458333333333333</v>
      </c>
      <c r="C1273" s="10" t="str">
        <f>"FES1162672008"</f>
        <v>FES1162672008</v>
      </c>
      <c r="D1273" s="10" t="s">
        <v>18</v>
      </c>
      <c r="E1273" s="10" t="s">
        <v>729</v>
      </c>
      <c r="F1273" s="10" t="str">
        <f>"2170671708 "</f>
        <v xml:space="preserve">2170671708 </v>
      </c>
      <c r="G1273" s="10" t="str">
        <f t="shared" si="43"/>
        <v>ON1</v>
      </c>
      <c r="H1273" s="10" t="s">
        <v>20</v>
      </c>
      <c r="I1273" s="10" t="s">
        <v>435</v>
      </c>
      <c r="J1273" s="10" t="str">
        <f>""</f>
        <v/>
      </c>
      <c r="K1273" s="10" t="str">
        <f>"PFES1162672008_0001"</f>
        <v>PFES1162672008_0001</v>
      </c>
      <c r="L1273" s="10">
        <v>1</v>
      </c>
      <c r="M1273" s="10">
        <v>1</v>
      </c>
    </row>
    <row r="1274" spans="1:13">
      <c r="A1274" s="6">
        <v>43504</v>
      </c>
      <c r="B1274" s="7">
        <v>0.4458333333333333</v>
      </c>
      <c r="C1274" s="10" t="str">
        <f>"FES1162672014"</f>
        <v>FES1162672014</v>
      </c>
      <c r="D1274" s="10" t="s">
        <v>18</v>
      </c>
      <c r="E1274" s="10" t="s">
        <v>120</v>
      </c>
      <c r="F1274" s="10" t="str">
        <f>"2170672172 "</f>
        <v xml:space="preserve">2170672172 </v>
      </c>
      <c r="G1274" s="10" t="str">
        <f t="shared" si="43"/>
        <v>ON1</v>
      </c>
      <c r="H1274" s="10" t="s">
        <v>20</v>
      </c>
      <c r="I1274" s="10" t="s">
        <v>121</v>
      </c>
      <c r="J1274" s="10" t="str">
        <f>""</f>
        <v/>
      </c>
      <c r="K1274" s="10" t="str">
        <f>"PFES1162672014_0001"</f>
        <v>PFES1162672014_0001</v>
      </c>
      <c r="L1274" s="10">
        <v>1</v>
      </c>
      <c r="M1274" s="10">
        <v>1</v>
      </c>
    </row>
    <row r="1275" spans="1:13">
      <c r="A1275" s="6">
        <v>43504</v>
      </c>
      <c r="B1275" s="7">
        <v>0.44513888888888892</v>
      </c>
      <c r="C1275" s="10" t="str">
        <f>"FES1162672016"</f>
        <v>FES1162672016</v>
      </c>
      <c r="D1275" s="10" t="s">
        <v>18</v>
      </c>
      <c r="E1275" s="10" t="s">
        <v>195</v>
      </c>
      <c r="F1275" s="10" t="str">
        <f>"2170672305 "</f>
        <v xml:space="preserve">2170672305 </v>
      </c>
      <c r="G1275" s="10" t="str">
        <f t="shared" si="43"/>
        <v>ON1</v>
      </c>
      <c r="H1275" s="10" t="s">
        <v>20</v>
      </c>
      <c r="I1275" s="10" t="s">
        <v>96</v>
      </c>
      <c r="J1275" s="10" t="str">
        <f>""</f>
        <v/>
      </c>
      <c r="K1275" s="10" t="str">
        <f>"PFES1162672016_0001"</f>
        <v>PFES1162672016_0001</v>
      </c>
      <c r="L1275" s="10">
        <v>1</v>
      </c>
      <c r="M1275" s="10">
        <v>1</v>
      </c>
    </row>
    <row r="1276" spans="1:13">
      <c r="A1276" s="6">
        <v>43504</v>
      </c>
      <c r="B1276" s="7">
        <v>0.44513888888888892</v>
      </c>
      <c r="C1276" s="10" t="str">
        <f>"FES1162672017"</f>
        <v>FES1162672017</v>
      </c>
      <c r="D1276" s="10" t="s">
        <v>18</v>
      </c>
      <c r="E1276" s="10" t="s">
        <v>454</v>
      </c>
      <c r="F1276" s="10" t="str">
        <f>"2170672521 "</f>
        <v xml:space="preserve">2170672521 </v>
      </c>
      <c r="G1276" s="10" t="str">
        <f t="shared" si="43"/>
        <v>ON1</v>
      </c>
      <c r="H1276" s="10" t="s">
        <v>20</v>
      </c>
      <c r="I1276" s="10" t="s">
        <v>455</v>
      </c>
      <c r="J1276" s="10" t="str">
        <f>""</f>
        <v/>
      </c>
      <c r="K1276" s="10" t="str">
        <f>"PFES1162672017_0001"</f>
        <v>PFES1162672017_0001</v>
      </c>
      <c r="L1276" s="10">
        <v>1</v>
      </c>
      <c r="M1276" s="10">
        <v>1</v>
      </c>
    </row>
    <row r="1277" spans="1:13">
      <c r="A1277" s="6">
        <v>43504</v>
      </c>
      <c r="B1277" s="7">
        <v>0.44444444444444442</v>
      </c>
      <c r="C1277" s="10" t="str">
        <f>"FES1162671994"</f>
        <v>FES1162671994</v>
      </c>
      <c r="D1277" s="10" t="s">
        <v>18</v>
      </c>
      <c r="E1277" s="10" t="s">
        <v>730</v>
      </c>
      <c r="F1277" s="10" t="str">
        <f>"2170672931 "</f>
        <v xml:space="preserve">2170672931 </v>
      </c>
      <c r="G1277" s="10" t="str">
        <f t="shared" si="43"/>
        <v>ON1</v>
      </c>
      <c r="H1277" s="10" t="s">
        <v>20</v>
      </c>
      <c r="I1277" s="10" t="s">
        <v>731</v>
      </c>
      <c r="J1277" s="10" t="str">
        <f>""</f>
        <v/>
      </c>
      <c r="K1277" s="10" t="str">
        <f>"PFES1162671994_0001"</f>
        <v>PFES1162671994_0001</v>
      </c>
      <c r="L1277" s="10">
        <v>1</v>
      </c>
      <c r="M1277" s="10">
        <v>1</v>
      </c>
    </row>
    <row r="1278" spans="1:13">
      <c r="A1278" s="6">
        <v>43504</v>
      </c>
      <c r="B1278" s="7">
        <v>0.44444444444444442</v>
      </c>
      <c r="C1278" s="10" t="str">
        <f>"FES1162672000"</f>
        <v>FES1162672000</v>
      </c>
      <c r="D1278" s="10" t="s">
        <v>18</v>
      </c>
      <c r="E1278" s="10" t="s">
        <v>129</v>
      </c>
      <c r="F1278" s="10" t="str">
        <f>"2170673306 "</f>
        <v xml:space="preserve">2170673306 </v>
      </c>
      <c r="G1278" s="10" t="str">
        <f t="shared" si="43"/>
        <v>ON1</v>
      </c>
      <c r="H1278" s="10" t="s">
        <v>20</v>
      </c>
      <c r="I1278" s="10" t="s">
        <v>130</v>
      </c>
      <c r="J1278" s="10" t="str">
        <f>""</f>
        <v/>
      </c>
      <c r="K1278" s="10" t="str">
        <f>"PFES1162672000_0001"</f>
        <v>PFES1162672000_0001</v>
      </c>
      <c r="L1278" s="10">
        <v>1</v>
      </c>
      <c r="M1278" s="10">
        <v>1</v>
      </c>
    </row>
    <row r="1279" spans="1:13">
      <c r="A1279" s="6">
        <v>43504</v>
      </c>
      <c r="B1279" s="7">
        <v>0.44444444444444442</v>
      </c>
      <c r="C1279" s="10" t="str">
        <f>"FES1162672030"</f>
        <v>FES1162672030</v>
      </c>
      <c r="D1279" s="10" t="s">
        <v>18</v>
      </c>
      <c r="E1279" s="10" t="s">
        <v>47</v>
      </c>
      <c r="F1279" s="10" t="str">
        <f>"2170673322 "</f>
        <v xml:space="preserve">2170673322 </v>
      </c>
      <c r="G1279" s="10" t="str">
        <f t="shared" si="43"/>
        <v>ON1</v>
      </c>
      <c r="H1279" s="10" t="s">
        <v>20</v>
      </c>
      <c r="I1279" s="10" t="s">
        <v>48</v>
      </c>
      <c r="J1279" s="10" t="str">
        <f>""</f>
        <v/>
      </c>
      <c r="K1279" s="10" t="str">
        <f>"PFES1162672030_0001"</f>
        <v>PFES1162672030_0001</v>
      </c>
      <c r="L1279" s="10">
        <v>1</v>
      </c>
      <c r="M1279" s="10">
        <v>1</v>
      </c>
    </row>
    <row r="1280" spans="1:13">
      <c r="A1280" s="6">
        <v>43504</v>
      </c>
      <c r="B1280" s="7">
        <v>0.44375000000000003</v>
      </c>
      <c r="C1280" s="10" t="str">
        <f>"FES1162672009"</f>
        <v>FES1162672009</v>
      </c>
      <c r="D1280" s="10" t="s">
        <v>18</v>
      </c>
      <c r="E1280" s="10" t="s">
        <v>186</v>
      </c>
      <c r="F1280" s="10" t="str">
        <f>"2170671752 "</f>
        <v xml:space="preserve">2170671752 </v>
      </c>
      <c r="G1280" s="10" t="str">
        <f t="shared" si="43"/>
        <v>ON1</v>
      </c>
      <c r="H1280" s="10" t="s">
        <v>20</v>
      </c>
      <c r="I1280" s="10" t="s">
        <v>48</v>
      </c>
      <c r="J1280" s="10" t="str">
        <f>""</f>
        <v/>
      </c>
      <c r="K1280" s="10" t="str">
        <f>"PFES1162672009_0001"</f>
        <v>PFES1162672009_0001</v>
      </c>
      <c r="L1280" s="10">
        <v>1</v>
      </c>
      <c r="M1280" s="10">
        <v>1</v>
      </c>
    </row>
    <row r="1281" spans="1:13">
      <c r="A1281" s="6">
        <v>43504</v>
      </c>
      <c r="B1281" s="7">
        <v>0.44375000000000003</v>
      </c>
      <c r="C1281" s="10" t="str">
        <f>"FES1162672022"</f>
        <v>FES1162672022</v>
      </c>
      <c r="D1281" s="10" t="s">
        <v>18</v>
      </c>
      <c r="E1281" s="10" t="s">
        <v>30</v>
      </c>
      <c r="F1281" s="10" t="str">
        <f>"2170673308 "</f>
        <v xml:space="preserve">2170673308 </v>
      </c>
      <c r="G1281" s="10" t="str">
        <f t="shared" si="43"/>
        <v>ON1</v>
      </c>
      <c r="H1281" s="10" t="s">
        <v>20</v>
      </c>
      <c r="I1281" s="10" t="s">
        <v>31</v>
      </c>
      <c r="J1281" s="10" t="str">
        <f>""</f>
        <v/>
      </c>
      <c r="K1281" s="10" t="str">
        <f>"PFES1162672022_0001"</f>
        <v>PFES1162672022_0001</v>
      </c>
      <c r="L1281" s="10">
        <v>1</v>
      </c>
      <c r="M1281" s="10">
        <v>1</v>
      </c>
    </row>
    <row r="1282" spans="1:13">
      <c r="A1282" s="6">
        <v>43507</v>
      </c>
      <c r="B1282" s="7">
        <v>0.69305555555555554</v>
      </c>
      <c r="C1282" s="11" t="str">
        <f>"FES1162672375"</f>
        <v>FES1162672375</v>
      </c>
      <c r="D1282" s="11" t="s">
        <v>18</v>
      </c>
      <c r="E1282" s="11" t="s">
        <v>581</v>
      </c>
      <c r="F1282" s="11" t="str">
        <f>"2170673697 "</f>
        <v xml:space="preserve">2170673697 </v>
      </c>
      <c r="G1282" s="11" t="str">
        <f t="shared" si="43"/>
        <v>ON1</v>
      </c>
      <c r="H1282" s="11" t="s">
        <v>20</v>
      </c>
      <c r="I1282" s="11" t="s">
        <v>504</v>
      </c>
      <c r="J1282" s="11" t="str">
        <f>""</f>
        <v/>
      </c>
      <c r="K1282" s="11" t="str">
        <f>"PFES1162672375_0001"</f>
        <v>PFES1162672375_0001</v>
      </c>
      <c r="L1282" s="11">
        <v>1</v>
      </c>
      <c r="M1282" s="11">
        <v>6</v>
      </c>
    </row>
    <row r="1283" spans="1:13">
      <c r="A1283" s="6">
        <v>43507</v>
      </c>
      <c r="B1283" s="7">
        <v>0.69166666666666676</v>
      </c>
      <c r="C1283" s="11" t="str">
        <f>"FES1162672410"</f>
        <v>FES1162672410</v>
      </c>
      <c r="D1283" s="11" t="s">
        <v>18</v>
      </c>
      <c r="E1283" s="11" t="s">
        <v>64</v>
      </c>
      <c r="F1283" s="11" t="str">
        <f>"2170673745 "</f>
        <v xml:space="preserve">2170673745 </v>
      </c>
      <c r="G1283" s="11" t="str">
        <f t="shared" si="43"/>
        <v>ON1</v>
      </c>
      <c r="H1283" s="11" t="s">
        <v>20</v>
      </c>
      <c r="I1283" s="11" t="s">
        <v>65</v>
      </c>
      <c r="J1283" s="11" t="str">
        <f>""</f>
        <v/>
      </c>
      <c r="K1283" s="11" t="str">
        <f>"PFES1162672410_0001"</f>
        <v>PFES1162672410_0001</v>
      </c>
      <c r="L1283" s="11">
        <v>1</v>
      </c>
      <c r="M1283" s="11">
        <v>3</v>
      </c>
    </row>
    <row r="1284" spans="1:13">
      <c r="A1284" s="6">
        <v>43507</v>
      </c>
      <c r="B1284" s="7">
        <v>0.69097222222222221</v>
      </c>
      <c r="C1284" s="11" t="str">
        <f>"FES1162672371"</f>
        <v>FES1162672371</v>
      </c>
      <c r="D1284" s="11" t="s">
        <v>18</v>
      </c>
      <c r="E1284" s="11" t="s">
        <v>732</v>
      </c>
      <c r="F1284" s="11" t="str">
        <f>"2170672991 "</f>
        <v xml:space="preserve">2170672991 </v>
      </c>
      <c r="G1284" s="11" t="str">
        <f t="shared" si="43"/>
        <v>ON1</v>
      </c>
      <c r="H1284" s="11" t="s">
        <v>20</v>
      </c>
      <c r="I1284" s="11" t="s">
        <v>158</v>
      </c>
      <c r="J1284" s="11" t="str">
        <f>""</f>
        <v/>
      </c>
      <c r="K1284" s="11" t="str">
        <f>"PFES1162672371_0001"</f>
        <v>PFES1162672371_0001</v>
      </c>
      <c r="L1284" s="11">
        <v>2</v>
      </c>
      <c r="M1284" s="11">
        <v>5</v>
      </c>
    </row>
    <row r="1285" spans="1:13">
      <c r="A1285" s="6">
        <v>43496</v>
      </c>
      <c r="B1285" s="7">
        <v>0.68541666666666667</v>
      </c>
      <c r="C1285" s="11" t="str">
        <f>"FES1162672371"</f>
        <v>FES1162672371</v>
      </c>
      <c r="D1285" s="11" t="s">
        <v>18</v>
      </c>
      <c r="E1285" s="11" t="s">
        <v>120</v>
      </c>
      <c r="F1285" s="11" t="str">
        <f>"2170669140 "</f>
        <v xml:space="preserve">2170669140 </v>
      </c>
      <c r="G1285" s="11" t="str">
        <f t="shared" si="43"/>
        <v>ON1</v>
      </c>
      <c r="H1285" s="11" t="s">
        <v>20</v>
      </c>
      <c r="I1285" s="11" t="s">
        <v>121</v>
      </c>
      <c r="J1285" s="11" t="str">
        <f>"SEND ON1 AS PER TONY"</f>
        <v>SEND ON1 AS PER TONY</v>
      </c>
      <c r="K1285" s="11" t="str">
        <f>"PFES1162672371_0002"</f>
        <v>PFES1162672371_0002</v>
      </c>
      <c r="L1285" s="11">
        <v>2</v>
      </c>
      <c r="M1285" s="11">
        <v>26</v>
      </c>
    </row>
    <row r="1286" spans="1:13">
      <c r="A1286" s="6">
        <v>43507</v>
      </c>
      <c r="B1286" s="7">
        <v>0.68888888888888899</v>
      </c>
      <c r="C1286" s="11" t="str">
        <f>"FES1162672411"</f>
        <v>FES1162672411</v>
      </c>
      <c r="D1286" s="11" t="s">
        <v>18</v>
      </c>
      <c r="E1286" s="11" t="s">
        <v>733</v>
      </c>
      <c r="F1286" s="11" t="str">
        <f>"2170673604 "</f>
        <v xml:space="preserve">2170673604 </v>
      </c>
      <c r="G1286" s="11" t="str">
        <f t="shared" si="43"/>
        <v>ON1</v>
      </c>
      <c r="H1286" s="11" t="s">
        <v>20</v>
      </c>
      <c r="I1286" s="11" t="s">
        <v>143</v>
      </c>
      <c r="J1286" s="11" t="str">
        <f>""</f>
        <v/>
      </c>
      <c r="K1286" s="11" t="str">
        <f>"PFES1162672411_0001"</f>
        <v>PFES1162672411_0001</v>
      </c>
      <c r="L1286" s="11">
        <v>2</v>
      </c>
      <c r="M1286" s="11">
        <v>17</v>
      </c>
    </row>
    <row r="1287" spans="1:13">
      <c r="A1287" s="6">
        <v>43496</v>
      </c>
      <c r="B1287" s="7">
        <v>0.68541666666666667</v>
      </c>
      <c r="C1287" s="11" t="str">
        <f>"FES1162672411"</f>
        <v>FES1162672411</v>
      </c>
      <c r="D1287" s="11" t="s">
        <v>18</v>
      </c>
      <c r="E1287" s="11" t="s">
        <v>734</v>
      </c>
      <c r="F1287" s="11" t="str">
        <f>"2170671863 "</f>
        <v xml:space="preserve">2170671863 </v>
      </c>
      <c r="G1287" s="11" t="str">
        <f t="shared" si="43"/>
        <v>ON1</v>
      </c>
      <c r="H1287" s="11" t="s">
        <v>20</v>
      </c>
      <c r="I1287" s="11" t="s">
        <v>29</v>
      </c>
      <c r="J1287" s="11" t="str">
        <f>""</f>
        <v/>
      </c>
      <c r="K1287" s="11" t="str">
        <f>"PFES1162672411_0002"</f>
        <v>PFES1162672411_0002</v>
      </c>
      <c r="L1287" s="11">
        <v>1</v>
      </c>
      <c r="M1287" s="11">
        <v>1</v>
      </c>
    </row>
    <row r="1288" spans="1:13">
      <c r="A1288" s="6">
        <v>43507</v>
      </c>
      <c r="B1288" s="7">
        <v>0.68819444444444444</v>
      </c>
      <c r="C1288" s="11" t="str">
        <f>"FES1162672350"</f>
        <v>FES1162672350</v>
      </c>
      <c r="D1288" s="11" t="s">
        <v>18</v>
      </c>
      <c r="E1288" s="11" t="s">
        <v>735</v>
      </c>
      <c r="F1288" s="11" t="str">
        <f>"2170673671 "</f>
        <v xml:space="preserve">2170673671 </v>
      </c>
      <c r="G1288" s="11" t="str">
        <f t="shared" si="43"/>
        <v>ON1</v>
      </c>
      <c r="H1288" s="11" t="s">
        <v>20</v>
      </c>
      <c r="I1288" s="11" t="s">
        <v>65</v>
      </c>
      <c r="J1288" s="11" t="str">
        <f>""</f>
        <v/>
      </c>
      <c r="K1288" s="11" t="str">
        <f>"PFES1162672350_0001"</f>
        <v>PFES1162672350_0001</v>
      </c>
      <c r="L1288" s="11">
        <v>1</v>
      </c>
      <c r="M1288" s="11">
        <v>4</v>
      </c>
    </row>
    <row r="1289" spans="1:13">
      <c r="A1289" s="6">
        <v>43507</v>
      </c>
      <c r="B1289" s="7">
        <v>0.6875</v>
      </c>
      <c r="C1289" s="11" t="str">
        <f>"FES1162672406"</f>
        <v>FES1162672406</v>
      </c>
      <c r="D1289" s="11" t="s">
        <v>18</v>
      </c>
      <c r="E1289" s="11" t="s">
        <v>354</v>
      </c>
      <c r="F1289" s="11" t="str">
        <f>"2170673737 "</f>
        <v xml:space="preserve">2170673737 </v>
      </c>
      <c r="G1289" s="11" t="str">
        <f t="shared" si="43"/>
        <v>ON1</v>
      </c>
      <c r="H1289" s="11" t="s">
        <v>20</v>
      </c>
      <c r="I1289" s="11" t="s">
        <v>63</v>
      </c>
      <c r="J1289" s="11" t="str">
        <f>""</f>
        <v/>
      </c>
      <c r="K1289" s="11" t="str">
        <f>"PFES1162672406_0001"</f>
        <v>PFES1162672406_0001</v>
      </c>
      <c r="L1289" s="11">
        <v>1</v>
      </c>
      <c r="M1289" s="11">
        <v>1</v>
      </c>
    </row>
    <row r="1290" spans="1:13">
      <c r="A1290" s="6">
        <v>43507</v>
      </c>
      <c r="B1290" s="7">
        <v>0.6875</v>
      </c>
      <c r="C1290" s="11" t="str">
        <f>"FES1162672413"</f>
        <v>FES1162672413</v>
      </c>
      <c r="D1290" s="11" t="s">
        <v>18</v>
      </c>
      <c r="E1290" s="11" t="s">
        <v>250</v>
      </c>
      <c r="F1290" s="11" t="str">
        <f>"2170669931 "</f>
        <v xml:space="preserve">2170669931 </v>
      </c>
      <c r="G1290" s="11" t="str">
        <f t="shared" si="43"/>
        <v>ON1</v>
      </c>
      <c r="H1290" s="11" t="s">
        <v>20</v>
      </c>
      <c r="I1290" s="11" t="s">
        <v>143</v>
      </c>
      <c r="J1290" s="11" t="str">
        <f>""</f>
        <v/>
      </c>
      <c r="K1290" s="11" t="str">
        <f>"PFES1162672413_0001"</f>
        <v>PFES1162672413_0001</v>
      </c>
      <c r="L1290" s="11">
        <v>1</v>
      </c>
      <c r="M1290" s="11">
        <v>1</v>
      </c>
    </row>
    <row r="1291" spans="1:13">
      <c r="A1291" s="6">
        <v>43507</v>
      </c>
      <c r="B1291" s="7">
        <v>0.6875</v>
      </c>
      <c r="C1291" s="11" t="str">
        <f>"FES1162672417"</f>
        <v>FES1162672417</v>
      </c>
      <c r="D1291" s="11" t="s">
        <v>18</v>
      </c>
      <c r="E1291" s="11" t="s">
        <v>235</v>
      </c>
      <c r="F1291" s="11" t="str">
        <f>"2170673751 "</f>
        <v xml:space="preserve">2170673751 </v>
      </c>
      <c r="G1291" s="11" t="str">
        <f t="shared" si="43"/>
        <v>ON1</v>
      </c>
      <c r="H1291" s="11" t="s">
        <v>20</v>
      </c>
      <c r="I1291" s="11" t="s">
        <v>143</v>
      </c>
      <c r="J1291" s="11" t="str">
        <f>""</f>
        <v/>
      </c>
      <c r="K1291" s="11" t="str">
        <f>"PFES1162672417_0001"</f>
        <v>PFES1162672417_0001</v>
      </c>
      <c r="L1291" s="11">
        <v>1</v>
      </c>
      <c r="M1291" s="11">
        <v>1</v>
      </c>
    </row>
    <row r="1292" spans="1:13">
      <c r="A1292" s="6">
        <v>43507</v>
      </c>
      <c r="B1292" s="7">
        <v>0.68680555555555556</v>
      </c>
      <c r="C1292" s="11" t="str">
        <f>"FES1162672407"</f>
        <v>FES1162672407</v>
      </c>
      <c r="D1292" s="11" t="s">
        <v>18</v>
      </c>
      <c r="E1292" s="11" t="s">
        <v>736</v>
      </c>
      <c r="F1292" s="11" t="str">
        <f>"2170673738 "</f>
        <v xml:space="preserve">2170673738 </v>
      </c>
      <c r="G1292" s="11" t="str">
        <f t="shared" si="43"/>
        <v>ON1</v>
      </c>
      <c r="H1292" s="11" t="s">
        <v>20</v>
      </c>
      <c r="I1292" s="11" t="s">
        <v>737</v>
      </c>
      <c r="J1292" s="11" t="str">
        <f>""</f>
        <v/>
      </c>
      <c r="K1292" s="11" t="str">
        <f>"PFES1162672407_0001"</f>
        <v>PFES1162672407_0001</v>
      </c>
      <c r="L1292" s="11">
        <v>1</v>
      </c>
      <c r="M1292" s="11">
        <v>1</v>
      </c>
    </row>
    <row r="1293" spans="1:13">
      <c r="A1293" s="6">
        <v>43507</v>
      </c>
      <c r="B1293" s="7">
        <v>0.68680555555555556</v>
      </c>
      <c r="C1293" s="11" t="str">
        <f>"FES1162672414"</f>
        <v>FES1162672414</v>
      </c>
      <c r="D1293" s="11" t="s">
        <v>18</v>
      </c>
      <c r="E1293" s="11" t="s">
        <v>263</v>
      </c>
      <c r="F1293" s="11" t="str">
        <f>"2170673740 "</f>
        <v xml:space="preserve">2170673740 </v>
      </c>
      <c r="G1293" s="11" t="str">
        <f t="shared" si="43"/>
        <v>ON1</v>
      </c>
      <c r="H1293" s="11" t="s">
        <v>20</v>
      </c>
      <c r="I1293" s="11" t="s">
        <v>182</v>
      </c>
      <c r="J1293" s="11" t="str">
        <f>""</f>
        <v/>
      </c>
      <c r="K1293" s="11" t="str">
        <f>"PFES1162672414_0001"</f>
        <v>PFES1162672414_0001</v>
      </c>
      <c r="L1293" s="11">
        <v>1</v>
      </c>
      <c r="M1293" s="11">
        <v>2</v>
      </c>
    </row>
    <row r="1294" spans="1:13">
      <c r="A1294" s="6">
        <v>43507</v>
      </c>
      <c r="B1294" s="7">
        <v>0.68611111111111101</v>
      </c>
      <c r="C1294" s="11" t="str">
        <f>"FES1162672405"</f>
        <v>FES1162672405</v>
      </c>
      <c r="D1294" s="11" t="s">
        <v>18</v>
      </c>
      <c r="E1294" s="11" t="s">
        <v>606</v>
      </c>
      <c r="F1294" s="11" t="str">
        <f>"2170673736 "</f>
        <v xml:space="preserve">2170673736 </v>
      </c>
      <c r="G1294" s="11" t="str">
        <f t="shared" si="43"/>
        <v>ON1</v>
      </c>
      <c r="H1294" s="11" t="s">
        <v>20</v>
      </c>
      <c r="I1294" s="11" t="s">
        <v>124</v>
      </c>
      <c r="J1294" s="11" t="str">
        <f>""</f>
        <v/>
      </c>
      <c r="K1294" s="11" t="str">
        <f>"PFES1162672405_0001"</f>
        <v>PFES1162672405_0001</v>
      </c>
      <c r="L1294" s="11">
        <v>1</v>
      </c>
      <c r="M1294" s="11">
        <v>4</v>
      </c>
    </row>
    <row r="1295" spans="1:13">
      <c r="A1295" s="6">
        <v>43507</v>
      </c>
      <c r="B1295" s="7">
        <v>0.68541666666666667</v>
      </c>
      <c r="C1295" s="11" t="str">
        <f>"FES1162672408"</f>
        <v>FES1162672408</v>
      </c>
      <c r="D1295" s="11" t="s">
        <v>18</v>
      </c>
      <c r="E1295" s="11" t="s">
        <v>606</v>
      </c>
      <c r="F1295" s="11" t="str">
        <f>"2170673741 "</f>
        <v xml:space="preserve">2170673741 </v>
      </c>
      <c r="G1295" s="11" t="str">
        <f t="shared" si="43"/>
        <v>ON1</v>
      </c>
      <c r="H1295" s="11" t="s">
        <v>20</v>
      </c>
      <c r="I1295" s="11" t="s">
        <v>124</v>
      </c>
      <c r="J1295" s="11" t="str">
        <f>""</f>
        <v/>
      </c>
      <c r="K1295" s="11" t="str">
        <f>"PFES1162672408_0001"</f>
        <v>PFES1162672408_0001</v>
      </c>
      <c r="L1295" s="11">
        <v>1</v>
      </c>
      <c r="M1295" s="11">
        <v>4</v>
      </c>
    </row>
    <row r="1296" spans="1:13">
      <c r="A1296" s="6">
        <v>43507</v>
      </c>
      <c r="B1296" s="7">
        <v>0.68541666666666667</v>
      </c>
      <c r="C1296" s="11" t="str">
        <f>"FES1162672243"</f>
        <v>FES1162672243</v>
      </c>
      <c r="D1296" s="11" t="s">
        <v>18</v>
      </c>
      <c r="E1296" s="11" t="s">
        <v>738</v>
      </c>
      <c r="F1296" s="11" t="str">
        <f>"2170673854 "</f>
        <v xml:space="preserve">2170673854 </v>
      </c>
      <c r="G1296" s="11" t="str">
        <f t="shared" si="43"/>
        <v>ON1</v>
      </c>
      <c r="H1296" s="11" t="s">
        <v>20</v>
      </c>
      <c r="I1296" s="11" t="s">
        <v>351</v>
      </c>
      <c r="J1296" s="11" t="str">
        <f>""</f>
        <v/>
      </c>
      <c r="K1296" s="11" t="str">
        <f>"PFES1162672243_0001"</f>
        <v>PFES1162672243_0001</v>
      </c>
      <c r="L1296" s="11">
        <v>1</v>
      </c>
      <c r="M1296" s="11">
        <v>1</v>
      </c>
    </row>
    <row r="1297" spans="1:13">
      <c r="A1297" s="6">
        <v>43507</v>
      </c>
      <c r="B1297" s="7">
        <v>0.68472222222222223</v>
      </c>
      <c r="C1297" s="11" t="str">
        <f>"FES1162672415"</f>
        <v>FES1162672415</v>
      </c>
      <c r="D1297" s="11" t="s">
        <v>18</v>
      </c>
      <c r="E1297" s="11" t="s">
        <v>180</v>
      </c>
      <c r="F1297" s="11" t="str">
        <f>"21706737460 "</f>
        <v xml:space="preserve">21706737460 </v>
      </c>
      <c r="G1297" s="11" t="str">
        <f t="shared" si="43"/>
        <v>ON1</v>
      </c>
      <c r="H1297" s="11" t="s">
        <v>20</v>
      </c>
      <c r="I1297" s="11" t="s">
        <v>93</v>
      </c>
      <c r="J1297" s="11" t="str">
        <f>""</f>
        <v/>
      </c>
      <c r="K1297" s="11" t="str">
        <f>"PFES1162672415_0001"</f>
        <v>PFES1162672415_0001</v>
      </c>
      <c r="L1297" s="11">
        <v>1</v>
      </c>
      <c r="M1297" s="11">
        <v>1</v>
      </c>
    </row>
    <row r="1298" spans="1:13">
      <c r="A1298" s="6">
        <v>43507</v>
      </c>
      <c r="B1298" s="7">
        <v>0.68472222222222223</v>
      </c>
      <c r="C1298" s="11" t="str">
        <f>"FES1162672318"</f>
        <v>FES1162672318</v>
      </c>
      <c r="D1298" s="11" t="s">
        <v>18</v>
      </c>
      <c r="E1298" s="11" t="s">
        <v>170</v>
      </c>
      <c r="F1298" s="11" t="str">
        <f>"2170673441 "</f>
        <v xml:space="preserve">2170673441 </v>
      </c>
      <c r="G1298" s="11" t="str">
        <f t="shared" si="43"/>
        <v>ON1</v>
      </c>
      <c r="H1298" s="11" t="s">
        <v>20</v>
      </c>
      <c r="I1298" s="11" t="s">
        <v>171</v>
      </c>
      <c r="J1298" s="11" t="str">
        <f>""</f>
        <v/>
      </c>
      <c r="K1298" s="11" t="str">
        <f>"PFES1162672318_0001"</f>
        <v>PFES1162672318_0001</v>
      </c>
      <c r="L1298" s="11">
        <v>1</v>
      </c>
      <c r="M1298" s="11">
        <v>1</v>
      </c>
    </row>
    <row r="1299" spans="1:13">
      <c r="A1299" s="6">
        <v>43507</v>
      </c>
      <c r="B1299" s="7">
        <v>0.68402777777777779</v>
      </c>
      <c r="C1299" s="11" t="str">
        <f>"FES1162672390"</f>
        <v>FES1162672390</v>
      </c>
      <c r="D1299" s="11" t="s">
        <v>18</v>
      </c>
      <c r="E1299" s="11" t="s">
        <v>672</v>
      </c>
      <c r="F1299" s="11" t="str">
        <f>"2170673720 "</f>
        <v xml:space="preserve">2170673720 </v>
      </c>
      <c r="G1299" s="11" t="str">
        <f t="shared" si="43"/>
        <v>ON1</v>
      </c>
      <c r="H1299" s="11" t="s">
        <v>20</v>
      </c>
      <c r="I1299" s="11" t="s">
        <v>31</v>
      </c>
      <c r="J1299" s="11" t="str">
        <f>""</f>
        <v/>
      </c>
      <c r="K1299" s="11" t="str">
        <f>"PFES1162672390_0001"</f>
        <v>PFES1162672390_0001</v>
      </c>
      <c r="L1299" s="11">
        <v>1</v>
      </c>
      <c r="M1299" s="11">
        <v>1</v>
      </c>
    </row>
    <row r="1300" spans="1:13">
      <c r="A1300" s="6">
        <v>43507</v>
      </c>
      <c r="B1300" s="7">
        <v>0.68402777777777779</v>
      </c>
      <c r="C1300" s="11" t="str">
        <f>"FES1162672396"</f>
        <v>FES1162672396</v>
      </c>
      <c r="D1300" s="11" t="s">
        <v>18</v>
      </c>
      <c r="E1300" s="11" t="s">
        <v>186</v>
      </c>
      <c r="F1300" s="11" t="str">
        <f>"2170673727 "</f>
        <v xml:space="preserve">2170673727 </v>
      </c>
      <c r="G1300" s="11" t="str">
        <f t="shared" si="43"/>
        <v>ON1</v>
      </c>
      <c r="H1300" s="11" t="s">
        <v>20</v>
      </c>
      <c r="I1300" s="11" t="s">
        <v>48</v>
      </c>
      <c r="J1300" s="11" t="str">
        <f>""</f>
        <v/>
      </c>
      <c r="K1300" s="11" t="str">
        <f>"PFES1162672396_0001"</f>
        <v>PFES1162672396_0001</v>
      </c>
      <c r="L1300" s="11">
        <v>1</v>
      </c>
      <c r="M1300" s="11">
        <v>1</v>
      </c>
    </row>
    <row r="1301" spans="1:13">
      <c r="A1301" s="6">
        <v>43507</v>
      </c>
      <c r="B1301" s="7">
        <v>0.68402777777777779</v>
      </c>
      <c r="C1301" s="11" t="str">
        <f>"FES1162672398"</f>
        <v>FES1162672398</v>
      </c>
      <c r="D1301" s="11" t="s">
        <v>18</v>
      </c>
      <c r="E1301" s="11" t="s">
        <v>120</v>
      </c>
      <c r="F1301" s="11" t="str">
        <f>"2170670246 "</f>
        <v xml:space="preserve">2170670246 </v>
      </c>
      <c r="G1301" s="11" t="str">
        <f t="shared" si="43"/>
        <v>ON1</v>
      </c>
      <c r="H1301" s="11" t="s">
        <v>20</v>
      </c>
      <c r="I1301" s="11" t="s">
        <v>121</v>
      </c>
      <c r="J1301" s="11" t="str">
        <f>""</f>
        <v/>
      </c>
      <c r="K1301" s="11" t="str">
        <f>"PFES1162672398_0001"</f>
        <v>PFES1162672398_0001</v>
      </c>
      <c r="L1301" s="11">
        <v>1</v>
      </c>
      <c r="M1301" s="11">
        <v>3</v>
      </c>
    </row>
    <row r="1302" spans="1:13">
      <c r="A1302" s="6">
        <v>43507</v>
      </c>
      <c r="B1302" s="7">
        <v>0.68402777777777779</v>
      </c>
      <c r="C1302" s="11" t="str">
        <f>"FES1162672404"</f>
        <v>FES1162672404</v>
      </c>
      <c r="D1302" s="11" t="s">
        <v>18</v>
      </c>
      <c r="E1302" s="11" t="s">
        <v>58</v>
      </c>
      <c r="F1302" s="11" t="str">
        <f>"2170673732 "</f>
        <v xml:space="preserve">2170673732 </v>
      </c>
      <c r="G1302" s="11" t="str">
        <f t="shared" si="43"/>
        <v>ON1</v>
      </c>
      <c r="H1302" s="11" t="s">
        <v>20</v>
      </c>
      <c r="I1302" s="11" t="s">
        <v>59</v>
      </c>
      <c r="J1302" s="11" t="str">
        <f>""</f>
        <v/>
      </c>
      <c r="K1302" s="11" t="str">
        <f>"PFES1162672404_0001"</f>
        <v>PFES1162672404_0001</v>
      </c>
      <c r="L1302" s="11">
        <v>1</v>
      </c>
      <c r="M1302" s="11">
        <v>1</v>
      </c>
    </row>
    <row r="1303" spans="1:13">
      <c r="A1303" s="6">
        <v>43507</v>
      </c>
      <c r="B1303" s="7">
        <v>0.68333333333333324</v>
      </c>
      <c r="C1303" s="11" t="str">
        <f>"FES1162672376"</f>
        <v>FES1162672376</v>
      </c>
      <c r="D1303" s="11" t="s">
        <v>18</v>
      </c>
      <c r="E1303" s="11" t="s">
        <v>129</v>
      </c>
      <c r="F1303" s="11" t="str">
        <f>"2170673698 "</f>
        <v xml:space="preserve">2170673698 </v>
      </c>
      <c r="G1303" s="11" t="str">
        <f t="shared" si="43"/>
        <v>ON1</v>
      </c>
      <c r="H1303" s="11" t="s">
        <v>20</v>
      </c>
      <c r="I1303" s="11" t="s">
        <v>130</v>
      </c>
      <c r="J1303" s="11" t="str">
        <f>""</f>
        <v/>
      </c>
      <c r="K1303" s="11" t="str">
        <f>"PFES1162672376_0001"</f>
        <v>PFES1162672376_0001</v>
      </c>
      <c r="L1303" s="11">
        <v>1</v>
      </c>
      <c r="M1303" s="11">
        <v>10</v>
      </c>
    </row>
    <row r="1304" spans="1:13">
      <c r="A1304" s="6">
        <v>43507</v>
      </c>
      <c r="B1304" s="7">
        <v>0.68194444444444446</v>
      </c>
      <c r="C1304" s="11" t="str">
        <f>"FES1162672370"</f>
        <v>FES1162672370</v>
      </c>
      <c r="D1304" s="11" t="s">
        <v>18</v>
      </c>
      <c r="E1304" s="11" t="s">
        <v>30</v>
      </c>
      <c r="F1304" s="11" t="str">
        <f>"2170673359 "</f>
        <v xml:space="preserve">2170673359 </v>
      </c>
      <c r="G1304" s="11" t="str">
        <f t="shared" si="43"/>
        <v>ON1</v>
      </c>
      <c r="H1304" s="11" t="s">
        <v>20</v>
      </c>
      <c r="I1304" s="11" t="s">
        <v>31</v>
      </c>
      <c r="J1304" s="11" t="str">
        <f>""</f>
        <v/>
      </c>
      <c r="K1304" s="11" t="str">
        <f>"PFES1162672370_0001"</f>
        <v>PFES1162672370_0001</v>
      </c>
      <c r="L1304" s="11">
        <v>1</v>
      </c>
      <c r="M1304" s="11">
        <v>14</v>
      </c>
    </row>
    <row r="1305" spans="1:13">
      <c r="A1305" s="6">
        <v>43507</v>
      </c>
      <c r="B1305" s="7">
        <v>0.68125000000000002</v>
      </c>
      <c r="C1305" s="11" t="str">
        <f>"FES1162672401"</f>
        <v>FES1162672401</v>
      </c>
      <c r="D1305" s="11" t="s">
        <v>18</v>
      </c>
      <c r="E1305" s="11" t="s">
        <v>38</v>
      </c>
      <c r="F1305" s="11" t="str">
        <f>"2170673733 "</f>
        <v xml:space="preserve">2170673733 </v>
      </c>
      <c r="G1305" s="11" t="str">
        <f t="shared" si="43"/>
        <v>ON1</v>
      </c>
      <c r="H1305" s="11" t="s">
        <v>20</v>
      </c>
      <c r="I1305" s="11" t="s">
        <v>39</v>
      </c>
      <c r="J1305" s="11" t="str">
        <f>""</f>
        <v/>
      </c>
      <c r="K1305" s="11" t="str">
        <f>"PFES1162672401_0001"</f>
        <v>PFES1162672401_0001</v>
      </c>
      <c r="L1305" s="11">
        <v>1</v>
      </c>
      <c r="M1305" s="11">
        <v>3</v>
      </c>
    </row>
    <row r="1306" spans="1:13">
      <c r="A1306" s="6">
        <v>43507</v>
      </c>
      <c r="B1306" s="7">
        <v>0.68055555555555547</v>
      </c>
      <c r="C1306" s="11" t="str">
        <f>"FES1162672379"</f>
        <v>FES1162672379</v>
      </c>
      <c r="D1306" s="11" t="s">
        <v>18</v>
      </c>
      <c r="E1306" s="11" t="s">
        <v>739</v>
      </c>
      <c r="F1306" s="11" t="str">
        <f>"2170665756 "</f>
        <v xml:space="preserve">2170665756 </v>
      </c>
      <c r="G1306" s="11" t="str">
        <f t="shared" si="43"/>
        <v>ON1</v>
      </c>
      <c r="H1306" s="11" t="s">
        <v>20</v>
      </c>
      <c r="I1306" s="11" t="s">
        <v>130</v>
      </c>
      <c r="J1306" s="11" t="str">
        <f>""</f>
        <v/>
      </c>
      <c r="K1306" s="11" t="str">
        <f>"PFES1162672379_0001"</f>
        <v>PFES1162672379_0001</v>
      </c>
      <c r="L1306" s="11">
        <v>1</v>
      </c>
      <c r="M1306" s="11">
        <v>2</v>
      </c>
    </row>
    <row r="1307" spans="1:13">
      <c r="A1307" s="6">
        <v>43507</v>
      </c>
      <c r="B1307" s="7">
        <v>0.6791666666666667</v>
      </c>
      <c r="C1307" s="11" t="str">
        <f>"FES1162672377"</f>
        <v>FES1162672377</v>
      </c>
      <c r="D1307" s="11" t="s">
        <v>18</v>
      </c>
      <c r="E1307" s="11" t="s">
        <v>138</v>
      </c>
      <c r="F1307" s="11" t="str">
        <f>"2170673701 "</f>
        <v xml:space="preserve">2170673701 </v>
      </c>
      <c r="G1307" s="11" t="str">
        <f t="shared" si="43"/>
        <v>ON1</v>
      </c>
      <c r="H1307" s="11" t="s">
        <v>20</v>
      </c>
      <c r="I1307" s="11" t="s">
        <v>139</v>
      </c>
      <c r="J1307" s="11" t="str">
        <f>""</f>
        <v/>
      </c>
      <c r="K1307" s="11" t="str">
        <f>"PFES1162672377_0001"</f>
        <v>PFES1162672377_0001</v>
      </c>
      <c r="L1307" s="11">
        <v>1</v>
      </c>
      <c r="M1307" s="11">
        <v>3</v>
      </c>
    </row>
    <row r="1308" spans="1:13">
      <c r="A1308" s="6">
        <v>43507</v>
      </c>
      <c r="B1308" s="7">
        <v>0.67847222222222225</v>
      </c>
      <c r="C1308" s="11" t="str">
        <f>"FES1162672264"</f>
        <v>FES1162672264</v>
      </c>
      <c r="D1308" s="11" t="s">
        <v>18</v>
      </c>
      <c r="E1308" s="11" t="s">
        <v>740</v>
      </c>
      <c r="F1308" s="11" t="str">
        <f>"2170673235 "</f>
        <v xml:space="preserve">2170673235 </v>
      </c>
      <c r="G1308" s="11" t="str">
        <f t="shared" si="43"/>
        <v>ON1</v>
      </c>
      <c r="H1308" s="11" t="s">
        <v>20</v>
      </c>
      <c r="I1308" s="11" t="s">
        <v>539</v>
      </c>
      <c r="J1308" s="11" t="str">
        <f>""</f>
        <v/>
      </c>
      <c r="K1308" s="11" t="str">
        <f>"PFES1162672264_0001"</f>
        <v>PFES1162672264_0001</v>
      </c>
      <c r="L1308" s="11">
        <v>1</v>
      </c>
      <c r="M1308" s="11">
        <v>3</v>
      </c>
    </row>
    <row r="1309" spans="1:13">
      <c r="A1309" s="6">
        <v>43507</v>
      </c>
      <c r="B1309" s="7">
        <v>0.67638888888888893</v>
      </c>
      <c r="C1309" s="11" t="str">
        <f>"FES1162672364"</f>
        <v>FES1162672364</v>
      </c>
      <c r="D1309" s="11" t="s">
        <v>18</v>
      </c>
      <c r="E1309" s="11" t="s">
        <v>129</v>
      </c>
      <c r="F1309" s="11" t="str">
        <f>"2170673523 "</f>
        <v xml:space="preserve">2170673523 </v>
      </c>
      <c r="G1309" s="11" t="str">
        <f t="shared" si="43"/>
        <v>ON1</v>
      </c>
      <c r="H1309" s="11" t="s">
        <v>20</v>
      </c>
      <c r="I1309" s="11" t="s">
        <v>130</v>
      </c>
      <c r="J1309" s="11" t="str">
        <f>""</f>
        <v/>
      </c>
      <c r="K1309" s="11" t="str">
        <f>"PFES1162672364_0001"</f>
        <v>PFES1162672364_0001</v>
      </c>
      <c r="L1309" s="11">
        <v>1</v>
      </c>
      <c r="M1309" s="11">
        <v>7</v>
      </c>
    </row>
    <row r="1310" spans="1:13">
      <c r="A1310" s="6">
        <v>43507</v>
      </c>
      <c r="B1310" s="7">
        <v>0.67569444444444438</v>
      </c>
      <c r="C1310" s="11" t="str">
        <f>"FES1162672313"</f>
        <v>FES1162672313</v>
      </c>
      <c r="D1310" s="11" t="s">
        <v>18</v>
      </c>
      <c r="E1310" s="11" t="s">
        <v>741</v>
      </c>
      <c r="F1310" s="11" t="str">
        <f>"2170673092 "</f>
        <v xml:space="preserve">2170673092 </v>
      </c>
      <c r="G1310" s="11" t="str">
        <f t="shared" si="43"/>
        <v>ON1</v>
      </c>
      <c r="H1310" s="11" t="s">
        <v>20</v>
      </c>
      <c r="I1310" s="11" t="s">
        <v>429</v>
      </c>
      <c r="J1310" s="11" t="str">
        <f>""</f>
        <v/>
      </c>
      <c r="K1310" s="11" t="str">
        <f>"PFES1162672313_0001"</f>
        <v>PFES1162672313_0001</v>
      </c>
      <c r="L1310" s="11">
        <v>1</v>
      </c>
      <c r="M1310" s="11">
        <v>5</v>
      </c>
    </row>
    <row r="1311" spans="1:13">
      <c r="A1311" s="6">
        <v>43507</v>
      </c>
      <c r="B1311" s="7">
        <v>0.67361111111111116</v>
      </c>
      <c r="C1311" s="11" t="str">
        <f>"FES1162672394"</f>
        <v>FES1162672394</v>
      </c>
      <c r="D1311" s="11" t="s">
        <v>18</v>
      </c>
      <c r="E1311" s="11" t="s">
        <v>223</v>
      </c>
      <c r="F1311" s="11" t="str">
        <f>"2170673725 "</f>
        <v xml:space="preserve">2170673725 </v>
      </c>
      <c r="G1311" s="11" t="str">
        <f t="shared" si="43"/>
        <v>ON1</v>
      </c>
      <c r="H1311" s="11" t="s">
        <v>20</v>
      </c>
      <c r="I1311" s="11" t="s">
        <v>81</v>
      </c>
      <c r="J1311" s="11" t="str">
        <f>""</f>
        <v/>
      </c>
      <c r="K1311" s="11" t="str">
        <f>"PFES1162672394_0001"</f>
        <v>PFES1162672394_0001</v>
      </c>
      <c r="L1311" s="11">
        <v>1</v>
      </c>
      <c r="M1311" s="11">
        <v>8</v>
      </c>
    </row>
    <row r="1312" spans="1:13">
      <c r="A1312" s="6">
        <v>43507</v>
      </c>
      <c r="B1312" s="7">
        <v>0.67222222222222217</v>
      </c>
      <c r="C1312" s="11" t="str">
        <f>"FES1162672389"</f>
        <v>FES1162672389</v>
      </c>
      <c r="D1312" s="11" t="s">
        <v>18</v>
      </c>
      <c r="E1312" s="11" t="s">
        <v>742</v>
      </c>
      <c r="F1312" s="11" t="str">
        <f>"2170672742 "</f>
        <v xml:space="preserve">2170672742 </v>
      </c>
      <c r="G1312" s="11" t="str">
        <f t="shared" si="43"/>
        <v>ON1</v>
      </c>
      <c r="H1312" s="11" t="s">
        <v>20</v>
      </c>
      <c r="I1312" s="11" t="s">
        <v>239</v>
      </c>
      <c r="J1312" s="11" t="str">
        <f>""</f>
        <v/>
      </c>
      <c r="K1312" s="11" t="str">
        <f>"PFES1162672389_0001"</f>
        <v>PFES1162672389_0001</v>
      </c>
      <c r="L1312" s="11">
        <v>1</v>
      </c>
      <c r="M1312" s="11">
        <v>7</v>
      </c>
    </row>
    <row r="1313" spans="1:13">
      <c r="A1313" s="6">
        <v>43507</v>
      </c>
      <c r="B1313" s="7">
        <v>0.67222222222222217</v>
      </c>
      <c r="C1313" s="11" t="str">
        <f>"FES1162672402"</f>
        <v>FES1162672402</v>
      </c>
      <c r="D1313" s="11" t="s">
        <v>18</v>
      </c>
      <c r="E1313" s="11" t="s">
        <v>129</v>
      </c>
      <c r="F1313" s="11" t="str">
        <f>"2170671070 "</f>
        <v xml:space="preserve">2170671070 </v>
      </c>
      <c r="G1313" s="11" t="str">
        <f t="shared" si="43"/>
        <v>ON1</v>
      </c>
      <c r="H1313" s="11" t="s">
        <v>20</v>
      </c>
      <c r="I1313" s="11" t="s">
        <v>130</v>
      </c>
      <c r="J1313" s="11" t="str">
        <f>""</f>
        <v/>
      </c>
      <c r="K1313" s="11" t="str">
        <f>"PFES1162672402_0001"</f>
        <v>PFES1162672402_0001</v>
      </c>
      <c r="L1313" s="11">
        <v>1</v>
      </c>
      <c r="M1313" s="11">
        <v>1</v>
      </c>
    </row>
    <row r="1314" spans="1:13">
      <c r="A1314" s="6">
        <v>43507</v>
      </c>
      <c r="B1314" s="7">
        <v>0.67152777777777783</v>
      </c>
      <c r="C1314" s="11" t="str">
        <f>"FES1162672391"</f>
        <v>FES1162672391</v>
      </c>
      <c r="D1314" s="11" t="s">
        <v>18</v>
      </c>
      <c r="E1314" s="11" t="s">
        <v>154</v>
      </c>
      <c r="F1314" s="11" t="str">
        <f>"2170673721 "</f>
        <v xml:space="preserve">2170673721 </v>
      </c>
      <c r="G1314" s="11" t="str">
        <f t="shared" si="43"/>
        <v>ON1</v>
      </c>
      <c r="H1314" s="11" t="s">
        <v>20</v>
      </c>
      <c r="I1314" s="11" t="s">
        <v>237</v>
      </c>
      <c r="J1314" s="11" t="str">
        <f>""</f>
        <v/>
      </c>
      <c r="K1314" s="11" t="str">
        <f>"PFES1162672391_0001"</f>
        <v>PFES1162672391_0001</v>
      </c>
      <c r="L1314" s="11">
        <v>1</v>
      </c>
      <c r="M1314" s="11">
        <v>3</v>
      </c>
    </row>
    <row r="1315" spans="1:13">
      <c r="A1315" s="6">
        <v>43507</v>
      </c>
      <c r="B1315" s="7">
        <v>0.67083333333333339</v>
      </c>
      <c r="C1315" s="11" t="str">
        <f>"FES1162672399"</f>
        <v>FES1162672399</v>
      </c>
      <c r="D1315" s="11" t="s">
        <v>18</v>
      </c>
      <c r="E1315" s="11" t="s">
        <v>190</v>
      </c>
      <c r="F1315" s="11" t="str">
        <f>"2170671760 "</f>
        <v xml:space="preserve">2170671760 </v>
      </c>
      <c r="G1315" s="11" t="str">
        <f t="shared" si="43"/>
        <v>ON1</v>
      </c>
      <c r="H1315" s="11" t="s">
        <v>20</v>
      </c>
      <c r="I1315" s="11" t="s">
        <v>362</v>
      </c>
      <c r="J1315" s="11" t="str">
        <f>""</f>
        <v/>
      </c>
      <c r="K1315" s="11" t="str">
        <f>"PFES1162672399_0001"</f>
        <v>PFES1162672399_0001</v>
      </c>
      <c r="L1315" s="11">
        <v>1</v>
      </c>
      <c r="M1315" s="11">
        <v>1</v>
      </c>
    </row>
    <row r="1316" spans="1:13">
      <c r="A1316" s="6">
        <v>43507</v>
      </c>
      <c r="B1316" s="7">
        <v>0.67013888888888884</v>
      </c>
      <c r="C1316" s="11" t="str">
        <f>"FES1162672265"</f>
        <v>FES1162672265</v>
      </c>
      <c r="D1316" s="11" t="s">
        <v>18</v>
      </c>
      <c r="E1316" s="11" t="s">
        <v>331</v>
      </c>
      <c r="F1316" s="11" t="str">
        <f>"2170663031 "</f>
        <v xml:space="preserve">2170663031 </v>
      </c>
      <c r="G1316" s="11" t="str">
        <f t="shared" si="43"/>
        <v>ON1</v>
      </c>
      <c r="H1316" s="11" t="s">
        <v>20</v>
      </c>
      <c r="I1316" s="11" t="s">
        <v>43</v>
      </c>
      <c r="J1316" s="11" t="str">
        <f>""</f>
        <v/>
      </c>
      <c r="K1316" s="11" t="str">
        <f>"PFES1162672265_0001"</f>
        <v>PFES1162672265_0001</v>
      </c>
      <c r="L1316" s="11">
        <v>1</v>
      </c>
      <c r="M1316" s="11">
        <v>6</v>
      </c>
    </row>
    <row r="1317" spans="1:13">
      <c r="A1317" s="6">
        <v>43507</v>
      </c>
      <c r="B1317" s="7">
        <v>0.6694444444444444</v>
      </c>
      <c r="C1317" s="11" t="str">
        <f>"FES1162672373"</f>
        <v>FES1162672373</v>
      </c>
      <c r="D1317" s="11" t="s">
        <v>18</v>
      </c>
      <c r="E1317" s="11" t="s">
        <v>590</v>
      </c>
      <c r="F1317" s="11" t="str">
        <f>"2170673694 "</f>
        <v xml:space="preserve">2170673694 </v>
      </c>
      <c r="G1317" s="11" t="str">
        <f t="shared" si="43"/>
        <v>ON1</v>
      </c>
      <c r="H1317" s="11" t="s">
        <v>20</v>
      </c>
      <c r="I1317" s="11" t="s">
        <v>99</v>
      </c>
      <c r="J1317" s="11" t="str">
        <f>""</f>
        <v/>
      </c>
      <c r="K1317" s="11" t="str">
        <f>"PFES1162672373_0001"</f>
        <v>PFES1162672373_0001</v>
      </c>
      <c r="L1317" s="11">
        <v>1</v>
      </c>
      <c r="M1317" s="11">
        <v>5</v>
      </c>
    </row>
    <row r="1318" spans="1:13">
      <c r="A1318" s="6">
        <v>43507</v>
      </c>
      <c r="B1318" s="7">
        <v>0.66805555555555562</v>
      </c>
      <c r="C1318" s="11" t="str">
        <f>"FES1162672352"</f>
        <v>FES1162672352</v>
      </c>
      <c r="D1318" s="11" t="s">
        <v>18</v>
      </c>
      <c r="E1318" s="11" t="s">
        <v>743</v>
      </c>
      <c r="F1318" s="11" t="str">
        <f>"2170673672 "</f>
        <v xml:space="preserve">2170673672 </v>
      </c>
      <c r="G1318" s="11" t="str">
        <f t="shared" si="43"/>
        <v>ON1</v>
      </c>
      <c r="H1318" s="11" t="s">
        <v>20</v>
      </c>
      <c r="I1318" s="11" t="s">
        <v>744</v>
      </c>
      <c r="J1318" s="11" t="str">
        <f>""</f>
        <v/>
      </c>
      <c r="K1318" s="11" t="str">
        <f>"PFES1162672352_0001"</f>
        <v>PFES1162672352_0001</v>
      </c>
      <c r="L1318" s="11">
        <v>1</v>
      </c>
      <c r="M1318" s="11">
        <v>8</v>
      </c>
    </row>
    <row r="1319" spans="1:13">
      <c r="A1319" s="6">
        <v>43507</v>
      </c>
      <c r="B1319" s="7">
        <v>0.66736111111111107</v>
      </c>
      <c r="C1319" s="11" t="str">
        <f>"FES1162672387"</f>
        <v>FES1162672387</v>
      </c>
      <c r="D1319" s="11" t="s">
        <v>18</v>
      </c>
      <c r="E1319" s="11" t="s">
        <v>140</v>
      </c>
      <c r="F1319" s="11" t="str">
        <f>"2170673715 "</f>
        <v xml:space="preserve">2170673715 </v>
      </c>
      <c r="G1319" s="11" t="str">
        <f t="shared" si="43"/>
        <v>ON1</v>
      </c>
      <c r="H1319" s="11" t="s">
        <v>20</v>
      </c>
      <c r="I1319" s="11" t="s">
        <v>141</v>
      </c>
      <c r="J1319" s="11" t="str">
        <f>""</f>
        <v/>
      </c>
      <c r="K1319" s="11" t="str">
        <f>"PFES1162672387_0001"</f>
        <v>PFES1162672387_0001</v>
      </c>
      <c r="L1319" s="11">
        <v>1</v>
      </c>
      <c r="M1319" s="11">
        <v>1</v>
      </c>
    </row>
    <row r="1320" spans="1:13">
      <c r="A1320" s="6">
        <v>43507</v>
      </c>
      <c r="B1320" s="7">
        <v>0.66666666666666663</v>
      </c>
      <c r="C1320" s="11" t="str">
        <f>"FES1162672388"</f>
        <v>FES1162672388</v>
      </c>
      <c r="D1320" s="11" t="s">
        <v>18</v>
      </c>
      <c r="E1320" s="11" t="s">
        <v>589</v>
      </c>
      <c r="F1320" s="11" t="str">
        <f>"2170673717 "</f>
        <v xml:space="preserve">2170673717 </v>
      </c>
      <c r="G1320" s="11" t="str">
        <f t="shared" si="43"/>
        <v>ON1</v>
      </c>
      <c r="H1320" s="11" t="s">
        <v>20</v>
      </c>
      <c r="I1320" s="11" t="s">
        <v>341</v>
      </c>
      <c r="J1320" s="11" t="str">
        <f>""</f>
        <v/>
      </c>
      <c r="K1320" s="11" t="str">
        <f>"PFES1162672388_0001"</f>
        <v>PFES1162672388_0001</v>
      </c>
      <c r="L1320" s="11">
        <v>1</v>
      </c>
      <c r="M1320" s="11">
        <v>1</v>
      </c>
    </row>
    <row r="1321" spans="1:13">
      <c r="A1321" s="6">
        <v>43507</v>
      </c>
      <c r="B1321" s="7">
        <v>0.66597222222222219</v>
      </c>
      <c r="C1321" s="11" t="str">
        <f>"FES1162672275"</f>
        <v>FES1162672275</v>
      </c>
      <c r="D1321" s="11" t="s">
        <v>18</v>
      </c>
      <c r="E1321" s="11" t="s">
        <v>200</v>
      </c>
      <c r="F1321" s="11" t="str">
        <f>"2170671875 "</f>
        <v xml:space="preserve">2170671875 </v>
      </c>
      <c r="G1321" s="11" t="str">
        <f t="shared" si="43"/>
        <v>ON1</v>
      </c>
      <c r="H1321" s="11" t="s">
        <v>20</v>
      </c>
      <c r="I1321" s="11" t="s">
        <v>201</v>
      </c>
      <c r="J1321" s="11" t="str">
        <f>""</f>
        <v/>
      </c>
      <c r="K1321" s="11" t="str">
        <f>"PFES1162672275_0001"</f>
        <v>PFES1162672275_0001</v>
      </c>
      <c r="L1321" s="11">
        <v>1</v>
      </c>
      <c r="M1321" s="11">
        <v>1</v>
      </c>
    </row>
    <row r="1322" spans="1:13">
      <c r="A1322" s="6">
        <v>43507</v>
      </c>
      <c r="B1322" s="7">
        <v>0.66597222222222219</v>
      </c>
      <c r="C1322" s="11" t="str">
        <f>"FES1162672393"</f>
        <v>FES1162672393</v>
      </c>
      <c r="D1322" s="11" t="s">
        <v>18</v>
      </c>
      <c r="E1322" s="11" t="s">
        <v>223</v>
      </c>
      <c r="F1322" s="11" t="str">
        <f>"2170673724 "</f>
        <v xml:space="preserve">2170673724 </v>
      </c>
      <c r="G1322" s="11" t="str">
        <f t="shared" si="43"/>
        <v>ON1</v>
      </c>
      <c r="H1322" s="11" t="s">
        <v>20</v>
      </c>
      <c r="I1322" s="11" t="s">
        <v>81</v>
      </c>
      <c r="J1322" s="11" t="str">
        <f>""</f>
        <v/>
      </c>
      <c r="K1322" s="11" t="str">
        <f>"PFES1162672393_0001"</f>
        <v>PFES1162672393_0001</v>
      </c>
      <c r="L1322" s="11">
        <v>1</v>
      </c>
      <c r="M1322" s="11">
        <v>1</v>
      </c>
    </row>
    <row r="1323" spans="1:13">
      <c r="A1323" s="6">
        <v>43507</v>
      </c>
      <c r="B1323" s="7">
        <v>0.6645833333333333</v>
      </c>
      <c r="C1323" s="11" t="str">
        <f>"FES1162672397"</f>
        <v>FES1162672397</v>
      </c>
      <c r="D1323" s="11" t="s">
        <v>18</v>
      </c>
      <c r="E1323" s="11" t="s">
        <v>78</v>
      </c>
      <c r="F1323" s="11" t="str">
        <f>"2170673728 "</f>
        <v xml:space="preserve">2170673728 </v>
      </c>
      <c r="G1323" s="11" t="str">
        <f t="shared" si="43"/>
        <v>ON1</v>
      </c>
      <c r="H1323" s="11" t="s">
        <v>20</v>
      </c>
      <c r="I1323" s="11" t="s">
        <v>79</v>
      </c>
      <c r="J1323" s="11" t="str">
        <f>""</f>
        <v/>
      </c>
      <c r="K1323" s="11" t="str">
        <f>"PFES1162672397_0001"</f>
        <v>PFES1162672397_0001</v>
      </c>
      <c r="L1323" s="11">
        <v>1</v>
      </c>
      <c r="M1323" s="11">
        <v>4</v>
      </c>
    </row>
    <row r="1324" spans="1:13">
      <c r="A1324" s="6">
        <v>43507</v>
      </c>
      <c r="B1324" s="7">
        <v>0.66388888888888886</v>
      </c>
      <c r="C1324" s="11" t="str">
        <f>"FES1162672366"</f>
        <v>FES1162672366</v>
      </c>
      <c r="D1324" s="11" t="s">
        <v>18</v>
      </c>
      <c r="E1324" s="11" t="s">
        <v>493</v>
      </c>
      <c r="F1324" s="11" t="str">
        <f>"2170673689 "</f>
        <v xml:space="preserve">2170673689 </v>
      </c>
      <c r="G1324" s="11" t="str">
        <f t="shared" si="43"/>
        <v>ON1</v>
      </c>
      <c r="H1324" s="11" t="s">
        <v>20</v>
      </c>
      <c r="I1324" s="11" t="s">
        <v>111</v>
      </c>
      <c r="J1324" s="11" t="str">
        <f>""</f>
        <v/>
      </c>
      <c r="K1324" s="11" t="str">
        <f>"PFES1162672366_0001"</f>
        <v>PFES1162672366_0001</v>
      </c>
      <c r="L1324" s="11">
        <v>1</v>
      </c>
      <c r="M1324" s="11">
        <v>5</v>
      </c>
    </row>
    <row r="1325" spans="1:13">
      <c r="A1325" s="6">
        <v>43507</v>
      </c>
      <c r="B1325" s="7">
        <v>0.66319444444444442</v>
      </c>
      <c r="C1325" s="11" t="str">
        <f>"FES1162672395"</f>
        <v>FES1162672395</v>
      </c>
      <c r="D1325" s="11" t="s">
        <v>18</v>
      </c>
      <c r="E1325" s="11" t="s">
        <v>150</v>
      </c>
      <c r="F1325" s="11" t="str">
        <f>"21706732726 "</f>
        <v xml:space="preserve">21706732726 </v>
      </c>
      <c r="G1325" s="11" t="str">
        <f t="shared" ref="G1325:G1388" si="44">"ON1"</f>
        <v>ON1</v>
      </c>
      <c r="H1325" s="11" t="s">
        <v>20</v>
      </c>
      <c r="I1325" s="11" t="s">
        <v>137</v>
      </c>
      <c r="J1325" s="11" t="str">
        <f>""</f>
        <v/>
      </c>
      <c r="K1325" s="11" t="str">
        <f>"PFES1162672395_0001"</f>
        <v>PFES1162672395_0001</v>
      </c>
      <c r="L1325" s="11">
        <v>1</v>
      </c>
      <c r="M1325" s="11">
        <v>1</v>
      </c>
    </row>
    <row r="1326" spans="1:13">
      <c r="A1326" s="6">
        <v>43507</v>
      </c>
      <c r="B1326" s="7">
        <v>0.66249999999999998</v>
      </c>
      <c r="C1326" s="11" t="str">
        <f>"FES1162672392"</f>
        <v>FES1162672392</v>
      </c>
      <c r="D1326" s="11" t="s">
        <v>18</v>
      </c>
      <c r="E1326" s="11" t="s">
        <v>159</v>
      </c>
      <c r="F1326" s="11" t="str">
        <f>"2170673723 "</f>
        <v xml:space="preserve">2170673723 </v>
      </c>
      <c r="G1326" s="11" t="str">
        <f t="shared" si="44"/>
        <v>ON1</v>
      </c>
      <c r="H1326" s="11" t="s">
        <v>20</v>
      </c>
      <c r="I1326" s="11" t="s">
        <v>137</v>
      </c>
      <c r="J1326" s="11" t="str">
        <f>""</f>
        <v/>
      </c>
      <c r="K1326" s="11" t="str">
        <f>"PFES1162672392_0001"</f>
        <v>PFES1162672392_0001</v>
      </c>
      <c r="L1326" s="11">
        <v>1</v>
      </c>
      <c r="M1326" s="11">
        <v>1</v>
      </c>
    </row>
    <row r="1327" spans="1:13">
      <c r="A1327" s="6">
        <v>43507</v>
      </c>
      <c r="B1327" s="7">
        <v>0.66249999999999998</v>
      </c>
      <c r="C1327" s="11" t="str">
        <f>"FES1162672385"</f>
        <v>FES1162672385</v>
      </c>
      <c r="D1327" s="11" t="s">
        <v>18</v>
      </c>
      <c r="E1327" s="11" t="s">
        <v>69</v>
      </c>
      <c r="F1327" s="11" t="str">
        <f>"2170673713 "</f>
        <v xml:space="preserve">2170673713 </v>
      </c>
      <c r="G1327" s="11" t="str">
        <f t="shared" si="44"/>
        <v>ON1</v>
      </c>
      <c r="H1327" s="11" t="s">
        <v>20</v>
      </c>
      <c r="I1327" s="11" t="s">
        <v>70</v>
      </c>
      <c r="J1327" s="11" t="str">
        <f>""</f>
        <v/>
      </c>
      <c r="K1327" s="11" t="str">
        <f>"PFES1162672385_0001"</f>
        <v>PFES1162672385_0001</v>
      </c>
      <c r="L1327" s="11">
        <v>1</v>
      </c>
      <c r="M1327" s="11">
        <v>1</v>
      </c>
    </row>
    <row r="1328" spans="1:13">
      <c r="A1328" s="6">
        <v>43507</v>
      </c>
      <c r="B1328" s="7">
        <v>0.65833333333333333</v>
      </c>
      <c r="C1328" s="11" t="str">
        <f>"FES1162672359"</f>
        <v>FES1162672359</v>
      </c>
      <c r="D1328" s="11" t="s">
        <v>18</v>
      </c>
      <c r="E1328" s="11" t="s">
        <v>138</v>
      </c>
      <c r="F1328" s="11" t="str">
        <f>"2170673681 "</f>
        <v xml:space="preserve">2170673681 </v>
      </c>
      <c r="G1328" s="11" t="str">
        <f t="shared" si="44"/>
        <v>ON1</v>
      </c>
      <c r="H1328" s="11" t="s">
        <v>20</v>
      </c>
      <c r="I1328" s="11" t="s">
        <v>139</v>
      </c>
      <c r="J1328" s="11" t="str">
        <f>""</f>
        <v/>
      </c>
      <c r="K1328" s="11" t="str">
        <f>"PFES1162672359_0001"</f>
        <v>PFES1162672359_0001</v>
      </c>
      <c r="L1328" s="11">
        <v>1</v>
      </c>
      <c r="M1328" s="11">
        <v>6</v>
      </c>
    </row>
    <row r="1329" spans="1:13">
      <c r="A1329" s="6">
        <v>43507</v>
      </c>
      <c r="B1329" s="7">
        <v>0.65763888888888888</v>
      </c>
      <c r="C1329" s="11" t="str">
        <f>"FES1162672331"</f>
        <v>FES1162672331</v>
      </c>
      <c r="D1329" s="11" t="s">
        <v>18</v>
      </c>
      <c r="E1329" s="11" t="s">
        <v>212</v>
      </c>
      <c r="F1329" s="11" t="str">
        <f>"2170673647 "</f>
        <v xml:space="preserve">2170673647 </v>
      </c>
      <c r="G1329" s="11" t="str">
        <f t="shared" si="44"/>
        <v>ON1</v>
      </c>
      <c r="H1329" s="11" t="s">
        <v>20</v>
      </c>
      <c r="I1329" s="11" t="s">
        <v>213</v>
      </c>
      <c r="J1329" s="11" t="str">
        <f>""</f>
        <v/>
      </c>
      <c r="K1329" s="11" t="str">
        <f>"PFES1162672331_0001"</f>
        <v>PFES1162672331_0001</v>
      </c>
      <c r="L1329" s="11">
        <v>1</v>
      </c>
      <c r="M1329" s="11">
        <v>10</v>
      </c>
    </row>
    <row r="1330" spans="1:13">
      <c r="A1330" s="6">
        <v>43507</v>
      </c>
      <c r="B1330" s="7">
        <v>0.65625</v>
      </c>
      <c r="C1330" s="11" t="str">
        <f>"FES1162672294"</f>
        <v>FES1162672294</v>
      </c>
      <c r="D1330" s="11" t="s">
        <v>18</v>
      </c>
      <c r="E1330" s="11" t="s">
        <v>745</v>
      </c>
      <c r="F1330" s="11" t="str">
        <f>"2170670435 "</f>
        <v xml:space="preserve">2170670435 </v>
      </c>
      <c r="G1330" s="11" t="str">
        <f t="shared" si="44"/>
        <v>ON1</v>
      </c>
      <c r="H1330" s="11" t="s">
        <v>20</v>
      </c>
      <c r="I1330" s="11" t="s">
        <v>258</v>
      </c>
      <c r="J1330" s="11" t="str">
        <f>""</f>
        <v/>
      </c>
      <c r="K1330" s="11" t="str">
        <f>"PFES1162672294_0001"</f>
        <v>PFES1162672294_0001</v>
      </c>
      <c r="L1330" s="11">
        <v>1</v>
      </c>
      <c r="M1330" s="11">
        <v>1</v>
      </c>
    </row>
    <row r="1331" spans="1:13">
      <c r="A1331" s="6">
        <v>43507</v>
      </c>
      <c r="B1331" s="7">
        <v>0.65625</v>
      </c>
      <c r="C1331" s="11" t="str">
        <f>"FES1162672367"</f>
        <v>FES1162672367</v>
      </c>
      <c r="D1331" s="11" t="s">
        <v>18</v>
      </c>
      <c r="E1331" s="11" t="s">
        <v>180</v>
      </c>
      <c r="F1331" s="11" t="str">
        <f>"217067390 "</f>
        <v xml:space="preserve">217067390 </v>
      </c>
      <c r="G1331" s="11" t="str">
        <f t="shared" si="44"/>
        <v>ON1</v>
      </c>
      <c r="H1331" s="11" t="s">
        <v>20</v>
      </c>
      <c r="I1331" s="11" t="s">
        <v>93</v>
      </c>
      <c r="J1331" s="11" t="str">
        <f>""</f>
        <v/>
      </c>
      <c r="K1331" s="11" t="str">
        <f>"PFES1162672367_0001"</f>
        <v>PFES1162672367_0001</v>
      </c>
      <c r="L1331" s="11">
        <v>1</v>
      </c>
      <c r="M1331" s="11">
        <v>1</v>
      </c>
    </row>
    <row r="1332" spans="1:13">
      <c r="A1332" s="6">
        <v>43507</v>
      </c>
      <c r="B1332" s="7">
        <v>0.65625</v>
      </c>
      <c r="C1332" s="11" t="str">
        <f>"FES1162672280"</f>
        <v>FES1162672280</v>
      </c>
      <c r="D1332" s="11" t="s">
        <v>18</v>
      </c>
      <c r="E1332" s="11" t="s">
        <v>610</v>
      </c>
      <c r="F1332" s="11" t="str">
        <f>"2170672595 "</f>
        <v xml:space="preserve">2170672595 </v>
      </c>
      <c r="G1332" s="11" t="str">
        <f t="shared" si="44"/>
        <v>ON1</v>
      </c>
      <c r="H1332" s="11" t="s">
        <v>20</v>
      </c>
      <c r="I1332" s="11" t="s">
        <v>272</v>
      </c>
      <c r="J1332" s="11" t="str">
        <f>""</f>
        <v/>
      </c>
      <c r="K1332" s="11" t="str">
        <f>"PFES1162672280_0001"</f>
        <v>PFES1162672280_0001</v>
      </c>
      <c r="L1332" s="11">
        <v>1</v>
      </c>
      <c r="M1332" s="11">
        <v>1</v>
      </c>
    </row>
    <row r="1333" spans="1:13">
      <c r="A1333" s="6">
        <v>43507</v>
      </c>
      <c r="B1333" s="7">
        <v>0.65555555555555556</v>
      </c>
      <c r="C1333" s="11" t="str">
        <f>"FES1162672285"</f>
        <v>FES1162672285</v>
      </c>
      <c r="D1333" s="11" t="s">
        <v>18</v>
      </c>
      <c r="E1333" s="11" t="s">
        <v>696</v>
      </c>
      <c r="F1333" s="11" t="str">
        <f>"2170673372 "</f>
        <v xml:space="preserve">2170673372 </v>
      </c>
      <c r="G1333" s="11" t="str">
        <f t="shared" si="44"/>
        <v>ON1</v>
      </c>
      <c r="H1333" s="11" t="s">
        <v>20</v>
      </c>
      <c r="I1333" s="11" t="s">
        <v>63</v>
      </c>
      <c r="J1333" s="11" t="str">
        <f>""</f>
        <v/>
      </c>
      <c r="K1333" s="11" t="str">
        <f>"PFES1162672285_0001"</f>
        <v>PFES1162672285_0001</v>
      </c>
      <c r="L1333" s="11">
        <v>1</v>
      </c>
      <c r="M1333" s="11">
        <v>1</v>
      </c>
    </row>
    <row r="1334" spans="1:13">
      <c r="A1334" s="6">
        <v>43507</v>
      </c>
      <c r="B1334" s="7">
        <v>0.65555555555555556</v>
      </c>
      <c r="C1334" s="11" t="str">
        <f>"FES1162672382"</f>
        <v>FES1162672382</v>
      </c>
      <c r="D1334" s="11" t="s">
        <v>18</v>
      </c>
      <c r="E1334" s="11" t="s">
        <v>138</v>
      </c>
      <c r="F1334" s="11" t="str">
        <f>"2170673705 "</f>
        <v xml:space="preserve">2170673705 </v>
      </c>
      <c r="G1334" s="11" t="str">
        <f t="shared" si="44"/>
        <v>ON1</v>
      </c>
      <c r="H1334" s="11" t="s">
        <v>20</v>
      </c>
      <c r="I1334" s="11" t="s">
        <v>139</v>
      </c>
      <c r="J1334" s="11" t="str">
        <f>""</f>
        <v/>
      </c>
      <c r="K1334" s="11" t="str">
        <f>"PFES1162672382_0001"</f>
        <v>PFES1162672382_0001</v>
      </c>
      <c r="L1334" s="11">
        <v>1</v>
      </c>
      <c r="M1334" s="11">
        <v>1</v>
      </c>
    </row>
    <row r="1335" spans="1:13">
      <c r="A1335" s="6">
        <v>43507</v>
      </c>
      <c r="B1335" s="7">
        <v>0.65555555555555556</v>
      </c>
      <c r="C1335" s="11" t="str">
        <f>"FES1162672284"</f>
        <v>FES1162672284</v>
      </c>
      <c r="D1335" s="11" t="s">
        <v>18</v>
      </c>
      <c r="E1335" s="11" t="s">
        <v>746</v>
      </c>
      <c r="F1335" s="11" t="str">
        <f>"2170673365 "</f>
        <v xml:space="preserve">2170673365 </v>
      </c>
      <c r="G1335" s="11" t="str">
        <f t="shared" si="44"/>
        <v>ON1</v>
      </c>
      <c r="H1335" s="11" t="s">
        <v>20</v>
      </c>
      <c r="I1335" s="11" t="s">
        <v>747</v>
      </c>
      <c r="J1335" s="11" t="str">
        <f>""</f>
        <v/>
      </c>
      <c r="K1335" s="11" t="str">
        <f>"PFES1162672284_0001"</f>
        <v>PFES1162672284_0001</v>
      </c>
      <c r="L1335" s="11">
        <v>1</v>
      </c>
      <c r="M1335" s="11">
        <v>1</v>
      </c>
    </row>
    <row r="1336" spans="1:13">
      <c r="A1336" s="6">
        <v>43507</v>
      </c>
      <c r="B1336" s="7">
        <v>0.65416666666666667</v>
      </c>
      <c r="C1336" s="11" t="str">
        <f>"FES1162672305"</f>
        <v>FES1162672305</v>
      </c>
      <c r="D1336" s="11" t="s">
        <v>18</v>
      </c>
      <c r="E1336" s="11" t="s">
        <v>140</v>
      </c>
      <c r="F1336" s="11" t="str">
        <f>"2170673635 "</f>
        <v xml:space="preserve">2170673635 </v>
      </c>
      <c r="G1336" s="11" t="str">
        <f t="shared" si="44"/>
        <v>ON1</v>
      </c>
      <c r="H1336" s="11" t="s">
        <v>20</v>
      </c>
      <c r="I1336" s="11" t="s">
        <v>141</v>
      </c>
      <c r="J1336" s="11" t="str">
        <f>""</f>
        <v/>
      </c>
      <c r="K1336" s="11" t="str">
        <f>"PFES1162672305_0001"</f>
        <v>PFES1162672305_0001</v>
      </c>
      <c r="L1336" s="11">
        <v>1</v>
      </c>
      <c r="M1336" s="11">
        <v>2</v>
      </c>
    </row>
    <row r="1337" spans="1:13">
      <c r="A1337" s="6">
        <v>43507</v>
      </c>
      <c r="B1337" s="7">
        <v>0.65347222222222223</v>
      </c>
      <c r="C1337" s="11" t="str">
        <f>"FES1162672306"</f>
        <v>FES1162672306</v>
      </c>
      <c r="D1337" s="11" t="s">
        <v>18</v>
      </c>
      <c r="E1337" s="11" t="s">
        <v>675</v>
      </c>
      <c r="F1337" s="11" t="str">
        <f>"2170673636 "</f>
        <v xml:space="preserve">2170673636 </v>
      </c>
      <c r="G1337" s="11" t="str">
        <f t="shared" si="44"/>
        <v>ON1</v>
      </c>
      <c r="H1337" s="11" t="s">
        <v>20</v>
      </c>
      <c r="I1337" s="11" t="s">
        <v>359</v>
      </c>
      <c r="J1337" s="11" t="str">
        <f>""</f>
        <v/>
      </c>
      <c r="K1337" s="11" t="str">
        <f>"PFES1162672306_0001"</f>
        <v>PFES1162672306_0001</v>
      </c>
      <c r="L1337" s="11">
        <v>1</v>
      </c>
      <c r="M1337" s="11">
        <v>1</v>
      </c>
    </row>
    <row r="1338" spans="1:13">
      <c r="A1338" s="6">
        <v>43507</v>
      </c>
      <c r="B1338" s="7">
        <v>0.65277777777777779</v>
      </c>
      <c r="C1338" s="11" t="str">
        <f>"FES1162672326"</f>
        <v>FES1162672326</v>
      </c>
      <c r="D1338" s="11" t="s">
        <v>18</v>
      </c>
      <c r="E1338" s="11" t="s">
        <v>748</v>
      </c>
      <c r="F1338" s="11" t="str">
        <f>"2170673642 "</f>
        <v xml:space="preserve">2170673642 </v>
      </c>
      <c r="G1338" s="11" t="str">
        <f t="shared" si="44"/>
        <v>ON1</v>
      </c>
      <c r="H1338" s="11" t="s">
        <v>20</v>
      </c>
      <c r="I1338" s="11" t="s">
        <v>341</v>
      </c>
      <c r="J1338" s="11" t="str">
        <f>""</f>
        <v/>
      </c>
      <c r="K1338" s="11" t="str">
        <f>"PFES1162672326_0001"</f>
        <v>PFES1162672326_0001</v>
      </c>
      <c r="L1338" s="11">
        <v>1</v>
      </c>
      <c r="M1338" s="11">
        <v>1</v>
      </c>
    </row>
    <row r="1339" spans="1:13">
      <c r="A1339" s="6">
        <v>43507</v>
      </c>
      <c r="B1339" s="7">
        <v>0.65208333333333335</v>
      </c>
      <c r="C1339" s="11" t="str">
        <f>"FES1162672383"</f>
        <v>FES1162672383</v>
      </c>
      <c r="D1339" s="11" t="s">
        <v>18</v>
      </c>
      <c r="E1339" s="11" t="s">
        <v>129</v>
      </c>
      <c r="F1339" s="11" t="str">
        <f>"2170673709 "</f>
        <v xml:space="preserve">2170673709 </v>
      </c>
      <c r="G1339" s="11" t="str">
        <f t="shared" si="44"/>
        <v>ON1</v>
      </c>
      <c r="H1339" s="11" t="s">
        <v>20</v>
      </c>
      <c r="I1339" s="11" t="s">
        <v>130</v>
      </c>
      <c r="J1339" s="11" t="str">
        <f>""</f>
        <v/>
      </c>
      <c r="K1339" s="11" t="str">
        <f>"PFES1162672383_0001"</f>
        <v>PFES1162672383_0001</v>
      </c>
      <c r="L1339" s="11">
        <v>1</v>
      </c>
      <c r="M1339" s="11">
        <v>1</v>
      </c>
    </row>
    <row r="1340" spans="1:13">
      <c r="A1340" s="6">
        <v>43507</v>
      </c>
      <c r="B1340" s="7">
        <v>0.65208333333333335</v>
      </c>
      <c r="C1340" s="11" t="str">
        <f>"FES1162672380"</f>
        <v>FES1162672380</v>
      </c>
      <c r="D1340" s="11" t="s">
        <v>18</v>
      </c>
      <c r="E1340" s="11" t="s">
        <v>749</v>
      </c>
      <c r="F1340" s="11" t="str">
        <f>"217067667076 "</f>
        <v xml:space="preserve">217067667076 </v>
      </c>
      <c r="G1340" s="11" t="str">
        <f t="shared" si="44"/>
        <v>ON1</v>
      </c>
      <c r="H1340" s="11" t="s">
        <v>20</v>
      </c>
      <c r="I1340" s="11" t="s">
        <v>239</v>
      </c>
      <c r="J1340" s="11" t="str">
        <f>""</f>
        <v/>
      </c>
      <c r="K1340" s="11" t="str">
        <f>"PFES1162672380_0001"</f>
        <v>PFES1162672380_0001</v>
      </c>
      <c r="L1340" s="11">
        <v>1</v>
      </c>
      <c r="M1340" s="11">
        <v>1</v>
      </c>
    </row>
    <row r="1341" spans="1:13">
      <c r="A1341" s="6">
        <v>43507</v>
      </c>
      <c r="B1341" s="7">
        <v>0.65208333333333335</v>
      </c>
      <c r="C1341" s="11" t="str">
        <f>"FES1162672311"</f>
        <v>FES1162672311</v>
      </c>
      <c r="D1341" s="11" t="s">
        <v>18</v>
      </c>
      <c r="E1341" s="11" t="s">
        <v>179</v>
      </c>
      <c r="F1341" s="11" t="str">
        <f>"2170673021 "</f>
        <v xml:space="preserve">2170673021 </v>
      </c>
      <c r="G1341" s="11" t="str">
        <f t="shared" si="44"/>
        <v>ON1</v>
      </c>
      <c r="H1341" s="11" t="s">
        <v>20</v>
      </c>
      <c r="I1341" s="11" t="s">
        <v>59</v>
      </c>
      <c r="J1341" s="11" t="str">
        <f>""</f>
        <v/>
      </c>
      <c r="K1341" s="11" t="str">
        <f>"PFES1162672311_0001"</f>
        <v>PFES1162672311_0001</v>
      </c>
      <c r="L1341" s="11">
        <v>1</v>
      </c>
      <c r="M1341" s="11">
        <v>2</v>
      </c>
    </row>
    <row r="1342" spans="1:13">
      <c r="A1342" s="6">
        <v>43507</v>
      </c>
      <c r="B1342" s="7">
        <v>0.65</v>
      </c>
      <c r="C1342" s="11" t="str">
        <f>"FES1162672237"</f>
        <v>FES1162672237</v>
      </c>
      <c r="D1342" s="11" t="s">
        <v>18</v>
      </c>
      <c r="E1342" s="11" t="s">
        <v>19</v>
      </c>
      <c r="F1342" s="11" t="str">
        <f>"2170673578 "</f>
        <v xml:space="preserve">2170673578 </v>
      </c>
      <c r="G1342" s="11" t="str">
        <f t="shared" si="44"/>
        <v>ON1</v>
      </c>
      <c r="H1342" s="11" t="s">
        <v>20</v>
      </c>
      <c r="I1342" s="11" t="s">
        <v>21</v>
      </c>
      <c r="J1342" s="11" t="str">
        <f>""</f>
        <v/>
      </c>
      <c r="K1342" s="11" t="str">
        <f>"PFES1162672237_0001"</f>
        <v>PFES1162672237_0001</v>
      </c>
      <c r="L1342" s="11">
        <v>1</v>
      </c>
      <c r="M1342" s="11">
        <v>5</v>
      </c>
    </row>
    <row r="1343" spans="1:13">
      <c r="A1343" s="6">
        <v>43507</v>
      </c>
      <c r="B1343" s="7">
        <v>0.64930555555555558</v>
      </c>
      <c r="C1343" s="11" t="str">
        <f>"FES1162672214"</f>
        <v>FES1162672214</v>
      </c>
      <c r="D1343" s="11" t="s">
        <v>18</v>
      </c>
      <c r="E1343" s="11" t="s">
        <v>19</v>
      </c>
      <c r="F1343" s="11" t="str">
        <f>"2170673542 "</f>
        <v xml:space="preserve">2170673542 </v>
      </c>
      <c r="G1343" s="11" t="str">
        <f t="shared" si="44"/>
        <v>ON1</v>
      </c>
      <c r="H1343" s="11" t="s">
        <v>20</v>
      </c>
      <c r="I1343" s="11" t="s">
        <v>21</v>
      </c>
      <c r="J1343" s="11" t="str">
        <f>""</f>
        <v/>
      </c>
      <c r="K1343" s="11" t="str">
        <f>"PFES1162672214_0001"</f>
        <v>PFES1162672214_0001</v>
      </c>
      <c r="L1343" s="11">
        <v>1</v>
      </c>
      <c r="M1343" s="11">
        <v>3</v>
      </c>
    </row>
    <row r="1344" spans="1:13">
      <c r="A1344" s="6">
        <v>43507</v>
      </c>
      <c r="B1344" s="7">
        <v>0.6479166666666667</v>
      </c>
      <c r="C1344" s="11" t="str">
        <f>"FES1162672319"</f>
        <v>FES1162672319</v>
      </c>
      <c r="D1344" s="11" t="s">
        <v>18</v>
      </c>
      <c r="E1344" s="11" t="s">
        <v>713</v>
      </c>
      <c r="F1344" s="11" t="str">
        <f>"2170673492 "</f>
        <v xml:space="preserve">2170673492 </v>
      </c>
      <c r="G1344" s="11" t="str">
        <f t="shared" si="44"/>
        <v>ON1</v>
      </c>
      <c r="H1344" s="11" t="s">
        <v>20</v>
      </c>
      <c r="I1344" s="11" t="s">
        <v>714</v>
      </c>
      <c r="J1344" s="11" t="str">
        <f>""</f>
        <v/>
      </c>
      <c r="K1344" s="11" t="str">
        <f>"PFES1162672319_0001"</f>
        <v>PFES1162672319_0001</v>
      </c>
      <c r="L1344" s="11">
        <v>1</v>
      </c>
      <c r="M1344" s="11">
        <v>5</v>
      </c>
    </row>
    <row r="1345" spans="1:13">
      <c r="A1345" s="6">
        <v>43507</v>
      </c>
      <c r="B1345" s="7">
        <v>0.64652777777777781</v>
      </c>
      <c r="C1345" s="11" t="str">
        <f>"FES1162672209"</f>
        <v>FES1162672209</v>
      </c>
      <c r="D1345" s="11" t="s">
        <v>18</v>
      </c>
      <c r="E1345" s="11" t="s">
        <v>64</v>
      </c>
      <c r="F1345" s="11" t="str">
        <f>"2170673530 "</f>
        <v xml:space="preserve">2170673530 </v>
      </c>
      <c r="G1345" s="11" t="str">
        <f t="shared" si="44"/>
        <v>ON1</v>
      </c>
      <c r="H1345" s="11" t="s">
        <v>20</v>
      </c>
      <c r="I1345" s="11" t="s">
        <v>65</v>
      </c>
      <c r="J1345" s="11" t="str">
        <f>""</f>
        <v/>
      </c>
      <c r="K1345" s="11" t="str">
        <f>"PFES1162672209_0001"</f>
        <v>PFES1162672209_0001</v>
      </c>
      <c r="L1345" s="11">
        <v>1</v>
      </c>
      <c r="M1345" s="11">
        <v>5</v>
      </c>
    </row>
    <row r="1346" spans="1:13">
      <c r="A1346" s="6">
        <v>43507</v>
      </c>
      <c r="B1346" s="7">
        <v>0.64583333333333337</v>
      </c>
      <c r="C1346" s="11" t="str">
        <f>"FES1162672250"</f>
        <v>FES1162672250</v>
      </c>
      <c r="D1346" s="11" t="s">
        <v>18</v>
      </c>
      <c r="E1346" s="11" t="s">
        <v>649</v>
      </c>
      <c r="F1346" s="11" t="str">
        <f>"2170673593 "</f>
        <v xml:space="preserve">2170673593 </v>
      </c>
      <c r="G1346" s="11" t="str">
        <f t="shared" si="44"/>
        <v>ON1</v>
      </c>
      <c r="H1346" s="11" t="s">
        <v>20</v>
      </c>
      <c r="I1346" s="11" t="s">
        <v>650</v>
      </c>
      <c r="J1346" s="11" t="str">
        <f>""</f>
        <v/>
      </c>
      <c r="K1346" s="11" t="str">
        <f>"PFES1162672250_0001"</f>
        <v>PFES1162672250_0001</v>
      </c>
      <c r="L1346" s="11">
        <v>1</v>
      </c>
      <c r="M1346" s="11">
        <v>1</v>
      </c>
    </row>
    <row r="1347" spans="1:13">
      <c r="A1347" s="6">
        <v>43507</v>
      </c>
      <c r="B1347" s="7">
        <v>0.64374999999999993</v>
      </c>
      <c r="C1347" s="11" t="str">
        <f>"FES1162672348"</f>
        <v>FES1162672348</v>
      </c>
      <c r="D1347" s="11" t="s">
        <v>18</v>
      </c>
      <c r="E1347" s="11" t="s">
        <v>178</v>
      </c>
      <c r="F1347" s="11" t="str">
        <f>"2170673667 "</f>
        <v xml:space="preserve">2170673667 </v>
      </c>
      <c r="G1347" s="11" t="str">
        <f t="shared" si="44"/>
        <v>ON1</v>
      </c>
      <c r="H1347" s="11" t="s">
        <v>20</v>
      </c>
      <c r="I1347" s="11" t="s">
        <v>29</v>
      </c>
      <c r="J1347" s="11" t="str">
        <f>""</f>
        <v/>
      </c>
      <c r="K1347" s="11" t="str">
        <f>"PFES1162672348_0001"</f>
        <v>PFES1162672348_0001</v>
      </c>
      <c r="L1347" s="11">
        <v>1</v>
      </c>
      <c r="M1347" s="11">
        <v>5</v>
      </c>
    </row>
    <row r="1348" spans="1:13">
      <c r="A1348" s="6">
        <v>43507</v>
      </c>
      <c r="B1348" s="7">
        <v>0.64236111111111105</v>
      </c>
      <c r="C1348" s="11" t="str">
        <f>"FES1162672334"</f>
        <v>FES1162672334</v>
      </c>
      <c r="D1348" s="11" t="s">
        <v>18</v>
      </c>
      <c r="E1348" s="11" t="s">
        <v>506</v>
      </c>
      <c r="F1348" s="11" t="str">
        <f>"2170673644 "</f>
        <v xml:space="preserve">2170673644 </v>
      </c>
      <c r="G1348" s="11" t="str">
        <f t="shared" si="44"/>
        <v>ON1</v>
      </c>
      <c r="H1348" s="11" t="s">
        <v>20</v>
      </c>
      <c r="I1348" s="11" t="s">
        <v>25</v>
      </c>
      <c r="J1348" s="11" t="str">
        <f>""</f>
        <v/>
      </c>
      <c r="K1348" s="11" t="str">
        <f>"PFES1162672334_0001"</f>
        <v>PFES1162672334_0001</v>
      </c>
      <c r="L1348" s="11">
        <v>1</v>
      </c>
      <c r="M1348" s="11">
        <v>7</v>
      </c>
    </row>
    <row r="1349" spans="1:13">
      <c r="A1349" s="6">
        <v>43507</v>
      </c>
      <c r="B1349" s="7">
        <v>0.64097222222222217</v>
      </c>
      <c r="C1349" s="11" t="str">
        <f>"FES1162672242"</f>
        <v>FES1162672242</v>
      </c>
      <c r="D1349" s="11" t="s">
        <v>18</v>
      </c>
      <c r="E1349" s="11" t="s">
        <v>403</v>
      </c>
      <c r="F1349" s="11" t="str">
        <f>"2170673113 "</f>
        <v xml:space="preserve">2170673113 </v>
      </c>
      <c r="G1349" s="11" t="str">
        <f t="shared" si="44"/>
        <v>ON1</v>
      </c>
      <c r="H1349" s="11" t="s">
        <v>20</v>
      </c>
      <c r="I1349" s="11" t="s">
        <v>404</v>
      </c>
      <c r="J1349" s="11" t="str">
        <f>""</f>
        <v/>
      </c>
      <c r="K1349" s="11" t="str">
        <f>"PFES1162672242_0001"</f>
        <v>PFES1162672242_0001</v>
      </c>
      <c r="L1349" s="11">
        <v>1</v>
      </c>
      <c r="M1349" s="11">
        <v>7</v>
      </c>
    </row>
    <row r="1350" spans="1:13">
      <c r="A1350" s="6">
        <v>43507</v>
      </c>
      <c r="B1350" s="7">
        <v>0.64027777777777783</v>
      </c>
      <c r="C1350" s="11" t="str">
        <f>"FES1162672309"</f>
        <v>FES1162672309</v>
      </c>
      <c r="D1350" s="11" t="s">
        <v>18</v>
      </c>
      <c r="E1350" s="11" t="s">
        <v>179</v>
      </c>
      <c r="F1350" s="11" t="str">
        <f>"2170672529 "</f>
        <v xml:space="preserve">2170672529 </v>
      </c>
      <c r="G1350" s="11" t="str">
        <f t="shared" si="44"/>
        <v>ON1</v>
      </c>
      <c r="H1350" s="11" t="s">
        <v>20</v>
      </c>
      <c r="I1350" s="11" t="s">
        <v>59</v>
      </c>
      <c r="J1350" s="11" t="str">
        <f>""</f>
        <v/>
      </c>
      <c r="K1350" s="11" t="str">
        <f>"PFES1162672309_0001"</f>
        <v>PFES1162672309_0001</v>
      </c>
      <c r="L1350" s="11">
        <v>1</v>
      </c>
      <c r="M1350" s="11">
        <v>3</v>
      </c>
    </row>
    <row r="1351" spans="1:13">
      <c r="A1351" s="6">
        <v>43507</v>
      </c>
      <c r="B1351" s="7">
        <v>0.63958333333333328</v>
      </c>
      <c r="C1351" s="11" t="str">
        <f>"FES1162672290"</f>
        <v>FES1162672290</v>
      </c>
      <c r="D1351" s="11" t="s">
        <v>18</v>
      </c>
      <c r="E1351" s="11" t="s">
        <v>508</v>
      </c>
      <c r="F1351" s="11" t="str">
        <f>"2170673618 "</f>
        <v xml:space="preserve">2170673618 </v>
      </c>
      <c r="G1351" s="11" t="str">
        <f t="shared" si="44"/>
        <v>ON1</v>
      </c>
      <c r="H1351" s="11" t="s">
        <v>20</v>
      </c>
      <c r="I1351" s="11" t="s">
        <v>509</v>
      </c>
      <c r="J1351" s="11" t="str">
        <f>""</f>
        <v/>
      </c>
      <c r="K1351" s="11" t="str">
        <f>"PFES1162672290_0001"</f>
        <v>PFES1162672290_0001</v>
      </c>
      <c r="L1351" s="11">
        <v>1</v>
      </c>
      <c r="M1351" s="11">
        <v>1</v>
      </c>
    </row>
    <row r="1352" spans="1:13">
      <c r="A1352" s="6">
        <v>43507</v>
      </c>
      <c r="B1352" s="7">
        <v>0.63888888888888895</v>
      </c>
      <c r="C1352" s="11" t="str">
        <f>"FES1162672314"</f>
        <v>FES1162672314</v>
      </c>
      <c r="D1352" s="11" t="s">
        <v>18</v>
      </c>
      <c r="E1352" s="11" t="s">
        <v>178</v>
      </c>
      <c r="F1352" s="11" t="str">
        <f>"2170673175 "</f>
        <v xml:space="preserve">2170673175 </v>
      </c>
      <c r="G1352" s="11" t="str">
        <f t="shared" si="44"/>
        <v>ON1</v>
      </c>
      <c r="H1352" s="11" t="s">
        <v>20</v>
      </c>
      <c r="I1352" s="11" t="s">
        <v>390</v>
      </c>
      <c r="J1352" s="11" t="str">
        <f>""</f>
        <v/>
      </c>
      <c r="K1352" s="11" t="str">
        <f>"PFES1162672314_0001"</f>
        <v>PFES1162672314_0001</v>
      </c>
      <c r="L1352" s="11">
        <v>1</v>
      </c>
      <c r="M1352" s="11">
        <v>9</v>
      </c>
    </row>
    <row r="1353" spans="1:13">
      <c r="A1353" s="6">
        <v>43507</v>
      </c>
      <c r="B1353" s="7">
        <v>0.63750000000000007</v>
      </c>
      <c r="C1353" s="11" t="str">
        <f>"FES1162672354"</f>
        <v>FES1162672354</v>
      </c>
      <c r="D1353" s="11" t="s">
        <v>18</v>
      </c>
      <c r="E1353" s="11" t="s">
        <v>538</v>
      </c>
      <c r="F1353" s="11" t="str">
        <f>"2170673677 "</f>
        <v xml:space="preserve">2170673677 </v>
      </c>
      <c r="G1353" s="11" t="str">
        <f t="shared" si="44"/>
        <v>ON1</v>
      </c>
      <c r="H1353" s="11" t="s">
        <v>20</v>
      </c>
      <c r="I1353" s="11" t="s">
        <v>539</v>
      </c>
      <c r="J1353" s="11" t="str">
        <f>""</f>
        <v/>
      </c>
      <c r="K1353" s="11" t="str">
        <f>"PFES1162672354_0001"</f>
        <v>PFES1162672354_0001</v>
      </c>
      <c r="L1353" s="11">
        <v>1</v>
      </c>
      <c r="M1353" s="11">
        <v>4</v>
      </c>
    </row>
    <row r="1354" spans="1:13">
      <c r="A1354" s="6">
        <v>43507</v>
      </c>
      <c r="B1354" s="7">
        <v>0.63611111111111118</v>
      </c>
      <c r="C1354" s="11" t="str">
        <f>"FES1162672344"</f>
        <v>FES1162672344</v>
      </c>
      <c r="D1354" s="11" t="s">
        <v>18</v>
      </c>
      <c r="E1354" s="11" t="s">
        <v>750</v>
      </c>
      <c r="F1354" s="11" t="str">
        <f>"2170673662 "</f>
        <v xml:space="preserve">2170673662 </v>
      </c>
      <c r="G1354" s="11" t="str">
        <f t="shared" si="44"/>
        <v>ON1</v>
      </c>
      <c r="H1354" s="11" t="s">
        <v>20</v>
      </c>
      <c r="I1354" s="11" t="s">
        <v>67</v>
      </c>
      <c r="J1354" s="11" t="str">
        <f>""</f>
        <v/>
      </c>
      <c r="K1354" s="11" t="str">
        <f>"PFES1162672344_0001"</f>
        <v>PFES1162672344_0001</v>
      </c>
      <c r="L1354" s="11">
        <v>1</v>
      </c>
      <c r="M1354" s="11">
        <v>2</v>
      </c>
    </row>
    <row r="1355" spans="1:13">
      <c r="A1355" s="6">
        <v>43507</v>
      </c>
      <c r="B1355" s="7">
        <v>0.63472222222222219</v>
      </c>
      <c r="C1355" s="11" t="str">
        <f>"FES1162672365"</f>
        <v>FES1162672365</v>
      </c>
      <c r="D1355" s="11" t="s">
        <v>18</v>
      </c>
      <c r="E1355" s="11" t="s">
        <v>254</v>
      </c>
      <c r="F1355" s="11" t="str">
        <f>"2170673688 "</f>
        <v xml:space="preserve">2170673688 </v>
      </c>
      <c r="G1355" s="11" t="str">
        <f t="shared" si="44"/>
        <v>ON1</v>
      </c>
      <c r="H1355" s="11" t="s">
        <v>20</v>
      </c>
      <c r="I1355" s="11" t="s">
        <v>239</v>
      </c>
      <c r="J1355" s="11" t="str">
        <f>""</f>
        <v/>
      </c>
      <c r="K1355" s="11" t="str">
        <f>"PFES1162672365_0001"</f>
        <v>PFES1162672365_0001</v>
      </c>
      <c r="L1355" s="11">
        <v>1</v>
      </c>
      <c r="M1355" s="11">
        <v>1</v>
      </c>
    </row>
    <row r="1356" spans="1:13">
      <c r="A1356" s="6">
        <v>43507</v>
      </c>
      <c r="B1356" s="7">
        <v>0.63402777777777775</v>
      </c>
      <c r="C1356" s="11" t="str">
        <f>"FES1162672324"</f>
        <v>FES1162672324</v>
      </c>
      <c r="D1356" s="11" t="s">
        <v>18</v>
      </c>
      <c r="E1356" s="11" t="s">
        <v>185</v>
      </c>
      <c r="F1356" s="11" t="str">
        <f>"2170673640 "</f>
        <v xml:space="preserve">2170673640 </v>
      </c>
      <c r="G1356" s="11" t="str">
        <f t="shared" si="44"/>
        <v>ON1</v>
      </c>
      <c r="H1356" s="11" t="s">
        <v>20</v>
      </c>
      <c r="I1356" s="11" t="s">
        <v>93</v>
      </c>
      <c r="J1356" s="11" t="str">
        <f>""</f>
        <v/>
      </c>
      <c r="K1356" s="11" t="str">
        <f>"PFES1162672324_0001"</f>
        <v>PFES1162672324_0001</v>
      </c>
      <c r="L1356" s="11">
        <v>1</v>
      </c>
      <c r="M1356" s="11">
        <v>2</v>
      </c>
    </row>
    <row r="1357" spans="1:13">
      <c r="A1357" s="6">
        <v>43507</v>
      </c>
      <c r="B1357" s="7">
        <v>0.6333333333333333</v>
      </c>
      <c r="C1357" s="11" t="str">
        <f>"FES1162672384"</f>
        <v>FES1162672384</v>
      </c>
      <c r="D1357" s="11" t="s">
        <v>18</v>
      </c>
      <c r="E1357" s="11" t="s">
        <v>203</v>
      </c>
      <c r="F1357" s="11" t="str">
        <f>"2170673711 "</f>
        <v xml:space="preserve">2170673711 </v>
      </c>
      <c r="G1357" s="11" t="str">
        <f t="shared" si="44"/>
        <v>ON1</v>
      </c>
      <c r="H1357" s="11" t="s">
        <v>20</v>
      </c>
      <c r="I1357" s="11" t="s">
        <v>204</v>
      </c>
      <c r="J1357" s="11" t="str">
        <f>""</f>
        <v/>
      </c>
      <c r="K1357" s="11" t="str">
        <f>"PFES1162672384_0001"</f>
        <v>PFES1162672384_0001</v>
      </c>
      <c r="L1357" s="11">
        <v>1</v>
      </c>
      <c r="M1357" s="11">
        <v>2</v>
      </c>
    </row>
    <row r="1358" spans="1:13">
      <c r="A1358" s="6">
        <v>43507</v>
      </c>
      <c r="B1358" s="7">
        <v>0.63263888888888886</v>
      </c>
      <c r="C1358" s="11" t="str">
        <f>"FES1162672356"</f>
        <v>FES1162672356</v>
      </c>
      <c r="D1358" s="11" t="s">
        <v>18</v>
      </c>
      <c r="E1358" s="11" t="s">
        <v>751</v>
      </c>
      <c r="F1358" s="11" t="str">
        <f>"2170673668 "</f>
        <v xml:space="preserve">2170673668 </v>
      </c>
      <c r="G1358" s="11" t="str">
        <f t="shared" si="44"/>
        <v>ON1</v>
      </c>
      <c r="H1358" s="11" t="s">
        <v>20</v>
      </c>
      <c r="I1358" s="11" t="s">
        <v>594</v>
      </c>
      <c r="J1358" s="11" t="str">
        <f>""</f>
        <v/>
      </c>
      <c r="K1358" s="11" t="str">
        <f>"PFES1162672356_0001"</f>
        <v>PFES1162672356_0001</v>
      </c>
      <c r="L1358" s="11">
        <v>1</v>
      </c>
      <c r="M1358" s="11">
        <v>1</v>
      </c>
    </row>
    <row r="1359" spans="1:13">
      <c r="A1359" s="6">
        <v>43507</v>
      </c>
      <c r="B1359" s="7">
        <v>0.63055555555555554</v>
      </c>
      <c r="C1359" s="11" t="str">
        <f>"FES1162672378"</f>
        <v>FES1162672378</v>
      </c>
      <c r="D1359" s="11" t="s">
        <v>18</v>
      </c>
      <c r="E1359" s="11" t="s">
        <v>148</v>
      </c>
      <c r="F1359" s="11" t="str">
        <f>"2170673708 "</f>
        <v xml:space="preserve">2170673708 </v>
      </c>
      <c r="G1359" s="11" t="str">
        <f t="shared" si="44"/>
        <v>ON1</v>
      </c>
      <c r="H1359" s="11" t="s">
        <v>20</v>
      </c>
      <c r="I1359" s="11" t="s">
        <v>149</v>
      </c>
      <c r="J1359" s="11" t="str">
        <f>""</f>
        <v/>
      </c>
      <c r="K1359" s="11" t="str">
        <f>"PFES1162672378_0001"</f>
        <v>PFES1162672378_0001</v>
      </c>
      <c r="L1359" s="11">
        <v>1</v>
      </c>
      <c r="M1359" s="11">
        <v>1</v>
      </c>
    </row>
    <row r="1360" spans="1:13">
      <c r="A1360" s="6">
        <v>43507</v>
      </c>
      <c r="B1360" s="7">
        <v>0.62986111111111109</v>
      </c>
      <c r="C1360" s="11" t="str">
        <f>"FES1162672372"</f>
        <v>FES1162672372</v>
      </c>
      <c r="D1360" s="11" t="s">
        <v>18</v>
      </c>
      <c r="E1360" s="11" t="s">
        <v>69</v>
      </c>
      <c r="F1360" s="11" t="str">
        <f>"217063692 "</f>
        <v xml:space="preserve">217063692 </v>
      </c>
      <c r="G1360" s="11" t="str">
        <f t="shared" si="44"/>
        <v>ON1</v>
      </c>
      <c r="H1360" s="11" t="s">
        <v>20</v>
      </c>
      <c r="I1360" s="11" t="s">
        <v>70</v>
      </c>
      <c r="J1360" s="11" t="str">
        <f>""</f>
        <v/>
      </c>
      <c r="K1360" s="11" t="str">
        <f>"PFES1162672372_0001"</f>
        <v>PFES1162672372_0001</v>
      </c>
      <c r="L1360" s="11">
        <v>1</v>
      </c>
      <c r="M1360" s="11">
        <v>1</v>
      </c>
    </row>
    <row r="1361" spans="1:13">
      <c r="A1361" s="6">
        <v>43507</v>
      </c>
      <c r="B1361" s="7">
        <v>0.62986111111111109</v>
      </c>
      <c r="C1361" s="11" t="str">
        <f>"FES1162672351"</f>
        <v>FES1162672351</v>
      </c>
      <c r="D1361" s="11" t="s">
        <v>18</v>
      </c>
      <c r="E1361" s="11" t="s">
        <v>120</v>
      </c>
      <c r="F1361" s="11" t="str">
        <f>"2170673673 "</f>
        <v xml:space="preserve">2170673673 </v>
      </c>
      <c r="G1361" s="11" t="str">
        <f t="shared" si="44"/>
        <v>ON1</v>
      </c>
      <c r="H1361" s="11" t="s">
        <v>20</v>
      </c>
      <c r="I1361" s="11" t="s">
        <v>121</v>
      </c>
      <c r="J1361" s="11" t="str">
        <f>""</f>
        <v/>
      </c>
      <c r="K1361" s="11" t="str">
        <f>"PFES1162672351_0001"</f>
        <v>PFES1162672351_0001</v>
      </c>
      <c r="L1361" s="11">
        <v>1</v>
      </c>
      <c r="M1361" s="11">
        <v>1</v>
      </c>
    </row>
    <row r="1362" spans="1:13">
      <c r="A1362" s="6">
        <v>43507</v>
      </c>
      <c r="B1362" s="7">
        <v>0.62986111111111109</v>
      </c>
      <c r="C1362" s="11" t="str">
        <f>"FES1162672332"</f>
        <v>FES1162672332</v>
      </c>
      <c r="D1362" s="11" t="s">
        <v>18</v>
      </c>
      <c r="E1362" s="11" t="s">
        <v>234</v>
      </c>
      <c r="F1362" s="11" t="str">
        <f>"2170673629 "</f>
        <v xml:space="preserve">2170673629 </v>
      </c>
      <c r="G1362" s="11" t="str">
        <f t="shared" si="44"/>
        <v>ON1</v>
      </c>
      <c r="H1362" s="11" t="s">
        <v>20</v>
      </c>
      <c r="I1362" s="11" t="s">
        <v>233</v>
      </c>
      <c r="J1362" s="11" t="str">
        <f>""</f>
        <v/>
      </c>
      <c r="K1362" s="11" t="str">
        <f>"PFES1162672332_0001"</f>
        <v>PFES1162672332_0001</v>
      </c>
      <c r="L1362" s="11">
        <v>1</v>
      </c>
      <c r="M1362" s="11">
        <v>1</v>
      </c>
    </row>
    <row r="1363" spans="1:13">
      <c r="A1363" s="6">
        <v>43507</v>
      </c>
      <c r="B1363" s="7">
        <v>0.62777777777777777</v>
      </c>
      <c r="C1363" s="11" t="str">
        <f>"FES1162672369"</f>
        <v>FES1162672369</v>
      </c>
      <c r="D1363" s="11" t="s">
        <v>18</v>
      </c>
      <c r="E1363" s="11" t="s">
        <v>301</v>
      </c>
      <c r="F1363" s="11" t="str">
        <f>"2170673010 "</f>
        <v xml:space="preserve">2170673010 </v>
      </c>
      <c r="G1363" s="11" t="str">
        <f t="shared" si="44"/>
        <v>ON1</v>
      </c>
      <c r="H1363" s="11" t="s">
        <v>20</v>
      </c>
      <c r="I1363" s="11" t="s">
        <v>53</v>
      </c>
      <c r="J1363" s="11" t="str">
        <f>""</f>
        <v/>
      </c>
      <c r="K1363" s="11" t="str">
        <f>"PFES1162672369_0001"</f>
        <v>PFES1162672369_0001</v>
      </c>
      <c r="L1363" s="11">
        <v>1</v>
      </c>
      <c r="M1363" s="11">
        <v>1</v>
      </c>
    </row>
    <row r="1364" spans="1:13">
      <c r="A1364" s="6">
        <v>43507</v>
      </c>
      <c r="B1364" s="7">
        <v>0.62708333333333333</v>
      </c>
      <c r="C1364" s="11" t="str">
        <f>"FES1162672322"</f>
        <v>FES1162672322</v>
      </c>
      <c r="D1364" s="11" t="s">
        <v>18</v>
      </c>
      <c r="E1364" s="11" t="s">
        <v>92</v>
      </c>
      <c r="F1364" s="11" t="str">
        <f>"2170673638 "</f>
        <v xml:space="preserve">2170673638 </v>
      </c>
      <c r="G1364" s="11" t="str">
        <f t="shared" si="44"/>
        <v>ON1</v>
      </c>
      <c r="H1364" s="11" t="s">
        <v>20</v>
      </c>
      <c r="I1364" s="11" t="s">
        <v>93</v>
      </c>
      <c r="J1364" s="11" t="str">
        <f>""</f>
        <v/>
      </c>
      <c r="K1364" s="11" t="str">
        <f>"PFES1162672322_0001"</f>
        <v>PFES1162672322_0001</v>
      </c>
      <c r="L1364" s="11">
        <v>1</v>
      </c>
      <c r="M1364" s="11">
        <v>1</v>
      </c>
    </row>
    <row r="1365" spans="1:13">
      <c r="A1365" s="6">
        <v>43507</v>
      </c>
      <c r="B1365" s="7">
        <v>0.62638888888888888</v>
      </c>
      <c r="C1365" s="11" t="str">
        <f>"FES1162672323"</f>
        <v>FES1162672323</v>
      </c>
      <c r="D1365" s="11" t="s">
        <v>18</v>
      </c>
      <c r="E1365" s="11" t="s">
        <v>752</v>
      </c>
      <c r="F1365" s="11" t="str">
        <f>"2170673639 "</f>
        <v xml:space="preserve">2170673639 </v>
      </c>
      <c r="G1365" s="11" t="str">
        <f t="shared" si="44"/>
        <v>ON1</v>
      </c>
      <c r="H1365" s="11" t="s">
        <v>20</v>
      </c>
      <c r="I1365" s="11" t="s">
        <v>53</v>
      </c>
      <c r="J1365" s="11" t="str">
        <f>""</f>
        <v/>
      </c>
      <c r="K1365" s="11" t="str">
        <f>"PFES1162672323_0001"</f>
        <v>PFES1162672323_0001</v>
      </c>
      <c r="L1365" s="11">
        <v>1</v>
      </c>
      <c r="M1365" s="11">
        <v>1</v>
      </c>
    </row>
    <row r="1366" spans="1:13">
      <c r="A1366" s="6">
        <v>43507</v>
      </c>
      <c r="B1366" s="7">
        <v>0.62638888888888888</v>
      </c>
      <c r="C1366" s="11" t="str">
        <f>"FES1162672381"</f>
        <v>FES1162672381</v>
      </c>
      <c r="D1366" s="11" t="s">
        <v>18</v>
      </c>
      <c r="E1366" s="11" t="s">
        <v>753</v>
      </c>
      <c r="F1366" s="11" t="str">
        <f>"2170673704 "</f>
        <v xml:space="preserve">2170673704 </v>
      </c>
      <c r="G1366" s="11" t="str">
        <f t="shared" si="44"/>
        <v>ON1</v>
      </c>
      <c r="H1366" s="11" t="s">
        <v>20</v>
      </c>
      <c r="I1366" s="11" t="s">
        <v>29</v>
      </c>
      <c r="J1366" s="11" t="str">
        <f>""</f>
        <v/>
      </c>
      <c r="K1366" s="11" t="str">
        <f>"PFES1162672381_0001"</f>
        <v>PFES1162672381_0001</v>
      </c>
      <c r="L1366" s="11">
        <v>1</v>
      </c>
      <c r="M1366" s="11">
        <v>1</v>
      </c>
    </row>
    <row r="1367" spans="1:13">
      <c r="A1367" s="6">
        <v>43507</v>
      </c>
      <c r="B1367" s="7">
        <v>0.61736111111111114</v>
      </c>
      <c r="C1367" s="11" t="str">
        <f>"009935723030"</f>
        <v>009935723030</v>
      </c>
      <c r="D1367" s="11" t="s">
        <v>18</v>
      </c>
      <c r="E1367" s="11" t="s">
        <v>129</v>
      </c>
      <c r="F1367" s="11" t="str">
        <f>"21162665762 "</f>
        <v xml:space="preserve">21162665762 </v>
      </c>
      <c r="G1367" s="11" t="str">
        <f t="shared" si="44"/>
        <v>ON1</v>
      </c>
      <c r="H1367" s="11" t="s">
        <v>20</v>
      </c>
      <c r="I1367" s="11" t="s">
        <v>130</v>
      </c>
      <c r="J1367" s="11" t="str">
        <f>"RE SEND PARCEL"</f>
        <v>RE SEND PARCEL</v>
      </c>
      <c r="K1367" s="11" t="str">
        <f>"P009935723030_0001"</f>
        <v>P009935723030_0001</v>
      </c>
      <c r="L1367" s="11">
        <v>1</v>
      </c>
      <c r="M1367" s="11">
        <v>4</v>
      </c>
    </row>
    <row r="1368" spans="1:13">
      <c r="A1368" s="6">
        <v>43507</v>
      </c>
      <c r="B1368" s="7">
        <v>0.61597222222222225</v>
      </c>
      <c r="C1368" s="11" t="str">
        <f>"FES1162672349"</f>
        <v>FES1162672349</v>
      </c>
      <c r="D1368" s="11" t="s">
        <v>18</v>
      </c>
      <c r="E1368" s="11" t="s">
        <v>140</v>
      </c>
      <c r="F1368" s="11" t="str">
        <f>"2170673670 "</f>
        <v xml:space="preserve">2170673670 </v>
      </c>
      <c r="G1368" s="11" t="str">
        <f t="shared" si="44"/>
        <v>ON1</v>
      </c>
      <c r="H1368" s="11" t="s">
        <v>20</v>
      </c>
      <c r="I1368" s="11" t="s">
        <v>141</v>
      </c>
      <c r="J1368" s="11" t="str">
        <f>""</f>
        <v/>
      </c>
      <c r="K1368" s="11" t="str">
        <f>"PFES1162672349_0001"</f>
        <v>PFES1162672349_0001</v>
      </c>
      <c r="L1368" s="11">
        <v>1</v>
      </c>
      <c r="M1368" s="11">
        <v>1</v>
      </c>
    </row>
    <row r="1369" spans="1:13">
      <c r="A1369" s="6">
        <v>43507</v>
      </c>
      <c r="B1369" s="7">
        <v>0.61458333333333337</v>
      </c>
      <c r="C1369" s="11" t="str">
        <f>"FES1162672338"</f>
        <v>FES1162672338</v>
      </c>
      <c r="D1369" s="11" t="s">
        <v>18</v>
      </c>
      <c r="E1369" s="11" t="s">
        <v>485</v>
      </c>
      <c r="F1369" s="11" t="str">
        <f>"2170673614 "</f>
        <v xml:space="preserve">2170673614 </v>
      </c>
      <c r="G1369" s="11" t="str">
        <f t="shared" si="44"/>
        <v>ON1</v>
      </c>
      <c r="H1369" s="11" t="s">
        <v>20</v>
      </c>
      <c r="I1369" s="11" t="s">
        <v>282</v>
      </c>
      <c r="J1369" s="11" t="str">
        <f>""</f>
        <v/>
      </c>
      <c r="K1369" s="11" t="str">
        <f>"PFES1162672338_0001"</f>
        <v>PFES1162672338_0001</v>
      </c>
      <c r="L1369" s="11">
        <v>1</v>
      </c>
      <c r="M1369" s="11">
        <v>1</v>
      </c>
    </row>
    <row r="1370" spans="1:13">
      <c r="A1370" s="6">
        <v>43507</v>
      </c>
      <c r="B1370" s="7">
        <v>0.61388888888888882</v>
      </c>
      <c r="C1370" s="11" t="str">
        <f>"FES1162672361"</f>
        <v>FES1162672361</v>
      </c>
      <c r="D1370" s="11" t="s">
        <v>18</v>
      </c>
      <c r="E1370" s="11" t="s">
        <v>623</v>
      </c>
      <c r="F1370" s="11" t="str">
        <f>"2170671290 "</f>
        <v xml:space="preserve">2170671290 </v>
      </c>
      <c r="G1370" s="11" t="str">
        <f t="shared" si="44"/>
        <v>ON1</v>
      </c>
      <c r="H1370" s="11" t="s">
        <v>20</v>
      </c>
      <c r="I1370" s="11" t="s">
        <v>429</v>
      </c>
      <c r="J1370" s="11" t="str">
        <f>""</f>
        <v/>
      </c>
      <c r="K1370" s="11" t="str">
        <f>"PFES1162672361_0001"</f>
        <v>PFES1162672361_0001</v>
      </c>
      <c r="L1370" s="11">
        <v>1</v>
      </c>
      <c r="M1370" s="11">
        <v>1</v>
      </c>
    </row>
    <row r="1371" spans="1:13">
      <c r="A1371" s="6">
        <v>43507</v>
      </c>
      <c r="B1371" s="7">
        <v>0.61388888888888882</v>
      </c>
      <c r="C1371" s="11" t="str">
        <f>"FES1162672340"</f>
        <v>FES1162672340</v>
      </c>
      <c r="D1371" s="11" t="s">
        <v>18</v>
      </c>
      <c r="E1371" s="11" t="s">
        <v>140</v>
      </c>
      <c r="F1371" s="11" t="str">
        <f>"2170673656 "</f>
        <v xml:space="preserve">2170673656 </v>
      </c>
      <c r="G1371" s="11" t="str">
        <f t="shared" si="44"/>
        <v>ON1</v>
      </c>
      <c r="H1371" s="11" t="s">
        <v>20</v>
      </c>
      <c r="I1371" s="11" t="s">
        <v>141</v>
      </c>
      <c r="J1371" s="11" t="str">
        <f>""</f>
        <v/>
      </c>
      <c r="K1371" s="11" t="str">
        <f>"PFES1162672340_0001"</f>
        <v>PFES1162672340_0001</v>
      </c>
      <c r="L1371" s="11">
        <v>1</v>
      </c>
      <c r="M1371" s="11">
        <v>1</v>
      </c>
    </row>
    <row r="1372" spans="1:13">
      <c r="A1372" s="6">
        <v>43507</v>
      </c>
      <c r="B1372" s="7">
        <v>0.61388888888888882</v>
      </c>
      <c r="C1372" s="11" t="str">
        <f>"FES1162672328"</f>
        <v>FES1162672328</v>
      </c>
      <c r="D1372" s="11" t="s">
        <v>18</v>
      </c>
      <c r="E1372" s="11" t="s">
        <v>754</v>
      </c>
      <c r="F1372" s="11" t="str">
        <f>"21706715538 "</f>
        <v xml:space="preserve">21706715538 </v>
      </c>
      <c r="G1372" s="11" t="str">
        <f t="shared" si="44"/>
        <v>ON1</v>
      </c>
      <c r="H1372" s="11" t="s">
        <v>20</v>
      </c>
      <c r="I1372" s="11" t="s">
        <v>137</v>
      </c>
      <c r="J1372" s="11" t="str">
        <f>""</f>
        <v/>
      </c>
      <c r="K1372" s="11" t="str">
        <f>"PFES1162672328_0001"</f>
        <v>PFES1162672328_0001</v>
      </c>
      <c r="L1372" s="11">
        <v>1</v>
      </c>
      <c r="M1372" s="11">
        <v>1</v>
      </c>
    </row>
    <row r="1373" spans="1:13">
      <c r="A1373" s="6">
        <v>43507</v>
      </c>
      <c r="B1373" s="7">
        <v>0.61319444444444449</v>
      </c>
      <c r="C1373" s="11" t="str">
        <f>"FES1162672353"</f>
        <v>FES1162672353</v>
      </c>
      <c r="D1373" s="11" t="s">
        <v>18</v>
      </c>
      <c r="E1373" s="11" t="s">
        <v>58</v>
      </c>
      <c r="F1373" s="11" t="str">
        <f>"2170673674 "</f>
        <v xml:space="preserve">2170673674 </v>
      </c>
      <c r="G1373" s="11" t="str">
        <f t="shared" si="44"/>
        <v>ON1</v>
      </c>
      <c r="H1373" s="11" t="s">
        <v>20</v>
      </c>
      <c r="I1373" s="11" t="s">
        <v>59</v>
      </c>
      <c r="J1373" s="11" t="str">
        <f>""</f>
        <v/>
      </c>
      <c r="K1373" s="11" t="str">
        <f>"PFES1162672353_0001"</f>
        <v>PFES1162672353_0001</v>
      </c>
      <c r="L1373" s="11">
        <v>1</v>
      </c>
      <c r="M1373" s="11">
        <v>1</v>
      </c>
    </row>
    <row r="1374" spans="1:13">
      <c r="A1374" s="6">
        <v>43507</v>
      </c>
      <c r="B1374" s="7">
        <v>0.61319444444444449</v>
      </c>
      <c r="C1374" s="11" t="str">
        <f>"FES1162672316"</f>
        <v>FES1162672316</v>
      </c>
      <c r="D1374" s="11" t="s">
        <v>18</v>
      </c>
      <c r="E1374" s="11" t="s">
        <v>730</v>
      </c>
      <c r="F1374" s="11" t="str">
        <f>"21706732971 "</f>
        <v xml:space="preserve">21706732971 </v>
      </c>
      <c r="G1374" s="11" t="str">
        <f t="shared" si="44"/>
        <v>ON1</v>
      </c>
      <c r="H1374" s="11" t="s">
        <v>20</v>
      </c>
      <c r="I1374" s="11" t="s">
        <v>731</v>
      </c>
      <c r="J1374" s="11" t="str">
        <f>""</f>
        <v/>
      </c>
      <c r="K1374" s="11" t="str">
        <f>"PFES1162672316_0001"</f>
        <v>PFES1162672316_0001</v>
      </c>
      <c r="L1374" s="11">
        <v>1</v>
      </c>
      <c r="M1374" s="11">
        <v>1</v>
      </c>
    </row>
    <row r="1375" spans="1:13">
      <c r="A1375" s="6">
        <v>43507</v>
      </c>
      <c r="B1375" s="7">
        <v>0.61249999999999993</v>
      </c>
      <c r="C1375" s="11" t="str">
        <f>"FES1162672317"</f>
        <v>FES1162672317</v>
      </c>
      <c r="D1375" s="11" t="s">
        <v>18</v>
      </c>
      <c r="E1375" s="11" t="s">
        <v>293</v>
      </c>
      <c r="F1375" s="11" t="str">
        <f>"2170673307 "</f>
        <v xml:space="preserve">2170673307 </v>
      </c>
      <c r="G1375" s="11" t="str">
        <f t="shared" si="44"/>
        <v>ON1</v>
      </c>
      <c r="H1375" s="11" t="s">
        <v>20</v>
      </c>
      <c r="I1375" s="11" t="s">
        <v>327</v>
      </c>
      <c r="J1375" s="11" t="str">
        <f>""</f>
        <v/>
      </c>
      <c r="K1375" s="11" t="str">
        <f>"PFES1162672317_0001"</f>
        <v>PFES1162672317_0001</v>
      </c>
      <c r="L1375" s="11">
        <v>1</v>
      </c>
      <c r="M1375" s="11">
        <v>1</v>
      </c>
    </row>
    <row r="1376" spans="1:13">
      <c r="A1376" s="6">
        <v>43507</v>
      </c>
      <c r="B1376" s="7">
        <v>0.61249999999999993</v>
      </c>
      <c r="C1376" s="11" t="str">
        <f>"FES1162672355"</f>
        <v>FES1162672355</v>
      </c>
      <c r="D1376" s="11" t="s">
        <v>18</v>
      </c>
      <c r="E1376" s="11" t="s">
        <v>436</v>
      </c>
      <c r="F1376" s="11" t="str">
        <f>"2170673652 "</f>
        <v xml:space="preserve">2170673652 </v>
      </c>
      <c r="G1376" s="11" t="str">
        <f t="shared" si="44"/>
        <v>ON1</v>
      </c>
      <c r="H1376" s="11" t="s">
        <v>20</v>
      </c>
      <c r="I1376" s="11" t="s">
        <v>437</v>
      </c>
      <c r="J1376" s="11" t="str">
        <f>""</f>
        <v/>
      </c>
      <c r="K1376" s="11" t="str">
        <f>"PFES1162672355_0001"</f>
        <v>PFES1162672355_0001</v>
      </c>
      <c r="L1376" s="11">
        <v>1</v>
      </c>
      <c r="M1376" s="11">
        <v>1</v>
      </c>
    </row>
    <row r="1377" spans="1:13">
      <c r="A1377" s="6">
        <v>43507</v>
      </c>
      <c r="B1377" s="7">
        <v>0.6118055555555556</v>
      </c>
      <c r="C1377" s="11" t="str">
        <f>"FES1162672341"</f>
        <v>FES1162672341</v>
      </c>
      <c r="D1377" s="11" t="s">
        <v>18</v>
      </c>
      <c r="E1377" s="11" t="s">
        <v>140</v>
      </c>
      <c r="F1377" s="11" t="str">
        <f>"2170673658 "</f>
        <v xml:space="preserve">2170673658 </v>
      </c>
      <c r="G1377" s="11" t="str">
        <f t="shared" si="44"/>
        <v>ON1</v>
      </c>
      <c r="H1377" s="11" t="s">
        <v>20</v>
      </c>
      <c r="I1377" s="11" t="s">
        <v>141</v>
      </c>
      <c r="J1377" s="11" t="str">
        <f>""</f>
        <v/>
      </c>
      <c r="K1377" s="11" t="str">
        <f>"PFES1162672341_0001"</f>
        <v>PFES1162672341_0001</v>
      </c>
      <c r="L1377" s="11">
        <v>1</v>
      </c>
      <c r="M1377" s="11">
        <v>1</v>
      </c>
    </row>
    <row r="1378" spans="1:13">
      <c r="A1378" s="6">
        <v>43507</v>
      </c>
      <c r="B1378" s="7">
        <v>0.61111111111111105</v>
      </c>
      <c r="C1378" s="11" t="str">
        <f>"FES1162672330"</f>
        <v>FES1162672330</v>
      </c>
      <c r="D1378" s="11" t="s">
        <v>18</v>
      </c>
      <c r="E1378" s="11" t="s">
        <v>439</v>
      </c>
      <c r="F1378" s="11" t="str">
        <f>"2170673645 "</f>
        <v xml:space="preserve">2170673645 </v>
      </c>
      <c r="G1378" s="11" t="str">
        <f t="shared" si="44"/>
        <v>ON1</v>
      </c>
      <c r="H1378" s="11" t="s">
        <v>20</v>
      </c>
      <c r="I1378" s="11" t="s">
        <v>41</v>
      </c>
      <c r="J1378" s="11" t="str">
        <f>""</f>
        <v/>
      </c>
      <c r="K1378" s="11" t="str">
        <f>"PFES1162672330_0001"</f>
        <v>PFES1162672330_0001</v>
      </c>
      <c r="L1378" s="11">
        <v>1</v>
      </c>
      <c r="M1378" s="11">
        <v>1</v>
      </c>
    </row>
    <row r="1379" spans="1:13">
      <c r="A1379" s="6">
        <v>43507</v>
      </c>
      <c r="B1379" s="7">
        <v>0.61041666666666672</v>
      </c>
      <c r="C1379" s="11" t="str">
        <f>"FES1162672245"</f>
        <v>FES1162672245</v>
      </c>
      <c r="D1379" s="11" t="s">
        <v>18</v>
      </c>
      <c r="E1379" s="11" t="s">
        <v>403</v>
      </c>
      <c r="F1379" s="11" t="str">
        <f>"2170673586 "</f>
        <v xml:space="preserve">2170673586 </v>
      </c>
      <c r="G1379" s="11" t="str">
        <f t="shared" si="44"/>
        <v>ON1</v>
      </c>
      <c r="H1379" s="11" t="s">
        <v>20</v>
      </c>
      <c r="I1379" s="11" t="s">
        <v>404</v>
      </c>
      <c r="J1379" s="11" t="str">
        <f>""</f>
        <v/>
      </c>
      <c r="K1379" s="11" t="str">
        <f>"PFES1162672245_0001"</f>
        <v>PFES1162672245_0001</v>
      </c>
      <c r="L1379" s="11">
        <v>1</v>
      </c>
      <c r="M1379" s="11">
        <v>1</v>
      </c>
    </row>
    <row r="1380" spans="1:13">
      <c r="A1380" s="6">
        <v>43507</v>
      </c>
      <c r="B1380" s="7">
        <v>0.61041666666666672</v>
      </c>
      <c r="C1380" s="11" t="str">
        <f>"FES1162672185"</f>
        <v>FES1162672185</v>
      </c>
      <c r="D1380" s="11" t="s">
        <v>18</v>
      </c>
      <c r="E1380" s="11" t="s">
        <v>704</v>
      </c>
      <c r="F1380" s="11" t="str">
        <f>"2170668090 "</f>
        <v xml:space="preserve">2170668090 </v>
      </c>
      <c r="G1380" s="11" t="str">
        <f t="shared" si="44"/>
        <v>ON1</v>
      </c>
      <c r="H1380" s="11" t="s">
        <v>20</v>
      </c>
      <c r="I1380" s="11" t="s">
        <v>228</v>
      </c>
      <c r="J1380" s="11" t="str">
        <f>""</f>
        <v/>
      </c>
      <c r="K1380" s="11" t="str">
        <f>"PFES1162672185_0001"</f>
        <v>PFES1162672185_0001</v>
      </c>
      <c r="L1380" s="11">
        <v>1</v>
      </c>
      <c r="M1380" s="11">
        <v>1</v>
      </c>
    </row>
    <row r="1381" spans="1:13">
      <c r="A1381" s="6">
        <v>43507</v>
      </c>
      <c r="B1381" s="7">
        <v>0.60972222222222217</v>
      </c>
      <c r="C1381" s="11" t="str">
        <f>"FES1162672304"</f>
        <v>FES1162672304</v>
      </c>
      <c r="D1381" s="11" t="s">
        <v>18</v>
      </c>
      <c r="E1381" s="11" t="s">
        <v>136</v>
      </c>
      <c r="F1381" s="11" t="str">
        <f>"2170673632 "</f>
        <v xml:space="preserve">2170673632 </v>
      </c>
      <c r="G1381" s="11" t="str">
        <f t="shared" si="44"/>
        <v>ON1</v>
      </c>
      <c r="H1381" s="11" t="s">
        <v>20</v>
      </c>
      <c r="I1381" s="11" t="s">
        <v>137</v>
      </c>
      <c r="J1381" s="11" t="str">
        <f>""</f>
        <v/>
      </c>
      <c r="K1381" s="11" t="str">
        <f>"PFES1162672304_0001"</f>
        <v>PFES1162672304_0001</v>
      </c>
      <c r="L1381" s="11">
        <v>1</v>
      </c>
      <c r="M1381" s="11">
        <v>2</v>
      </c>
    </row>
    <row r="1382" spans="1:13">
      <c r="A1382" s="6">
        <v>43507</v>
      </c>
      <c r="B1382" s="7">
        <v>0.60902777777777783</v>
      </c>
      <c r="C1382" s="11" t="str">
        <f>"FES1162672342"</f>
        <v>FES1162672342</v>
      </c>
      <c r="D1382" s="11" t="s">
        <v>18</v>
      </c>
      <c r="E1382" s="11" t="s">
        <v>58</v>
      </c>
      <c r="F1382" s="11" t="str">
        <f>"2170673659 "</f>
        <v xml:space="preserve">2170673659 </v>
      </c>
      <c r="G1382" s="11" t="str">
        <f t="shared" si="44"/>
        <v>ON1</v>
      </c>
      <c r="H1382" s="11" t="s">
        <v>20</v>
      </c>
      <c r="I1382" s="11" t="s">
        <v>59</v>
      </c>
      <c r="J1382" s="11" t="str">
        <f>""</f>
        <v/>
      </c>
      <c r="K1382" s="11" t="str">
        <f>"PFES1162672342_0001"</f>
        <v>PFES1162672342_0001</v>
      </c>
      <c r="L1382" s="11">
        <v>1</v>
      </c>
      <c r="M1382" s="11">
        <v>1</v>
      </c>
    </row>
    <row r="1383" spans="1:13">
      <c r="A1383" s="6">
        <v>43507</v>
      </c>
      <c r="B1383" s="7">
        <v>0.60902777777777783</v>
      </c>
      <c r="C1383" s="11" t="str">
        <f>"FES1162672261"</f>
        <v>FES1162672261</v>
      </c>
      <c r="D1383" s="11" t="s">
        <v>18</v>
      </c>
      <c r="E1383" s="11" t="s">
        <v>212</v>
      </c>
      <c r="F1383" s="11" t="str">
        <f>"2170673605 "</f>
        <v xml:space="preserve">2170673605 </v>
      </c>
      <c r="G1383" s="11" t="str">
        <f t="shared" si="44"/>
        <v>ON1</v>
      </c>
      <c r="H1383" s="11" t="s">
        <v>20</v>
      </c>
      <c r="I1383" s="11" t="s">
        <v>213</v>
      </c>
      <c r="J1383" s="11" t="str">
        <f>""</f>
        <v/>
      </c>
      <c r="K1383" s="11" t="str">
        <f>"PFES1162672261_0001"</f>
        <v>PFES1162672261_0001</v>
      </c>
      <c r="L1383" s="11">
        <v>1</v>
      </c>
      <c r="M1383" s="11">
        <v>2</v>
      </c>
    </row>
    <row r="1384" spans="1:13">
      <c r="A1384" s="6">
        <v>43507</v>
      </c>
      <c r="B1384" s="7">
        <v>0.60763888888888895</v>
      </c>
      <c r="C1384" s="11" t="str">
        <f>"FES1162672337"</f>
        <v>FES1162672337</v>
      </c>
      <c r="D1384" s="11" t="s">
        <v>18</v>
      </c>
      <c r="E1384" s="11" t="s">
        <v>375</v>
      </c>
      <c r="F1384" s="11" t="str">
        <f>"2170673447 "</f>
        <v xml:space="preserve">2170673447 </v>
      </c>
      <c r="G1384" s="11" t="str">
        <f t="shared" si="44"/>
        <v>ON1</v>
      </c>
      <c r="H1384" s="11" t="s">
        <v>20</v>
      </c>
      <c r="I1384" s="11" t="s">
        <v>99</v>
      </c>
      <c r="J1384" s="11" t="str">
        <f>""</f>
        <v/>
      </c>
      <c r="K1384" s="11" t="str">
        <f>"PFES1162672337_0001"</f>
        <v>PFES1162672337_0001</v>
      </c>
      <c r="L1384" s="11">
        <v>1</v>
      </c>
      <c r="M1384" s="11">
        <v>4</v>
      </c>
    </row>
    <row r="1385" spans="1:13">
      <c r="A1385" s="6">
        <v>43507</v>
      </c>
      <c r="B1385" s="7">
        <v>0.60625000000000007</v>
      </c>
      <c r="C1385" s="11" t="str">
        <f>"FES1162672315"</f>
        <v>FES1162672315</v>
      </c>
      <c r="D1385" s="11" t="s">
        <v>18</v>
      </c>
      <c r="E1385" s="11" t="s">
        <v>726</v>
      </c>
      <c r="F1385" s="11" t="str">
        <f>"2170673223 "</f>
        <v xml:space="preserve">2170673223 </v>
      </c>
      <c r="G1385" s="11" t="str">
        <f t="shared" si="44"/>
        <v>ON1</v>
      </c>
      <c r="H1385" s="11" t="s">
        <v>20</v>
      </c>
      <c r="I1385" s="11" t="s">
        <v>213</v>
      </c>
      <c r="J1385" s="11" t="str">
        <f>""</f>
        <v/>
      </c>
      <c r="K1385" s="11" t="str">
        <f>"PFES1162672315_0001"</f>
        <v>PFES1162672315_0001</v>
      </c>
      <c r="L1385" s="11">
        <v>1</v>
      </c>
      <c r="M1385" s="11">
        <v>5</v>
      </c>
    </row>
    <row r="1386" spans="1:13">
      <c r="A1386" s="6">
        <v>43507</v>
      </c>
      <c r="B1386" s="7">
        <v>0.60486111111111118</v>
      </c>
      <c r="C1386" s="11" t="str">
        <f>"FES1162672287"</f>
        <v>FES1162672287</v>
      </c>
      <c r="D1386" s="11" t="s">
        <v>18</v>
      </c>
      <c r="E1386" s="11" t="s">
        <v>129</v>
      </c>
      <c r="F1386" s="11" t="str">
        <f>"2170673431 "</f>
        <v xml:space="preserve">2170673431 </v>
      </c>
      <c r="G1386" s="11" t="str">
        <f t="shared" si="44"/>
        <v>ON1</v>
      </c>
      <c r="H1386" s="11" t="s">
        <v>20</v>
      </c>
      <c r="I1386" s="11" t="s">
        <v>130</v>
      </c>
      <c r="J1386" s="11" t="str">
        <f>""</f>
        <v/>
      </c>
      <c r="K1386" s="11" t="str">
        <f>"PFES1162672287_0001"</f>
        <v>PFES1162672287_0001</v>
      </c>
      <c r="L1386" s="11">
        <v>1</v>
      </c>
      <c r="M1386" s="11">
        <v>2</v>
      </c>
    </row>
    <row r="1387" spans="1:13">
      <c r="A1387" s="6">
        <v>43507</v>
      </c>
      <c r="B1387" s="7">
        <v>0.60416666666666663</v>
      </c>
      <c r="C1387" s="11" t="str">
        <f>"FES1162672283"</f>
        <v>FES1162672283</v>
      </c>
      <c r="D1387" s="11" t="s">
        <v>18</v>
      </c>
      <c r="E1387" s="11" t="s">
        <v>670</v>
      </c>
      <c r="F1387" s="11" t="str">
        <f>"2170673191 "</f>
        <v xml:space="preserve">2170673191 </v>
      </c>
      <c r="G1387" s="11" t="str">
        <f t="shared" si="44"/>
        <v>ON1</v>
      </c>
      <c r="H1387" s="11" t="s">
        <v>20</v>
      </c>
      <c r="I1387" s="11" t="s">
        <v>213</v>
      </c>
      <c r="J1387" s="11" t="str">
        <f>""</f>
        <v/>
      </c>
      <c r="K1387" s="11" t="str">
        <f>"PFES1162672283_0001"</f>
        <v>PFES1162672283_0001</v>
      </c>
      <c r="L1387" s="11">
        <v>1</v>
      </c>
      <c r="M1387" s="11">
        <v>1</v>
      </c>
    </row>
    <row r="1388" spans="1:13">
      <c r="A1388" s="6">
        <v>43507</v>
      </c>
      <c r="B1388" s="7">
        <v>0.60277777777777775</v>
      </c>
      <c r="C1388" s="11" t="str">
        <f>"FES1162672312"</f>
        <v>FES1162672312</v>
      </c>
      <c r="D1388" s="11" t="s">
        <v>18</v>
      </c>
      <c r="E1388" s="11" t="s">
        <v>47</v>
      </c>
      <c r="F1388" s="11" t="str">
        <f>"2170667864 "</f>
        <v xml:space="preserve">2170667864 </v>
      </c>
      <c r="G1388" s="11" t="str">
        <f t="shared" si="44"/>
        <v>ON1</v>
      </c>
      <c r="H1388" s="11" t="s">
        <v>20</v>
      </c>
      <c r="I1388" s="11" t="s">
        <v>48</v>
      </c>
      <c r="J1388" s="11" t="str">
        <f>""</f>
        <v/>
      </c>
      <c r="K1388" s="11" t="str">
        <f>"PFES1162672312_0001"</f>
        <v>PFES1162672312_0001</v>
      </c>
      <c r="L1388" s="11">
        <v>3</v>
      </c>
      <c r="M1388" s="11">
        <v>19</v>
      </c>
    </row>
    <row r="1389" spans="1:13">
      <c r="A1389" s="6">
        <v>43507</v>
      </c>
      <c r="B1389" s="7">
        <v>0.60277777777777775</v>
      </c>
      <c r="C1389" s="11" t="str">
        <f>"FES1162672312"</f>
        <v>FES1162672312</v>
      </c>
      <c r="D1389" s="11" t="s">
        <v>18</v>
      </c>
      <c r="E1389" s="11" t="s">
        <v>47</v>
      </c>
      <c r="F1389" s="11" t="str">
        <f t="shared" ref="F1389:F1390" si="45">"2170667864 "</f>
        <v xml:space="preserve">2170667864 </v>
      </c>
      <c r="G1389" s="11" t="str">
        <f t="shared" ref="G1389:G1396" si="46">"ON1"</f>
        <v>ON1</v>
      </c>
      <c r="H1389" s="11" t="s">
        <v>20</v>
      </c>
      <c r="I1389" s="11" t="s">
        <v>48</v>
      </c>
      <c r="J1389" s="11"/>
      <c r="K1389" s="11" t="str">
        <f>"PFES1162672312_0002"</f>
        <v>PFES1162672312_0002</v>
      </c>
      <c r="L1389" s="11">
        <v>3</v>
      </c>
      <c r="M1389" s="11">
        <v>19</v>
      </c>
    </row>
    <row r="1390" spans="1:13">
      <c r="A1390" s="6">
        <v>43507</v>
      </c>
      <c r="B1390" s="7">
        <v>0.60277777777777775</v>
      </c>
      <c r="C1390" s="11" t="str">
        <f>"FES1162672312"</f>
        <v>FES1162672312</v>
      </c>
      <c r="D1390" s="11" t="s">
        <v>18</v>
      </c>
      <c r="E1390" s="11" t="s">
        <v>47</v>
      </c>
      <c r="F1390" s="11" t="str">
        <f t="shared" si="45"/>
        <v xml:space="preserve">2170667864 </v>
      </c>
      <c r="G1390" s="11" t="str">
        <f t="shared" si="46"/>
        <v>ON1</v>
      </c>
      <c r="H1390" s="11" t="s">
        <v>20</v>
      </c>
      <c r="I1390" s="11" t="s">
        <v>48</v>
      </c>
      <c r="J1390" s="11"/>
      <c r="K1390" s="11" t="str">
        <f>"PFES1162672312_0003"</f>
        <v>PFES1162672312_0003</v>
      </c>
      <c r="L1390" s="11">
        <v>3</v>
      </c>
      <c r="M1390" s="11">
        <v>19</v>
      </c>
    </row>
    <row r="1391" spans="1:13">
      <c r="A1391" s="6">
        <v>43507</v>
      </c>
      <c r="B1391" s="7">
        <v>0.59722222222222221</v>
      </c>
      <c r="C1391" s="11" t="str">
        <f>"FES1162672238"</f>
        <v>FES1162672238</v>
      </c>
      <c r="D1391" s="11" t="s">
        <v>18</v>
      </c>
      <c r="E1391" s="11" t="s">
        <v>253</v>
      </c>
      <c r="F1391" s="11" t="str">
        <f>"2170673579 "</f>
        <v xml:space="preserve">2170673579 </v>
      </c>
      <c r="G1391" s="11" t="str">
        <f t="shared" si="46"/>
        <v>ON1</v>
      </c>
      <c r="H1391" s="11" t="s">
        <v>20</v>
      </c>
      <c r="I1391" s="11" t="s">
        <v>226</v>
      </c>
      <c r="J1391" s="11" t="str">
        <f>""</f>
        <v/>
      </c>
      <c r="K1391" s="11" t="str">
        <f>"PFES1162672238_0001"</f>
        <v>PFES1162672238_0001</v>
      </c>
      <c r="L1391" s="11">
        <v>1</v>
      </c>
      <c r="M1391" s="11">
        <v>12</v>
      </c>
    </row>
    <row r="1392" spans="1:13">
      <c r="A1392" s="6">
        <v>43507</v>
      </c>
      <c r="B1392" s="7">
        <v>0.59652777777777777</v>
      </c>
      <c r="C1392" s="11" t="str">
        <f>"FES1162672329"</f>
        <v>FES1162672329</v>
      </c>
      <c r="D1392" s="11" t="s">
        <v>18</v>
      </c>
      <c r="E1392" s="11" t="s">
        <v>755</v>
      </c>
      <c r="F1392" s="11" t="str">
        <f>"2170671670 "</f>
        <v xml:space="preserve">2170671670 </v>
      </c>
      <c r="G1392" s="11" t="str">
        <f t="shared" si="46"/>
        <v>ON1</v>
      </c>
      <c r="H1392" s="11" t="s">
        <v>20</v>
      </c>
      <c r="I1392" s="11" t="s">
        <v>262</v>
      </c>
      <c r="J1392" s="11" t="str">
        <f>""</f>
        <v/>
      </c>
      <c r="K1392" s="11" t="str">
        <f>"PFES1162672329_0001"</f>
        <v>PFES1162672329_0001</v>
      </c>
      <c r="L1392" s="11">
        <v>1</v>
      </c>
      <c r="M1392" s="11">
        <v>5</v>
      </c>
    </row>
    <row r="1393" spans="1:13">
      <c r="A1393" s="6">
        <v>43507</v>
      </c>
      <c r="B1393" s="7">
        <v>0.58888888888888891</v>
      </c>
      <c r="C1393" s="11" t="str">
        <f>"FES1162671725"</f>
        <v>FES1162671725</v>
      </c>
      <c r="D1393" s="11" t="s">
        <v>18</v>
      </c>
      <c r="E1393" s="11" t="s">
        <v>702</v>
      </c>
      <c r="F1393" s="11" t="str">
        <f>"2170671646 "</f>
        <v xml:space="preserve">2170671646 </v>
      </c>
      <c r="G1393" s="11" t="str">
        <f t="shared" si="46"/>
        <v>ON1</v>
      </c>
      <c r="H1393" s="11" t="s">
        <v>20</v>
      </c>
      <c r="I1393" s="11" t="s">
        <v>703</v>
      </c>
      <c r="J1393" s="11" t="str">
        <f>""</f>
        <v/>
      </c>
      <c r="K1393" s="11" t="str">
        <f>"PFES1162671725_0001"</f>
        <v>PFES1162671725_0001</v>
      </c>
      <c r="L1393" s="11">
        <v>1</v>
      </c>
      <c r="M1393" s="11">
        <v>1</v>
      </c>
    </row>
    <row r="1394" spans="1:13">
      <c r="A1394" s="6">
        <v>43507</v>
      </c>
      <c r="B1394" s="7">
        <v>0.58888888888888891</v>
      </c>
      <c r="C1394" s="11" t="str">
        <f>"FES1162672268"</f>
        <v>FES1162672268</v>
      </c>
      <c r="D1394" s="11" t="s">
        <v>18</v>
      </c>
      <c r="E1394" s="11" t="s">
        <v>293</v>
      </c>
      <c r="F1394" s="11" t="str">
        <f>"2170673279 "</f>
        <v xml:space="preserve">2170673279 </v>
      </c>
      <c r="G1394" s="11" t="str">
        <f t="shared" si="46"/>
        <v>ON1</v>
      </c>
      <c r="H1394" s="11" t="s">
        <v>20</v>
      </c>
      <c r="I1394" s="11" t="s">
        <v>294</v>
      </c>
      <c r="J1394" s="11" t="str">
        <f>""</f>
        <v/>
      </c>
      <c r="K1394" s="11" t="str">
        <f>"PFES1162672268_0001"</f>
        <v>PFES1162672268_0001</v>
      </c>
      <c r="L1394" s="11">
        <v>1</v>
      </c>
      <c r="M1394" s="11">
        <v>1</v>
      </c>
    </row>
    <row r="1395" spans="1:13">
      <c r="A1395" s="6">
        <v>43507</v>
      </c>
      <c r="B1395" s="7">
        <v>0.58333333333333337</v>
      </c>
      <c r="C1395" s="11" t="str">
        <f>"FES1162672310"</f>
        <v>FES1162672310</v>
      </c>
      <c r="D1395" s="11" t="s">
        <v>18</v>
      </c>
      <c r="E1395" s="11" t="s">
        <v>203</v>
      </c>
      <c r="F1395" s="11" t="str">
        <f>"2170672373 "</f>
        <v xml:space="preserve">2170672373 </v>
      </c>
      <c r="G1395" s="11" t="str">
        <f t="shared" si="46"/>
        <v>ON1</v>
      </c>
      <c r="H1395" s="11" t="s">
        <v>20</v>
      </c>
      <c r="I1395" s="11" t="s">
        <v>204</v>
      </c>
      <c r="J1395" s="11" t="str">
        <f>""</f>
        <v/>
      </c>
      <c r="K1395" s="11" t="str">
        <f>"PFES1162672310_0001"</f>
        <v>PFES1162672310_0001</v>
      </c>
      <c r="L1395" s="11">
        <v>1</v>
      </c>
      <c r="M1395" s="11">
        <v>2</v>
      </c>
    </row>
    <row r="1396" spans="1:13">
      <c r="A1396" s="6">
        <v>43507</v>
      </c>
      <c r="B1396" s="7">
        <v>0.58124999999999993</v>
      </c>
      <c r="C1396" s="11" t="str">
        <f>"FES1162672256"</f>
        <v>FES1162672256</v>
      </c>
      <c r="D1396" s="11" t="s">
        <v>18</v>
      </c>
      <c r="E1396" s="11" t="s">
        <v>652</v>
      </c>
      <c r="F1396" s="11" t="str">
        <f>"2170673601 "</f>
        <v xml:space="preserve">2170673601 </v>
      </c>
      <c r="G1396" s="11" t="str">
        <f t="shared" si="46"/>
        <v>ON1</v>
      </c>
      <c r="H1396" s="11" t="s">
        <v>20</v>
      </c>
      <c r="I1396" s="11" t="s">
        <v>653</v>
      </c>
      <c r="J1396" s="11" t="str">
        <f>""</f>
        <v/>
      </c>
      <c r="K1396" s="11" t="str">
        <f>"PFES1162672256_0001"</f>
        <v>PFES1162672256_0001</v>
      </c>
      <c r="L1396" s="11">
        <v>1</v>
      </c>
      <c r="M1396" s="11">
        <v>1</v>
      </c>
    </row>
    <row r="1397" spans="1:13">
      <c r="A1397" s="6">
        <v>43507</v>
      </c>
      <c r="B1397" s="7">
        <v>0.58124999999999993</v>
      </c>
      <c r="C1397" s="11" t="str">
        <f>"FES1162672291"</f>
        <v>FES1162672291</v>
      </c>
      <c r="D1397" s="11" t="s">
        <v>18</v>
      </c>
      <c r="E1397" s="11" t="s">
        <v>140</v>
      </c>
      <c r="F1397" s="11" t="str">
        <f>"2170673619 "</f>
        <v xml:space="preserve">2170673619 </v>
      </c>
      <c r="G1397" s="11" t="str">
        <f>"DBC"</f>
        <v>DBC</v>
      </c>
      <c r="H1397" s="11" t="s">
        <v>20</v>
      </c>
      <c r="I1397" s="11" t="s">
        <v>141</v>
      </c>
      <c r="J1397" s="11" t="str">
        <f>"FRAGILE OIL"</f>
        <v>FRAGILE OIL</v>
      </c>
      <c r="K1397" s="11" t="str">
        <f>"PFES1162672291_0001"</f>
        <v>PFES1162672291_0001</v>
      </c>
      <c r="L1397" s="11">
        <v>1</v>
      </c>
      <c r="M1397" s="11">
        <v>1</v>
      </c>
    </row>
    <row r="1398" spans="1:13">
      <c r="A1398" s="6">
        <v>43507</v>
      </c>
      <c r="B1398" s="7">
        <v>0.58124999999999993</v>
      </c>
      <c r="C1398" s="11" t="str">
        <f>"FES1162672251"</f>
        <v>FES1162672251</v>
      </c>
      <c r="D1398" s="11" t="s">
        <v>18</v>
      </c>
      <c r="E1398" s="11" t="s">
        <v>756</v>
      </c>
      <c r="F1398" s="11" t="str">
        <f>"2170673594 "</f>
        <v xml:space="preserve">2170673594 </v>
      </c>
      <c r="G1398" s="11" t="str">
        <f t="shared" ref="G1398:G1431" si="47">"ON1"</f>
        <v>ON1</v>
      </c>
      <c r="H1398" s="11" t="s">
        <v>20</v>
      </c>
      <c r="I1398" s="11" t="s">
        <v>55</v>
      </c>
      <c r="J1398" s="11" t="str">
        <f>""</f>
        <v/>
      </c>
      <c r="K1398" s="11" t="str">
        <f>"PFES1162672251_0001"</f>
        <v>PFES1162672251_0001</v>
      </c>
      <c r="L1398" s="11">
        <v>1</v>
      </c>
      <c r="M1398" s="11">
        <v>1</v>
      </c>
    </row>
    <row r="1399" spans="1:13">
      <c r="A1399" s="6">
        <v>43507</v>
      </c>
      <c r="B1399" s="7">
        <v>0.5805555555555556</v>
      </c>
      <c r="C1399" s="11" t="str">
        <f>"FES1162672179"</f>
        <v>FES1162672179</v>
      </c>
      <c r="D1399" s="11" t="s">
        <v>18</v>
      </c>
      <c r="E1399" s="11" t="s">
        <v>757</v>
      </c>
      <c r="F1399" s="11" t="str">
        <f>"2170673448 "</f>
        <v xml:space="preserve">2170673448 </v>
      </c>
      <c r="G1399" s="11" t="str">
        <f t="shared" si="47"/>
        <v>ON1</v>
      </c>
      <c r="H1399" s="11" t="s">
        <v>20</v>
      </c>
      <c r="I1399" s="11" t="s">
        <v>61</v>
      </c>
      <c r="J1399" s="11" t="str">
        <f>""</f>
        <v/>
      </c>
      <c r="K1399" s="11" t="str">
        <f>"PFES1162672179_0001"</f>
        <v>PFES1162672179_0001</v>
      </c>
      <c r="L1399" s="11">
        <v>1</v>
      </c>
      <c r="M1399" s="11">
        <v>1</v>
      </c>
    </row>
    <row r="1400" spans="1:13">
      <c r="A1400" s="6">
        <v>43507</v>
      </c>
      <c r="B1400" s="7">
        <v>0.5805555555555556</v>
      </c>
      <c r="C1400" s="11" t="str">
        <f>"FES1162672204"</f>
        <v>FES1162672204</v>
      </c>
      <c r="D1400" s="11" t="s">
        <v>18</v>
      </c>
      <c r="E1400" s="11" t="s">
        <v>306</v>
      </c>
      <c r="F1400" s="11" t="str">
        <f>"2170673263 "</f>
        <v xml:space="preserve">2170673263 </v>
      </c>
      <c r="G1400" s="11" t="str">
        <f t="shared" si="47"/>
        <v>ON1</v>
      </c>
      <c r="H1400" s="11" t="s">
        <v>20</v>
      </c>
      <c r="I1400" s="11" t="s">
        <v>237</v>
      </c>
      <c r="J1400" s="11" t="str">
        <f>""</f>
        <v/>
      </c>
      <c r="K1400" s="11" t="str">
        <f>"PFES1162672204_0001"</f>
        <v>PFES1162672204_0001</v>
      </c>
      <c r="L1400" s="11">
        <v>1</v>
      </c>
      <c r="M1400" s="11">
        <v>2</v>
      </c>
    </row>
    <row r="1401" spans="1:13">
      <c r="A1401" s="6">
        <v>43507</v>
      </c>
      <c r="B1401" s="7">
        <v>0.57986111111111105</v>
      </c>
      <c r="C1401" s="11" t="str">
        <f>"FES1162672244"</f>
        <v>FES1162672244</v>
      </c>
      <c r="D1401" s="11" t="s">
        <v>18</v>
      </c>
      <c r="E1401" s="11" t="s">
        <v>508</v>
      </c>
      <c r="F1401" s="11" t="str">
        <f>"2170673858 "</f>
        <v xml:space="preserve">2170673858 </v>
      </c>
      <c r="G1401" s="11" t="str">
        <f t="shared" si="47"/>
        <v>ON1</v>
      </c>
      <c r="H1401" s="11" t="s">
        <v>20</v>
      </c>
      <c r="I1401" s="11" t="s">
        <v>509</v>
      </c>
      <c r="J1401" s="11" t="str">
        <f>""</f>
        <v/>
      </c>
      <c r="K1401" s="11" t="str">
        <f>"PFES1162672244_0001"</f>
        <v>PFES1162672244_0001</v>
      </c>
      <c r="L1401" s="11">
        <v>1</v>
      </c>
      <c r="M1401" s="11">
        <v>1</v>
      </c>
    </row>
    <row r="1402" spans="1:13">
      <c r="A1402" s="6">
        <v>43507</v>
      </c>
      <c r="B1402" s="7">
        <v>0.57986111111111105</v>
      </c>
      <c r="C1402" s="11" t="str">
        <f>"FES1162672210"</f>
        <v>FES1162672210</v>
      </c>
      <c r="D1402" s="11" t="s">
        <v>18</v>
      </c>
      <c r="E1402" s="11" t="s">
        <v>160</v>
      </c>
      <c r="F1402" s="11" t="str">
        <f>"2170673553 "</f>
        <v xml:space="preserve">2170673553 </v>
      </c>
      <c r="G1402" s="11" t="str">
        <f t="shared" si="47"/>
        <v>ON1</v>
      </c>
      <c r="H1402" s="11" t="s">
        <v>20</v>
      </c>
      <c r="I1402" s="11" t="s">
        <v>161</v>
      </c>
      <c r="J1402" s="11" t="str">
        <f>""</f>
        <v/>
      </c>
      <c r="K1402" s="11" t="str">
        <f>"PFES1162672210_0001"</f>
        <v>PFES1162672210_0001</v>
      </c>
      <c r="L1402" s="11">
        <v>1</v>
      </c>
      <c r="M1402" s="11">
        <v>1</v>
      </c>
    </row>
    <row r="1403" spans="1:13">
      <c r="A1403" s="6">
        <v>43507</v>
      </c>
      <c r="B1403" s="7">
        <v>0.57916666666666672</v>
      </c>
      <c r="C1403" s="11" t="str">
        <f>"FES1162672194"</f>
        <v>FES1162672194</v>
      </c>
      <c r="D1403" s="11" t="s">
        <v>18</v>
      </c>
      <c r="E1403" s="11" t="s">
        <v>212</v>
      </c>
      <c r="F1403" s="11" t="str">
        <f>"2170672306 "</f>
        <v xml:space="preserve">2170672306 </v>
      </c>
      <c r="G1403" s="11" t="str">
        <f t="shared" si="47"/>
        <v>ON1</v>
      </c>
      <c r="H1403" s="11" t="s">
        <v>20</v>
      </c>
      <c r="I1403" s="11" t="s">
        <v>213</v>
      </c>
      <c r="J1403" s="11" t="str">
        <f>""</f>
        <v/>
      </c>
      <c r="K1403" s="11" t="str">
        <f>"PFES1162672194_0001"</f>
        <v>PFES1162672194_0001</v>
      </c>
      <c r="L1403" s="11">
        <v>1</v>
      </c>
      <c r="M1403" s="11">
        <v>1</v>
      </c>
    </row>
    <row r="1404" spans="1:13">
      <c r="A1404" s="6">
        <v>43507</v>
      </c>
      <c r="B1404" s="7">
        <v>0.57916666666666672</v>
      </c>
      <c r="C1404" s="11" t="str">
        <f>"FES1162672274"</f>
        <v>FES1162672274</v>
      </c>
      <c r="D1404" s="11" t="s">
        <v>18</v>
      </c>
      <c r="E1404" s="11" t="s">
        <v>758</v>
      </c>
      <c r="F1404" s="11" t="str">
        <f>"2170671385 "</f>
        <v xml:space="preserve">2170671385 </v>
      </c>
      <c r="G1404" s="11" t="str">
        <f t="shared" si="47"/>
        <v>ON1</v>
      </c>
      <c r="H1404" s="11" t="s">
        <v>20</v>
      </c>
      <c r="I1404" s="11" t="s">
        <v>48</v>
      </c>
      <c r="J1404" s="11" t="str">
        <f>""</f>
        <v/>
      </c>
      <c r="K1404" s="11" t="str">
        <f>"PFES1162672274_0001"</f>
        <v>PFES1162672274_0001</v>
      </c>
      <c r="L1404" s="11">
        <v>1</v>
      </c>
      <c r="M1404" s="11">
        <v>1</v>
      </c>
    </row>
    <row r="1405" spans="1:13">
      <c r="A1405" s="6">
        <v>43507</v>
      </c>
      <c r="B1405" s="7">
        <v>0.57916666666666672</v>
      </c>
      <c r="C1405" s="11" t="str">
        <f>"FES1162672239"</f>
        <v>FES1162672239</v>
      </c>
      <c r="D1405" s="11" t="s">
        <v>18</v>
      </c>
      <c r="E1405" s="11" t="s">
        <v>291</v>
      </c>
      <c r="F1405" s="11" t="str">
        <f>"2170673580 "</f>
        <v xml:space="preserve">2170673580 </v>
      </c>
      <c r="G1405" s="11" t="str">
        <f t="shared" si="47"/>
        <v>ON1</v>
      </c>
      <c r="H1405" s="11" t="s">
        <v>20</v>
      </c>
      <c r="I1405" s="11" t="s">
        <v>139</v>
      </c>
      <c r="J1405" s="11" t="str">
        <f>""</f>
        <v/>
      </c>
      <c r="K1405" s="11" t="str">
        <f>"PFES1162672239_0001"</f>
        <v>PFES1162672239_0001</v>
      </c>
      <c r="L1405" s="11">
        <v>1</v>
      </c>
      <c r="M1405" s="11">
        <v>1</v>
      </c>
    </row>
    <row r="1406" spans="1:13">
      <c r="A1406" s="6">
        <v>43507</v>
      </c>
      <c r="B1406" s="7">
        <v>0.57847222222222217</v>
      </c>
      <c r="C1406" s="11" t="str">
        <f>"FES1162672248"</f>
        <v>FES1162672248</v>
      </c>
      <c r="D1406" s="11" t="s">
        <v>18</v>
      </c>
      <c r="E1406" s="11" t="s">
        <v>129</v>
      </c>
      <c r="F1406" s="11" t="str">
        <f>"2170673591 "</f>
        <v xml:space="preserve">2170673591 </v>
      </c>
      <c r="G1406" s="11" t="str">
        <f t="shared" si="47"/>
        <v>ON1</v>
      </c>
      <c r="H1406" s="11" t="s">
        <v>20</v>
      </c>
      <c r="I1406" s="11" t="s">
        <v>130</v>
      </c>
      <c r="J1406" s="11" t="str">
        <f>""</f>
        <v/>
      </c>
      <c r="K1406" s="11" t="str">
        <f>"PFES1162672248_0001"</f>
        <v>PFES1162672248_0001</v>
      </c>
      <c r="L1406" s="11">
        <v>1</v>
      </c>
      <c r="M1406" s="11">
        <v>1</v>
      </c>
    </row>
    <row r="1407" spans="1:13">
      <c r="A1407" s="6">
        <v>43507</v>
      </c>
      <c r="B1407" s="7">
        <v>0.57847222222222217</v>
      </c>
      <c r="C1407" s="11" t="str">
        <f>"FES1162672187"</f>
        <v>FES1162672187</v>
      </c>
      <c r="D1407" s="11" t="s">
        <v>18</v>
      </c>
      <c r="E1407" s="11" t="s">
        <v>80</v>
      </c>
      <c r="F1407" s="11" t="str">
        <f>"2170670581 "</f>
        <v xml:space="preserve">2170670581 </v>
      </c>
      <c r="G1407" s="11" t="str">
        <f t="shared" si="47"/>
        <v>ON1</v>
      </c>
      <c r="H1407" s="11" t="s">
        <v>20</v>
      </c>
      <c r="I1407" s="11" t="s">
        <v>81</v>
      </c>
      <c r="J1407" s="11" t="str">
        <f>""</f>
        <v/>
      </c>
      <c r="K1407" s="11" t="str">
        <f>"PFES1162672187_0001"</f>
        <v>PFES1162672187_0001</v>
      </c>
      <c r="L1407" s="11">
        <v>1</v>
      </c>
      <c r="M1407" s="11">
        <v>1</v>
      </c>
    </row>
    <row r="1408" spans="1:13">
      <c r="A1408" s="6">
        <v>43507</v>
      </c>
      <c r="B1408" s="7">
        <v>0.57847222222222217</v>
      </c>
      <c r="C1408" s="11" t="str">
        <f>"FES1162672181"</f>
        <v>FES1162672181</v>
      </c>
      <c r="D1408" s="11" t="s">
        <v>18</v>
      </c>
      <c r="E1408" s="11" t="s">
        <v>373</v>
      </c>
      <c r="F1408" s="11" t="str">
        <f>"2170673524 "</f>
        <v xml:space="preserve">2170673524 </v>
      </c>
      <c r="G1408" s="11" t="str">
        <f t="shared" si="47"/>
        <v>ON1</v>
      </c>
      <c r="H1408" s="11" t="s">
        <v>20</v>
      </c>
      <c r="I1408" s="11" t="s">
        <v>237</v>
      </c>
      <c r="J1408" s="11" t="str">
        <f>""</f>
        <v/>
      </c>
      <c r="K1408" s="11" t="str">
        <f>"PFES1162672181_0001"</f>
        <v>PFES1162672181_0001</v>
      </c>
      <c r="L1408" s="11">
        <v>1</v>
      </c>
      <c r="M1408" s="11">
        <v>1</v>
      </c>
    </row>
    <row r="1409" spans="1:13">
      <c r="A1409" s="6">
        <v>43507</v>
      </c>
      <c r="B1409" s="7">
        <v>0.57777777777777783</v>
      </c>
      <c r="C1409" s="11" t="str">
        <f>"FES1162672254"</f>
        <v>FES1162672254</v>
      </c>
      <c r="D1409" s="11" t="s">
        <v>18</v>
      </c>
      <c r="E1409" s="11" t="s">
        <v>759</v>
      </c>
      <c r="F1409" s="11" t="str">
        <f>"2170673599 "</f>
        <v xml:space="preserve">2170673599 </v>
      </c>
      <c r="G1409" s="11" t="str">
        <f t="shared" si="47"/>
        <v>ON1</v>
      </c>
      <c r="H1409" s="11" t="s">
        <v>20</v>
      </c>
      <c r="I1409" s="11" t="s">
        <v>239</v>
      </c>
      <c r="J1409" s="11" t="str">
        <f>""</f>
        <v/>
      </c>
      <c r="K1409" s="11" t="str">
        <f>"PFES1162672254_0001"</f>
        <v>PFES1162672254_0001</v>
      </c>
      <c r="L1409" s="11">
        <v>1</v>
      </c>
      <c r="M1409" s="11">
        <v>1</v>
      </c>
    </row>
    <row r="1410" spans="1:13">
      <c r="A1410" s="6">
        <v>43507</v>
      </c>
      <c r="B1410" s="7">
        <v>0.57777777777777783</v>
      </c>
      <c r="C1410" s="11" t="str">
        <f>"FES1162672178"</f>
        <v>FES1162672178</v>
      </c>
      <c r="D1410" s="11" t="s">
        <v>18</v>
      </c>
      <c r="E1410" s="11" t="s">
        <v>760</v>
      </c>
      <c r="F1410" s="11" t="str">
        <f>"2170673284 "</f>
        <v xml:space="preserve">2170673284 </v>
      </c>
      <c r="G1410" s="11" t="str">
        <f t="shared" si="47"/>
        <v>ON1</v>
      </c>
      <c r="H1410" s="11" t="s">
        <v>20</v>
      </c>
      <c r="I1410" s="11" t="s">
        <v>761</v>
      </c>
      <c r="J1410" s="11" t="str">
        <f>""</f>
        <v/>
      </c>
      <c r="K1410" s="11" t="str">
        <f>"PFES1162672178_0001"</f>
        <v>PFES1162672178_0001</v>
      </c>
      <c r="L1410" s="11">
        <v>1</v>
      </c>
      <c r="M1410" s="11">
        <v>1</v>
      </c>
    </row>
    <row r="1411" spans="1:13">
      <c r="A1411" s="6">
        <v>43507</v>
      </c>
      <c r="B1411" s="7">
        <v>0.57708333333333328</v>
      </c>
      <c r="C1411" s="11" t="str">
        <f>"FES1162672207"</f>
        <v>FES1162672207</v>
      </c>
      <c r="D1411" s="11" t="s">
        <v>18</v>
      </c>
      <c r="E1411" s="11" t="s">
        <v>372</v>
      </c>
      <c r="F1411" s="11" t="str">
        <f>"2170673528 "</f>
        <v xml:space="preserve">2170673528 </v>
      </c>
      <c r="G1411" s="11" t="str">
        <f t="shared" si="47"/>
        <v>ON1</v>
      </c>
      <c r="H1411" s="11" t="s">
        <v>20</v>
      </c>
      <c r="I1411" s="11" t="s">
        <v>143</v>
      </c>
      <c r="J1411" s="11" t="str">
        <f>""</f>
        <v/>
      </c>
      <c r="K1411" s="11" t="str">
        <f>"PFES1162672207_0001"</f>
        <v>PFES1162672207_0001</v>
      </c>
      <c r="L1411" s="11">
        <v>1</v>
      </c>
      <c r="M1411" s="11">
        <v>1</v>
      </c>
    </row>
    <row r="1412" spans="1:13">
      <c r="A1412" s="6">
        <v>43507</v>
      </c>
      <c r="B1412" s="7">
        <v>0.57708333333333328</v>
      </c>
      <c r="C1412" s="11" t="str">
        <f>"FES1162672189"</f>
        <v>FES1162672189</v>
      </c>
      <c r="D1412" s="11" t="s">
        <v>18</v>
      </c>
      <c r="E1412" s="11" t="s">
        <v>299</v>
      </c>
      <c r="F1412" s="11" t="str">
        <f>"2170671497 "</f>
        <v xml:space="preserve">2170671497 </v>
      </c>
      <c r="G1412" s="11" t="str">
        <f t="shared" si="47"/>
        <v>ON1</v>
      </c>
      <c r="H1412" s="11" t="s">
        <v>20</v>
      </c>
      <c r="I1412" s="11" t="s">
        <v>43</v>
      </c>
      <c r="J1412" s="11" t="str">
        <f>""</f>
        <v/>
      </c>
      <c r="K1412" s="11" t="str">
        <f>"PFES1162672189_0001"</f>
        <v>PFES1162672189_0001</v>
      </c>
      <c r="L1412" s="11">
        <v>1</v>
      </c>
      <c r="M1412" s="11">
        <v>1</v>
      </c>
    </row>
    <row r="1413" spans="1:13">
      <c r="A1413" s="6">
        <v>43507</v>
      </c>
      <c r="B1413" s="7">
        <v>0.57638888888888895</v>
      </c>
      <c r="C1413" s="11" t="str">
        <f>"FES1162672233"</f>
        <v>FES1162672233</v>
      </c>
      <c r="D1413" s="11" t="s">
        <v>18</v>
      </c>
      <c r="E1413" s="11" t="s">
        <v>34</v>
      </c>
      <c r="F1413" s="11" t="str">
        <f>"2170673568 "</f>
        <v xml:space="preserve">2170673568 </v>
      </c>
      <c r="G1413" s="11" t="str">
        <f t="shared" si="47"/>
        <v>ON1</v>
      </c>
      <c r="H1413" s="11" t="s">
        <v>20</v>
      </c>
      <c r="I1413" s="11" t="s">
        <v>35</v>
      </c>
      <c r="J1413" s="11" t="str">
        <f>""</f>
        <v/>
      </c>
      <c r="K1413" s="11" t="str">
        <f>"PFES1162672233_0001"</f>
        <v>PFES1162672233_0001</v>
      </c>
      <c r="L1413" s="11">
        <v>1</v>
      </c>
      <c r="M1413" s="11">
        <v>1</v>
      </c>
    </row>
    <row r="1414" spans="1:13">
      <c r="A1414" s="6">
        <v>43507</v>
      </c>
      <c r="B1414" s="7">
        <v>0.57638888888888895</v>
      </c>
      <c r="C1414" s="11" t="str">
        <f>"FES1162672230"</f>
        <v>FES1162672230</v>
      </c>
      <c r="D1414" s="11" t="s">
        <v>18</v>
      </c>
      <c r="E1414" s="11" t="s">
        <v>762</v>
      </c>
      <c r="F1414" s="11" t="str">
        <f>"2170673563 "</f>
        <v xml:space="preserve">2170673563 </v>
      </c>
      <c r="G1414" s="11" t="str">
        <f t="shared" si="47"/>
        <v>ON1</v>
      </c>
      <c r="H1414" s="11" t="s">
        <v>20</v>
      </c>
      <c r="I1414" s="11" t="s">
        <v>239</v>
      </c>
      <c r="J1414" s="11" t="str">
        <f>""</f>
        <v/>
      </c>
      <c r="K1414" s="11" t="str">
        <f>"PFES1162672230_0001"</f>
        <v>PFES1162672230_0001</v>
      </c>
      <c r="L1414" s="11">
        <v>1</v>
      </c>
      <c r="M1414" s="11">
        <v>1</v>
      </c>
    </row>
    <row r="1415" spans="1:13">
      <c r="A1415" s="6">
        <v>43507</v>
      </c>
      <c r="B1415" s="7">
        <v>0.5756944444444444</v>
      </c>
      <c r="C1415" s="11" t="str">
        <f>"FES1162672180"</f>
        <v>FES1162672180</v>
      </c>
      <c r="D1415" s="11" t="s">
        <v>18</v>
      </c>
      <c r="E1415" s="11" t="s">
        <v>460</v>
      </c>
      <c r="F1415" s="11" t="str">
        <f>"2170673522 "</f>
        <v xml:space="preserve">2170673522 </v>
      </c>
      <c r="G1415" s="11" t="str">
        <f t="shared" si="47"/>
        <v>ON1</v>
      </c>
      <c r="H1415" s="11" t="s">
        <v>20</v>
      </c>
      <c r="I1415" s="11" t="s">
        <v>239</v>
      </c>
      <c r="J1415" s="11" t="str">
        <f>""</f>
        <v/>
      </c>
      <c r="K1415" s="11" t="str">
        <f>"PFES1162672180_0001"</f>
        <v>PFES1162672180_0001</v>
      </c>
      <c r="L1415" s="11">
        <v>1</v>
      </c>
      <c r="M1415" s="11">
        <v>1</v>
      </c>
    </row>
    <row r="1416" spans="1:13">
      <c r="A1416" s="6">
        <v>43507</v>
      </c>
      <c r="B1416" s="7">
        <v>0.5756944444444444</v>
      </c>
      <c r="C1416" s="11" t="str">
        <f>"FES1162672213"</f>
        <v>FES1162672213</v>
      </c>
      <c r="D1416" s="11" t="s">
        <v>18</v>
      </c>
      <c r="E1416" s="11" t="s">
        <v>150</v>
      </c>
      <c r="F1416" s="11" t="str">
        <f>"2170673541 "</f>
        <v xml:space="preserve">2170673541 </v>
      </c>
      <c r="G1416" s="11" t="str">
        <f t="shared" si="47"/>
        <v>ON1</v>
      </c>
      <c r="H1416" s="11" t="s">
        <v>20</v>
      </c>
      <c r="I1416" s="11" t="s">
        <v>137</v>
      </c>
      <c r="J1416" s="11" t="str">
        <f>""</f>
        <v/>
      </c>
      <c r="K1416" s="11" t="str">
        <f>"PFES1162672213_0001"</f>
        <v>PFES1162672213_0001</v>
      </c>
      <c r="L1416" s="11">
        <v>1</v>
      </c>
      <c r="M1416" s="11">
        <v>12</v>
      </c>
    </row>
    <row r="1417" spans="1:13">
      <c r="A1417" s="6">
        <v>43507</v>
      </c>
      <c r="B1417" s="7">
        <v>0.5756944444444444</v>
      </c>
      <c r="C1417" s="11" t="str">
        <f>"FES1162672219"</f>
        <v>FES1162672219</v>
      </c>
      <c r="D1417" s="11" t="s">
        <v>18</v>
      </c>
      <c r="E1417" s="11" t="s">
        <v>763</v>
      </c>
      <c r="F1417" s="11" t="str">
        <f>"2170673551 "</f>
        <v xml:space="preserve">2170673551 </v>
      </c>
      <c r="G1417" s="11" t="str">
        <f t="shared" si="47"/>
        <v>ON1</v>
      </c>
      <c r="H1417" s="11" t="s">
        <v>20</v>
      </c>
      <c r="I1417" s="11" t="s">
        <v>597</v>
      </c>
      <c r="J1417" s="11" t="str">
        <f>""</f>
        <v/>
      </c>
      <c r="K1417" s="11" t="str">
        <f>"PFES1162672219_0001"</f>
        <v>PFES1162672219_0001</v>
      </c>
      <c r="L1417" s="11">
        <v>1</v>
      </c>
      <c r="M1417" s="11">
        <v>1</v>
      </c>
    </row>
    <row r="1418" spans="1:13">
      <c r="A1418" s="6">
        <v>43507</v>
      </c>
      <c r="B1418" s="7">
        <v>0.57500000000000007</v>
      </c>
      <c r="C1418" s="11" t="str">
        <f>"FES1162672203"</f>
        <v>FES1162672203</v>
      </c>
      <c r="D1418" s="11" t="s">
        <v>18</v>
      </c>
      <c r="E1418" s="11" t="s">
        <v>764</v>
      </c>
      <c r="F1418" s="11" t="str">
        <f>"2170673247 "</f>
        <v xml:space="preserve">2170673247 </v>
      </c>
      <c r="G1418" s="11" t="str">
        <f t="shared" si="47"/>
        <v>ON1</v>
      </c>
      <c r="H1418" s="11" t="s">
        <v>20</v>
      </c>
      <c r="I1418" s="11" t="s">
        <v>158</v>
      </c>
      <c r="J1418" s="11" t="str">
        <f>""</f>
        <v/>
      </c>
      <c r="K1418" s="11" t="str">
        <f>"PFES1162672203_0001"</f>
        <v>PFES1162672203_0001</v>
      </c>
      <c r="L1418" s="11">
        <v>1</v>
      </c>
      <c r="M1418" s="11">
        <v>1</v>
      </c>
    </row>
    <row r="1419" spans="1:13">
      <c r="A1419" s="6">
        <v>43507</v>
      </c>
      <c r="B1419" s="7">
        <v>0.57500000000000007</v>
      </c>
      <c r="C1419" s="11" t="str">
        <f>"FES1162672240"</f>
        <v>FES1162672240</v>
      </c>
      <c r="D1419" s="11" t="s">
        <v>18</v>
      </c>
      <c r="E1419" s="11" t="s">
        <v>19</v>
      </c>
      <c r="F1419" s="11" t="str">
        <f>"2170673581 "</f>
        <v xml:space="preserve">2170673581 </v>
      </c>
      <c r="G1419" s="11" t="str">
        <f t="shared" si="47"/>
        <v>ON1</v>
      </c>
      <c r="H1419" s="11" t="s">
        <v>20</v>
      </c>
      <c r="I1419" s="11" t="s">
        <v>21</v>
      </c>
      <c r="J1419" s="11" t="str">
        <f>""</f>
        <v/>
      </c>
      <c r="K1419" s="11" t="str">
        <f>"PFES1162672240_0001"</f>
        <v>PFES1162672240_0001</v>
      </c>
      <c r="L1419" s="11">
        <v>1</v>
      </c>
      <c r="M1419" s="11">
        <v>1</v>
      </c>
    </row>
    <row r="1420" spans="1:13">
      <c r="A1420" s="6">
        <v>43507</v>
      </c>
      <c r="B1420" s="7">
        <v>0.57430555555555551</v>
      </c>
      <c r="C1420" s="11" t="str">
        <f>"FES1162672286"</f>
        <v>FES1162672286</v>
      </c>
      <c r="D1420" s="11" t="s">
        <v>18</v>
      </c>
      <c r="E1420" s="11" t="s">
        <v>524</v>
      </c>
      <c r="F1420" s="11" t="str">
        <f>"2170673412 "</f>
        <v xml:space="preserve">2170673412 </v>
      </c>
      <c r="G1420" s="11" t="str">
        <f t="shared" si="47"/>
        <v>ON1</v>
      </c>
      <c r="H1420" s="11" t="s">
        <v>20</v>
      </c>
      <c r="I1420" s="11" t="s">
        <v>525</v>
      </c>
      <c r="J1420" s="11" t="str">
        <f>""</f>
        <v/>
      </c>
      <c r="K1420" s="11" t="str">
        <f>"PFES1162672286_0001"</f>
        <v>PFES1162672286_0001</v>
      </c>
      <c r="L1420" s="11">
        <v>1</v>
      </c>
      <c r="M1420" s="11">
        <v>1</v>
      </c>
    </row>
    <row r="1421" spans="1:13">
      <c r="A1421" s="6">
        <v>43507</v>
      </c>
      <c r="B1421" s="7">
        <v>0.57430555555555551</v>
      </c>
      <c r="C1421" s="11" t="str">
        <f>"FES1162672269"</f>
        <v>FES1162672269</v>
      </c>
      <c r="D1421" s="11" t="s">
        <v>18</v>
      </c>
      <c r="E1421" s="11" t="s">
        <v>92</v>
      </c>
      <c r="F1421" s="11" t="str">
        <f>"2170671094 "</f>
        <v xml:space="preserve">2170671094 </v>
      </c>
      <c r="G1421" s="11" t="str">
        <f t="shared" si="47"/>
        <v>ON1</v>
      </c>
      <c r="H1421" s="11" t="s">
        <v>20</v>
      </c>
      <c r="I1421" s="11" t="s">
        <v>93</v>
      </c>
      <c r="J1421" s="11" t="str">
        <f>""</f>
        <v/>
      </c>
      <c r="K1421" s="11" t="str">
        <f>"PFES1162672269_0001"</f>
        <v>PFES1162672269_0001</v>
      </c>
      <c r="L1421" s="11">
        <v>1</v>
      </c>
      <c r="M1421" s="11">
        <v>1</v>
      </c>
    </row>
    <row r="1422" spans="1:13">
      <c r="A1422" s="6">
        <v>43507</v>
      </c>
      <c r="B1422" s="7">
        <v>0.57361111111111118</v>
      </c>
      <c r="C1422" s="11" t="str">
        <f>"FES1162672279"</f>
        <v>FES1162672279</v>
      </c>
      <c r="D1422" s="11" t="s">
        <v>18</v>
      </c>
      <c r="E1422" s="11" t="s">
        <v>180</v>
      </c>
      <c r="F1422" s="11" t="str">
        <f>"2170672539 "</f>
        <v xml:space="preserve">2170672539 </v>
      </c>
      <c r="G1422" s="11" t="str">
        <f t="shared" si="47"/>
        <v>ON1</v>
      </c>
      <c r="H1422" s="11" t="s">
        <v>20</v>
      </c>
      <c r="I1422" s="11" t="s">
        <v>93</v>
      </c>
      <c r="J1422" s="11" t="str">
        <f>""</f>
        <v/>
      </c>
      <c r="K1422" s="11" t="str">
        <f>"PFES1162672279_0001"</f>
        <v>PFES1162672279_0001</v>
      </c>
      <c r="L1422" s="11">
        <v>1</v>
      </c>
      <c r="M1422" s="11">
        <v>1</v>
      </c>
    </row>
    <row r="1423" spans="1:13">
      <c r="A1423" s="6">
        <v>43507</v>
      </c>
      <c r="B1423" s="7">
        <v>0.57361111111111118</v>
      </c>
      <c r="C1423" s="11" t="str">
        <f>"FES1162672281"</f>
        <v>FES1162672281</v>
      </c>
      <c r="D1423" s="11" t="s">
        <v>18</v>
      </c>
      <c r="E1423" s="11" t="s">
        <v>452</v>
      </c>
      <c r="F1423" s="11" t="str">
        <f>"2170672900 "</f>
        <v xml:space="preserve">2170672900 </v>
      </c>
      <c r="G1423" s="11" t="str">
        <f t="shared" si="47"/>
        <v>ON1</v>
      </c>
      <c r="H1423" s="11" t="s">
        <v>20</v>
      </c>
      <c r="I1423" s="11" t="s">
        <v>453</v>
      </c>
      <c r="J1423" s="11" t="str">
        <f>""</f>
        <v/>
      </c>
      <c r="K1423" s="11" t="str">
        <f>"PFES1162672281_0001"</f>
        <v>PFES1162672281_0001</v>
      </c>
      <c r="L1423" s="11">
        <v>1</v>
      </c>
      <c r="M1423" s="11">
        <v>1</v>
      </c>
    </row>
    <row r="1424" spans="1:13">
      <c r="A1424" s="6">
        <v>43507</v>
      </c>
      <c r="B1424" s="7">
        <v>0.57291666666666663</v>
      </c>
      <c r="C1424" s="11" t="str">
        <f>"FES1162672271"</f>
        <v>FES1162672271</v>
      </c>
      <c r="D1424" s="11" t="s">
        <v>18</v>
      </c>
      <c r="E1424" s="11" t="s">
        <v>180</v>
      </c>
      <c r="F1424" s="11" t="str">
        <f>"2170671781 "</f>
        <v xml:space="preserve">2170671781 </v>
      </c>
      <c r="G1424" s="11" t="str">
        <f t="shared" si="47"/>
        <v>ON1</v>
      </c>
      <c r="H1424" s="11" t="s">
        <v>20</v>
      </c>
      <c r="I1424" s="11" t="s">
        <v>93</v>
      </c>
      <c r="J1424" s="11" t="str">
        <f>""</f>
        <v/>
      </c>
      <c r="K1424" s="11" t="str">
        <f>"PFES1162672271_0001"</f>
        <v>PFES1162672271_0001</v>
      </c>
      <c r="L1424" s="11">
        <v>1</v>
      </c>
      <c r="M1424" s="11">
        <v>1</v>
      </c>
    </row>
    <row r="1425" spans="1:13">
      <c r="A1425" s="6">
        <v>43507</v>
      </c>
      <c r="B1425" s="7">
        <v>0.57291666666666663</v>
      </c>
      <c r="C1425" s="11" t="str">
        <f>"FES1162672282"</f>
        <v>FES1162672282</v>
      </c>
      <c r="D1425" s="11" t="s">
        <v>18</v>
      </c>
      <c r="E1425" s="11" t="s">
        <v>78</v>
      </c>
      <c r="F1425" s="11" t="str">
        <f>"2170672950 "</f>
        <v xml:space="preserve">2170672950 </v>
      </c>
      <c r="G1425" s="11" t="str">
        <f t="shared" si="47"/>
        <v>ON1</v>
      </c>
      <c r="H1425" s="11" t="s">
        <v>20</v>
      </c>
      <c r="I1425" s="11" t="s">
        <v>79</v>
      </c>
      <c r="J1425" s="11" t="str">
        <f>""</f>
        <v/>
      </c>
      <c r="K1425" s="11" t="str">
        <f>"PFES1162672282_0001"</f>
        <v>PFES1162672282_0001</v>
      </c>
      <c r="L1425" s="11">
        <v>1</v>
      </c>
      <c r="M1425" s="11">
        <v>1</v>
      </c>
    </row>
    <row r="1426" spans="1:13">
      <c r="A1426" s="6">
        <v>43507</v>
      </c>
      <c r="B1426" s="7">
        <v>0.55138888888888882</v>
      </c>
      <c r="C1426" s="11" t="str">
        <f>"FES1162672259"</f>
        <v>FES1162672259</v>
      </c>
      <c r="D1426" s="11" t="s">
        <v>18</v>
      </c>
      <c r="E1426" s="11" t="s">
        <v>610</v>
      </c>
      <c r="F1426" s="11" t="str">
        <f>"2170672595 "</f>
        <v xml:space="preserve">2170672595 </v>
      </c>
      <c r="G1426" s="11" t="str">
        <f t="shared" si="47"/>
        <v>ON1</v>
      </c>
      <c r="H1426" s="11" t="s">
        <v>20</v>
      </c>
      <c r="I1426" s="11" t="s">
        <v>272</v>
      </c>
      <c r="J1426" s="11" t="str">
        <f>""</f>
        <v/>
      </c>
      <c r="K1426" s="11" t="str">
        <f>"PFES1162672259_0001"</f>
        <v>PFES1162672259_0001</v>
      </c>
      <c r="L1426" s="11">
        <v>1</v>
      </c>
      <c r="M1426" s="11">
        <v>10</v>
      </c>
    </row>
    <row r="1427" spans="1:13">
      <c r="A1427" s="6">
        <v>43507</v>
      </c>
      <c r="B1427" s="7">
        <v>0.54999999999999993</v>
      </c>
      <c r="C1427" s="11" t="str">
        <f>"FES1162672260"</f>
        <v>FES1162672260</v>
      </c>
      <c r="D1427" s="11" t="s">
        <v>18</v>
      </c>
      <c r="E1427" s="11" t="s">
        <v>765</v>
      </c>
      <c r="F1427" s="11" t="str">
        <f>"2170673603 "</f>
        <v xml:space="preserve">2170673603 </v>
      </c>
      <c r="G1427" s="11" t="str">
        <f t="shared" si="47"/>
        <v>ON1</v>
      </c>
      <c r="H1427" s="11" t="s">
        <v>20</v>
      </c>
      <c r="I1427" s="11" t="s">
        <v>369</v>
      </c>
      <c r="J1427" s="11" t="str">
        <f>""</f>
        <v/>
      </c>
      <c r="K1427" s="11" t="str">
        <f>"PFES1162672260_0001"</f>
        <v>PFES1162672260_0001</v>
      </c>
      <c r="L1427" s="11">
        <v>1</v>
      </c>
      <c r="M1427" s="11">
        <v>4</v>
      </c>
    </row>
    <row r="1428" spans="1:13">
      <c r="A1428" s="6">
        <v>43507</v>
      </c>
      <c r="B1428" s="7">
        <v>0.54861111111111105</v>
      </c>
      <c r="C1428" s="11" t="str">
        <f>"FES1162672255"</f>
        <v>FES1162672255</v>
      </c>
      <c r="D1428" s="11" t="s">
        <v>18</v>
      </c>
      <c r="E1428" s="11" t="s">
        <v>766</v>
      </c>
      <c r="F1428" s="11" t="str">
        <f>"2170673600 "</f>
        <v xml:space="preserve">2170673600 </v>
      </c>
      <c r="G1428" s="11" t="str">
        <f t="shared" si="47"/>
        <v>ON1</v>
      </c>
      <c r="H1428" s="11" t="s">
        <v>20</v>
      </c>
      <c r="I1428" s="11" t="s">
        <v>767</v>
      </c>
      <c r="J1428" s="11" t="str">
        <f>""</f>
        <v/>
      </c>
      <c r="K1428" s="11" t="str">
        <f>"PFES1162672255_0001"</f>
        <v>PFES1162672255_0001</v>
      </c>
      <c r="L1428" s="11">
        <v>1</v>
      </c>
      <c r="M1428" s="11">
        <v>1</v>
      </c>
    </row>
    <row r="1429" spans="1:13">
      <c r="A1429" s="6">
        <v>43507</v>
      </c>
      <c r="B1429" s="7">
        <v>0.54791666666666672</v>
      </c>
      <c r="C1429" s="11" t="str">
        <f>"FES1162672198"</f>
        <v>FES1162672198</v>
      </c>
      <c r="D1429" s="11" t="s">
        <v>18</v>
      </c>
      <c r="E1429" s="11" t="s">
        <v>380</v>
      </c>
      <c r="F1429" s="11" t="str">
        <f>"2170672904 "</f>
        <v xml:space="preserve">2170672904 </v>
      </c>
      <c r="G1429" s="11" t="str">
        <f t="shared" si="47"/>
        <v>ON1</v>
      </c>
      <c r="H1429" s="11" t="s">
        <v>20</v>
      </c>
      <c r="I1429" s="11" t="s">
        <v>41</v>
      </c>
      <c r="J1429" s="11" t="str">
        <f>""</f>
        <v/>
      </c>
      <c r="K1429" s="11" t="str">
        <f>"PFES1162672198_0001"</f>
        <v>PFES1162672198_0001</v>
      </c>
      <c r="L1429" s="11">
        <v>1</v>
      </c>
      <c r="M1429" s="11">
        <v>4</v>
      </c>
    </row>
    <row r="1430" spans="1:13">
      <c r="A1430" s="6">
        <v>43507</v>
      </c>
      <c r="B1430" s="7">
        <v>0.54652777777777783</v>
      </c>
      <c r="C1430" s="11" t="str">
        <f>"FES1162672201"</f>
        <v>FES1162672201</v>
      </c>
      <c r="D1430" s="11" t="s">
        <v>18</v>
      </c>
      <c r="E1430" s="11" t="s">
        <v>768</v>
      </c>
      <c r="F1430" s="11" t="str">
        <f>"2170673097 "</f>
        <v xml:space="preserve">2170673097 </v>
      </c>
      <c r="G1430" s="11" t="str">
        <f t="shared" si="47"/>
        <v>ON1</v>
      </c>
      <c r="H1430" s="11" t="s">
        <v>20</v>
      </c>
      <c r="I1430" s="11" t="s">
        <v>769</v>
      </c>
      <c r="J1430" s="11" t="str">
        <f>""</f>
        <v/>
      </c>
      <c r="K1430" s="11" t="str">
        <f>"PFES1162672201_0001"</f>
        <v>PFES1162672201_0001</v>
      </c>
      <c r="L1430" s="11">
        <v>1</v>
      </c>
      <c r="M1430" s="11">
        <v>14</v>
      </c>
    </row>
    <row r="1431" spans="1:13">
      <c r="A1431" s="6">
        <v>43507</v>
      </c>
      <c r="B1431" s="7">
        <v>0.54513888888888895</v>
      </c>
      <c r="C1431" s="11" t="str">
        <f>"FES1162672211"</f>
        <v>FES1162672211</v>
      </c>
      <c r="D1431" s="11" t="s">
        <v>18</v>
      </c>
      <c r="E1431" s="11" t="s">
        <v>160</v>
      </c>
      <c r="F1431" s="11" t="str">
        <f>"2170673537 "</f>
        <v xml:space="preserve">2170673537 </v>
      </c>
      <c r="G1431" s="11" t="str">
        <f t="shared" si="47"/>
        <v>ON1</v>
      </c>
      <c r="H1431" s="11" t="s">
        <v>20</v>
      </c>
      <c r="I1431" s="11" t="s">
        <v>161</v>
      </c>
      <c r="J1431" s="11" t="str">
        <f>""</f>
        <v/>
      </c>
      <c r="K1431" s="11" t="str">
        <f>"PFES1162672211_0001"</f>
        <v>PFES1162672211_0001</v>
      </c>
      <c r="L1431" s="11">
        <v>1</v>
      </c>
      <c r="M1431" s="11">
        <v>3</v>
      </c>
    </row>
    <row r="1432" spans="1:13">
      <c r="A1432" s="6">
        <v>43507</v>
      </c>
      <c r="B1432" s="7">
        <v>0.54375000000000007</v>
      </c>
      <c r="C1432" s="11" t="str">
        <f>"FES1162672212"</f>
        <v>FES1162672212</v>
      </c>
      <c r="D1432" s="11" t="s">
        <v>18</v>
      </c>
      <c r="E1432" s="11" t="s">
        <v>770</v>
      </c>
      <c r="F1432" s="11" t="str">
        <f>"2170673538 "</f>
        <v xml:space="preserve">2170673538 </v>
      </c>
      <c r="G1432" s="11" t="str">
        <f>"DBC"</f>
        <v>DBC</v>
      </c>
      <c r="H1432" s="11" t="s">
        <v>20</v>
      </c>
      <c r="I1432" s="11" t="s">
        <v>99</v>
      </c>
      <c r="J1432" s="11" t="str">
        <f>""</f>
        <v/>
      </c>
      <c r="K1432" s="11" t="str">
        <f>"PFES1162672212_0001"</f>
        <v>PFES1162672212_0001</v>
      </c>
      <c r="L1432" s="11">
        <v>1</v>
      </c>
      <c r="M1432" s="11">
        <v>20</v>
      </c>
    </row>
    <row r="1433" spans="1:13">
      <c r="A1433" s="6">
        <v>43507</v>
      </c>
      <c r="B1433" s="7">
        <v>0.54027777777777775</v>
      </c>
      <c r="C1433" s="11" t="str">
        <f>"009935723031"</f>
        <v>009935723031</v>
      </c>
      <c r="D1433" s="11" t="s">
        <v>18</v>
      </c>
      <c r="E1433" s="11" t="s">
        <v>771</v>
      </c>
      <c r="F1433" s="11" t="str">
        <f>"ENNOES "</f>
        <v xml:space="preserve">ENNOES </v>
      </c>
      <c r="G1433" s="11" t="str">
        <f>"ON1"</f>
        <v>ON1</v>
      </c>
      <c r="H1433" s="11" t="s">
        <v>20</v>
      </c>
      <c r="I1433" s="11" t="s">
        <v>53</v>
      </c>
      <c r="J1433" s="11" t="str">
        <f>""</f>
        <v/>
      </c>
      <c r="K1433" s="11" t="str">
        <f>"P009935723031_0001"</f>
        <v>P009935723031_0001</v>
      </c>
      <c r="L1433" s="11">
        <v>1</v>
      </c>
      <c r="M1433" s="11">
        <v>1</v>
      </c>
    </row>
    <row r="1434" spans="1:13">
      <c r="A1434" s="6">
        <v>43507</v>
      </c>
      <c r="B1434" s="7">
        <v>0.52708333333333335</v>
      </c>
      <c r="C1434" s="11" t="str">
        <f>"FES1162672292"</f>
        <v>FES1162672292</v>
      </c>
      <c r="D1434" s="11" t="s">
        <v>18</v>
      </c>
      <c r="E1434" s="11" t="s">
        <v>246</v>
      </c>
      <c r="F1434" s="11" t="str">
        <f>"2170673622 "</f>
        <v xml:space="preserve">2170673622 </v>
      </c>
      <c r="G1434" s="11" t="str">
        <f>"ON1"</f>
        <v>ON1</v>
      </c>
      <c r="H1434" s="11" t="s">
        <v>20</v>
      </c>
      <c r="I1434" s="11" t="s">
        <v>53</v>
      </c>
      <c r="J1434" s="11" t="str">
        <f>""</f>
        <v/>
      </c>
      <c r="K1434" s="11" t="str">
        <f>"PFES1162672292_0001"</f>
        <v>PFES1162672292_0001</v>
      </c>
      <c r="L1434" s="11">
        <v>2</v>
      </c>
      <c r="M1434" s="11">
        <v>18</v>
      </c>
    </row>
    <row r="1435" spans="1:13">
      <c r="A1435" s="6">
        <v>43507</v>
      </c>
      <c r="B1435" s="7">
        <v>0.52708333333333335</v>
      </c>
      <c r="C1435" s="11" t="str">
        <f>"FES1162672292"</f>
        <v>FES1162672292</v>
      </c>
      <c r="D1435" s="11" t="s">
        <v>18</v>
      </c>
      <c r="E1435" s="11" t="s">
        <v>246</v>
      </c>
      <c r="F1435" s="11" t="str">
        <f>"2170673622 "</f>
        <v xml:space="preserve">2170673622 </v>
      </c>
      <c r="G1435" s="11" t="str">
        <f>"ON1"</f>
        <v>ON1</v>
      </c>
      <c r="H1435" s="11" t="s">
        <v>20</v>
      </c>
      <c r="I1435" s="11" t="s">
        <v>53</v>
      </c>
      <c r="J1435" s="11"/>
      <c r="K1435" s="11" t="str">
        <f>"PFES1162672292_0002"</f>
        <v>PFES1162672292_0002</v>
      </c>
      <c r="L1435" s="11">
        <v>2</v>
      </c>
      <c r="M1435" s="11">
        <v>18</v>
      </c>
    </row>
    <row r="1436" spans="1:13">
      <c r="A1436" s="6">
        <v>43507</v>
      </c>
      <c r="B1436" s="7">
        <v>0.52361111111111114</v>
      </c>
      <c r="C1436" s="11" t="str">
        <f>"FES1162672217"</f>
        <v>FES1162672217</v>
      </c>
      <c r="D1436" s="11" t="s">
        <v>18</v>
      </c>
      <c r="E1436" s="11" t="s">
        <v>195</v>
      </c>
      <c r="F1436" s="11" t="str">
        <f>"2170673546 "</f>
        <v xml:space="preserve">2170673546 </v>
      </c>
      <c r="G1436" s="11" t="str">
        <f t="shared" ref="G1436:G1499" si="48">"ON1"</f>
        <v>ON1</v>
      </c>
      <c r="H1436" s="11" t="s">
        <v>20</v>
      </c>
      <c r="I1436" s="11" t="s">
        <v>96</v>
      </c>
      <c r="J1436" s="11" t="str">
        <f>""</f>
        <v/>
      </c>
      <c r="K1436" s="11" t="str">
        <f>"PFES1162672217_0001"</f>
        <v>PFES1162672217_0001</v>
      </c>
      <c r="L1436" s="11">
        <v>1</v>
      </c>
      <c r="M1436" s="11">
        <v>3</v>
      </c>
    </row>
    <row r="1437" spans="1:13">
      <c r="A1437" s="6">
        <v>43507</v>
      </c>
      <c r="B1437" s="7">
        <v>0.5229166666666667</v>
      </c>
      <c r="C1437" s="11" t="str">
        <f>"FES1162672272"</f>
        <v>FES1162672272</v>
      </c>
      <c r="D1437" s="11" t="s">
        <v>18</v>
      </c>
      <c r="E1437" s="11" t="s">
        <v>626</v>
      </c>
      <c r="F1437" s="11" t="str">
        <f>"2170671800 "</f>
        <v xml:space="preserve">2170671800 </v>
      </c>
      <c r="G1437" s="11" t="str">
        <f t="shared" si="48"/>
        <v>ON1</v>
      </c>
      <c r="H1437" s="11" t="s">
        <v>20</v>
      </c>
      <c r="I1437" s="11" t="s">
        <v>141</v>
      </c>
      <c r="J1437" s="11" t="str">
        <f>""</f>
        <v/>
      </c>
      <c r="K1437" s="11" t="str">
        <f>"PFES1162672272_0001"</f>
        <v>PFES1162672272_0001</v>
      </c>
      <c r="L1437" s="11">
        <v>1</v>
      </c>
      <c r="M1437" s="11">
        <v>2</v>
      </c>
    </row>
    <row r="1438" spans="1:13">
      <c r="A1438" s="6">
        <v>43507</v>
      </c>
      <c r="B1438" s="7">
        <v>0.5229166666666667</v>
      </c>
      <c r="C1438" s="11" t="str">
        <f>"FES1162672303"</f>
        <v>FES1162672303</v>
      </c>
      <c r="D1438" s="11" t="s">
        <v>18</v>
      </c>
      <c r="E1438" s="11" t="s">
        <v>129</v>
      </c>
      <c r="F1438" s="11" t="str">
        <f>"2170673630 "</f>
        <v xml:space="preserve">2170673630 </v>
      </c>
      <c r="G1438" s="11" t="str">
        <f t="shared" si="48"/>
        <v>ON1</v>
      </c>
      <c r="H1438" s="11" t="s">
        <v>20</v>
      </c>
      <c r="I1438" s="11" t="s">
        <v>130</v>
      </c>
      <c r="J1438" s="11" t="str">
        <f>""</f>
        <v/>
      </c>
      <c r="K1438" s="11" t="str">
        <f>"PFES1162672303_0001"</f>
        <v>PFES1162672303_0001</v>
      </c>
      <c r="L1438" s="11">
        <v>1</v>
      </c>
      <c r="M1438" s="11">
        <v>1</v>
      </c>
    </row>
    <row r="1439" spans="1:13">
      <c r="A1439" s="6">
        <v>43507</v>
      </c>
      <c r="B1439" s="7">
        <v>0.52222222222222225</v>
      </c>
      <c r="C1439" s="11" t="str">
        <f>"FES1162672190"</f>
        <v>FES1162672190</v>
      </c>
      <c r="D1439" s="11" t="s">
        <v>18</v>
      </c>
      <c r="E1439" s="11" t="s">
        <v>454</v>
      </c>
      <c r="F1439" s="11" t="str">
        <f>"2170671822 "</f>
        <v xml:space="preserve">2170671822 </v>
      </c>
      <c r="G1439" s="11" t="str">
        <f t="shared" si="48"/>
        <v>ON1</v>
      </c>
      <c r="H1439" s="11" t="s">
        <v>20</v>
      </c>
      <c r="I1439" s="11" t="s">
        <v>455</v>
      </c>
      <c r="J1439" s="11" t="str">
        <f>""</f>
        <v/>
      </c>
      <c r="K1439" s="11" t="str">
        <f>"PFES1162672190_0001"</f>
        <v>PFES1162672190_0001</v>
      </c>
      <c r="L1439" s="11">
        <v>1</v>
      </c>
      <c r="M1439" s="11">
        <v>1</v>
      </c>
    </row>
    <row r="1440" spans="1:13">
      <c r="A1440" s="6">
        <v>43507</v>
      </c>
      <c r="B1440" s="7">
        <v>0.52222222222222225</v>
      </c>
      <c r="C1440" s="11" t="str">
        <f>"FES1162672302"</f>
        <v>FES1162672302</v>
      </c>
      <c r="D1440" s="11" t="s">
        <v>18</v>
      </c>
      <c r="E1440" s="11" t="s">
        <v>454</v>
      </c>
      <c r="F1440" s="11" t="str">
        <f>"2170671822 "</f>
        <v xml:space="preserve">2170671822 </v>
      </c>
      <c r="G1440" s="11" t="str">
        <f t="shared" si="48"/>
        <v>ON1</v>
      </c>
      <c r="H1440" s="11" t="s">
        <v>20</v>
      </c>
      <c r="I1440" s="11" t="s">
        <v>455</v>
      </c>
      <c r="J1440" s="11" t="str">
        <f>""</f>
        <v/>
      </c>
      <c r="K1440" s="11" t="str">
        <f>"PFES1162672302_0001"</f>
        <v>PFES1162672302_0001</v>
      </c>
      <c r="L1440" s="11">
        <v>1</v>
      </c>
      <c r="M1440" s="11">
        <v>1</v>
      </c>
    </row>
    <row r="1441" spans="1:13">
      <c r="A1441" s="6">
        <v>43507</v>
      </c>
      <c r="B1441" s="7">
        <v>0.52152777777777781</v>
      </c>
      <c r="C1441" s="11" t="str">
        <f>"FES1162672246"</f>
        <v>FES1162672246</v>
      </c>
      <c r="D1441" s="11" t="s">
        <v>18</v>
      </c>
      <c r="E1441" s="11" t="s">
        <v>120</v>
      </c>
      <c r="F1441" s="11" t="str">
        <f>"2170673588 "</f>
        <v xml:space="preserve">2170673588 </v>
      </c>
      <c r="G1441" s="11" t="str">
        <f t="shared" si="48"/>
        <v>ON1</v>
      </c>
      <c r="H1441" s="11" t="s">
        <v>20</v>
      </c>
      <c r="I1441" s="11" t="s">
        <v>121</v>
      </c>
      <c r="J1441" s="11" t="str">
        <f>""</f>
        <v/>
      </c>
      <c r="K1441" s="11" t="str">
        <f>"PFES1162672246_0001"</f>
        <v>PFES1162672246_0001</v>
      </c>
      <c r="L1441" s="11">
        <v>1</v>
      </c>
      <c r="M1441" s="11">
        <v>1</v>
      </c>
    </row>
    <row r="1442" spans="1:13">
      <c r="A1442" s="6">
        <v>43507</v>
      </c>
      <c r="B1442" s="7">
        <v>0.52152777777777781</v>
      </c>
      <c r="C1442" s="11" t="str">
        <f>"FES1162672289"</f>
        <v>FES1162672289</v>
      </c>
      <c r="D1442" s="11" t="s">
        <v>18</v>
      </c>
      <c r="E1442" s="11" t="s">
        <v>120</v>
      </c>
      <c r="F1442" s="11" t="str">
        <f>"2170673607 "</f>
        <v xml:space="preserve">2170673607 </v>
      </c>
      <c r="G1442" s="11" t="str">
        <f t="shared" si="48"/>
        <v>ON1</v>
      </c>
      <c r="H1442" s="11" t="s">
        <v>20</v>
      </c>
      <c r="I1442" s="11" t="s">
        <v>121</v>
      </c>
      <c r="J1442" s="11" t="str">
        <f>""</f>
        <v/>
      </c>
      <c r="K1442" s="11" t="str">
        <f>"PFES1162672289_0001"</f>
        <v>PFES1162672289_0001</v>
      </c>
      <c r="L1442" s="11">
        <v>1</v>
      </c>
      <c r="M1442" s="11">
        <v>1</v>
      </c>
    </row>
    <row r="1443" spans="1:13">
      <c r="A1443" s="6">
        <v>43507</v>
      </c>
      <c r="B1443" s="7">
        <v>0.52152777777777781</v>
      </c>
      <c r="C1443" s="11" t="str">
        <f>"FES1162672288"</f>
        <v>FES1162672288</v>
      </c>
      <c r="D1443" s="11" t="s">
        <v>18</v>
      </c>
      <c r="E1443" s="11" t="s">
        <v>195</v>
      </c>
      <c r="F1443" s="11" t="str">
        <f>"2170673546 "</f>
        <v xml:space="preserve">2170673546 </v>
      </c>
      <c r="G1443" s="11" t="str">
        <f t="shared" si="48"/>
        <v>ON1</v>
      </c>
      <c r="H1443" s="11" t="s">
        <v>20</v>
      </c>
      <c r="I1443" s="11" t="s">
        <v>96</v>
      </c>
      <c r="J1443" s="11" t="str">
        <f>""</f>
        <v/>
      </c>
      <c r="K1443" s="11" t="str">
        <f>"PFES1162672288_0001"</f>
        <v>PFES1162672288_0001</v>
      </c>
      <c r="L1443" s="11">
        <v>1</v>
      </c>
      <c r="M1443" s="11">
        <v>1</v>
      </c>
    </row>
    <row r="1444" spans="1:13">
      <c r="A1444" s="6">
        <v>43507</v>
      </c>
      <c r="B1444" s="7">
        <v>0.52083333333333337</v>
      </c>
      <c r="C1444" s="11" t="str">
        <f>"FES1162672225"</f>
        <v>FES1162672225</v>
      </c>
      <c r="D1444" s="11" t="s">
        <v>18</v>
      </c>
      <c r="E1444" s="11" t="s">
        <v>100</v>
      </c>
      <c r="F1444" s="11" t="str">
        <f>"2170673516 "</f>
        <v xml:space="preserve">2170673516 </v>
      </c>
      <c r="G1444" s="11" t="str">
        <f t="shared" si="48"/>
        <v>ON1</v>
      </c>
      <c r="H1444" s="11" t="s">
        <v>20</v>
      </c>
      <c r="I1444" s="11" t="s">
        <v>101</v>
      </c>
      <c r="J1444" s="11" t="str">
        <f>""</f>
        <v/>
      </c>
      <c r="K1444" s="11" t="str">
        <f>"PFES1162672225_0001"</f>
        <v>PFES1162672225_0001</v>
      </c>
      <c r="L1444" s="11">
        <v>1</v>
      </c>
      <c r="M1444" s="11">
        <v>1</v>
      </c>
    </row>
    <row r="1445" spans="1:13">
      <c r="A1445" s="6">
        <v>43507</v>
      </c>
      <c r="B1445" s="7">
        <v>0.52083333333333337</v>
      </c>
      <c r="C1445" s="11" t="str">
        <f>"FES1162672236"</f>
        <v>FES1162672236</v>
      </c>
      <c r="D1445" s="11" t="s">
        <v>18</v>
      </c>
      <c r="E1445" s="11" t="s">
        <v>772</v>
      </c>
      <c r="F1445" s="11" t="str">
        <f>"2170673576 "</f>
        <v xml:space="preserve">2170673576 </v>
      </c>
      <c r="G1445" s="11" t="str">
        <f t="shared" si="48"/>
        <v>ON1</v>
      </c>
      <c r="H1445" s="11" t="s">
        <v>20</v>
      </c>
      <c r="I1445" s="11" t="s">
        <v>773</v>
      </c>
      <c r="J1445" s="11" t="str">
        <f>""</f>
        <v/>
      </c>
      <c r="K1445" s="11" t="str">
        <f>"PFES1162672236_0001"</f>
        <v>PFES1162672236_0001</v>
      </c>
      <c r="L1445" s="11">
        <v>1</v>
      </c>
      <c r="M1445" s="11">
        <v>1</v>
      </c>
    </row>
    <row r="1446" spans="1:13">
      <c r="A1446" s="6">
        <v>43507</v>
      </c>
      <c r="B1446" s="7">
        <v>0.52083333333333337</v>
      </c>
      <c r="C1446" s="11" t="str">
        <f>"FES1162672205"</f>
        <v>FES1162672205</v>
      </c>
      <c r="D1446" s="11" t="s">
        <v>18</v>
      </c>
      <c r="E1446" s="11" t="s">
        <v>644</v>
      </c>
      <c r="F1446" s="11" t="str">
        <f>"2170673464 "</f>
        <v xml:space="preserve">2170673464 </v>
      </c>
      <c r="G1446" s="11" t="str">
        <f t="shared" si="48"/>
        <v>ON1</v>
      </c>
      <c r="H1446" s="11" t="s">
        <v>20</v>
      </c>
      <c r="I1446" s="11" t="s">
        <v>435</v>
      </c>
      <c r="J1446" s="11" t="str">
        <f>""</f>
        <v/>
      </c>
      <c r="K1446" s="11" t="str">
        <f>"PFES1162672205_0001"</f>
        <v>PFES1162672205_0001</v>
      </c>
      <c r="L1446" s="11">
        <v>1</v>
      </c>
      <c r="M1446" s="11">
        <v>1</v>
      </c>
    </row>
    <row r="1447" spans="1:13">
      <c r="A1447" s="6">
        <v>43507</v>
      </c>
      <c r="B1447" s="7">
        <v>0.52013888888888882</v>
      </c>
      <c r="C1447" s="11" t="str">
        <f>"FES1162672227"</f>
        <v>FES1162672227</v>
      </c>
      <c r="D1447" s="11" t="s">
        <v>18</v>
      </c>
      <c r="E1447" s="11" t="s">
        <v>553</v>
      </c>
      <c r="F1447" s="11" t="str">
        <f>"2170672439 "</f>
        <v xml:space="preserve">2170672439 </v>
      </c>
      <c r="G1447" s="11" t="str">
        <f t="shared" si="48"/>
        <v>ON1</v>
      </c>
      <c r="H1447" s="11" t="s">
        <v>20</v>
      </c>
      <c r="I1447" s="11" t="s">
        <v>121</v>
      </c>
      <c r="J1447" s="11" t="str">
        <f>""</f>
        <v/>
      </c>
      <c r="K1447" s="11" t="str">
        <f>"PFES1162672227_0001"</f>
        <v>PFES1162672227_0001</v>
      </c>
      <c r="L1447" s="11">
        <v>1</v>
      </c>
      <c r="M1447" s="11">
        <v>1</v>
      </c>
    </row>
    <row r="1448" spans="1:13">
      <c r="A1448" s="6">
        <v>43507</v>
      </c>
      <c r="B1448" s="7">
        <v>0.52013888888888882</v>
      </c>
      <c r="C1448" s="11" t="str">
        <f>"FES1162672221"</f>
        <v>FES1162672221</v>
      </c>
      <c r="D1448" s="11" t="s">
        <v>18</v>
      </c>
      <c r="E1448" s="11" t="s">
        <v>774</v>
      </c>
      <c r="F1448" s="11" t="str">
        <f>"2170673553 "</f>
        <v xml:space="preserve">2170673553 </v>
      </c>
      <c r="G1448" s="11" t="str">
        <f t="shared" si="48"/>
        <v>ON1</v>
      </c>
      <c r="H1448" s="11" t="s">
        <v>20</v>
      </c>
      <c r="I1448" s="11" t="s">
        <v>775</v>
      </c>
      <c r="J1448" s="11" t="str">
        <f>""</f>
        <v/>
      </c>
      <c r="K1448" s="11" t="str">
        <f>"PFES1162672221_0001"</f>
        <v>PFES1162672221_0001</v>
      </c>
      <c r="L1448" s="11">
        <v>1</v>
      </c>
      <c r="M1448" s="11">
        <v>1</v>
      </c>
    </row>
    <row r="1449" spans="1:13">
      <c r="A1449" s="6">
        <v>43507</v>
      </c>
      <c r="B1449" s="7">
        <v>0.52013888888888882</v>
      </c>
      <c r="C1449" s="11" t="str">
        <f>"FES1162672199"</f>
        <v>FES1162672199</v>
      </c>
      <c r="D1449" s="11" t="s">
        <v>18</v>
      </c>
      <c r="E1449" s="11" t="s">
        <v>120</v>
      </c>
      <c r="F1449" s="11" t="str">
        <f>"2170672905 "</f>
        <v xml:space="preserve">2170672905 </v>
      </c>
      <c r="G1449" s="11" t="str">
        <f t="shared" si="48"/>
        <v>ON1</v>
      </c>
      <c r="H1449" s="11" t="s">
        <v>20</v>
      </c>
      <c r="I1449" s="11" t="s">
        <v>121</v>
      </c>
      <c r="J1449" s="11" t="str">
        <f>""</f>
        <v/>
      </c>
      <c r="K1449" s="11" t="str">
        <f>"PFES1162672199_0001"</f>
        <v>PFES1162672199_0001</v>
      </c>
      <c r="L1449" s="11">
        <v>1</v>
      </c>
      <c r="M1449" s="11">
        <v>1</v>
      </c>
    </row>
    <row r="1450" spans="1:13">
      <c r="A1450" s="6">
        <v>43507</v>
      </c>
      <c r="B1450" s="7">
        <v>0.51944444444444449</v>
      </c>
      <c r="C1450" s="11" t="str">
        <f>"FES1162672208"</f>
        <v>FES1162672208</v>
      </c>
      <c r="D1450" s="11" t="s">
        <v>18</v>
      </c>
      <c r="E1450" s="11" t="s">
        <v>195</v>
      </c>
      <c r="F1450" s="11" t="str">
        <f>"2170673529 "</f>
        <v xml:space="preserve">2170673529 </v>
      </c>
      <c r="G1450" s="11" t="str">
        <f t="shared" si="48"/>
        <v>ON1</v>
      </c>
      <c r="H1450" s="11" t="s">
        <v>20</v>
      </c>
      <c r="I1450" s="11" t="s">
        <v>96</v>
      </c>
      <c r="J1450" s="11" t="str">
        <f>""</f>
        <v/>
      </c>
      <c r="K1450" s="11" t="str">
        <f>"PFES1162672208_0001"</f>
        <v>PFES1162672208_0001</v>
      </c>
      <c r="L1450" s="11">
        <v>1</v>
      </c>
      <c r="M1450" s="11">
        <v>1</v>
      </c>
    </row>
    <row r="1451" spans="1:13">
      <c r="A1451" s="6">
        <v>43507</v>
      </c>
      <c r="B1451" s="7">
        <v>0.51944444444444449</v>
      </c>
      <c r="C1451" s="11" t="str">
        <f>"FES1162672277"</f>
        <v>FES1162672277</v>
      </c>
      <c r="D1451" s="11" t="s">
        <v>18</v>
      </c>
      <c r="E1451" s="11" t="s">
        <v>26</v>
      </c>
      <c r="F1451" s="11" t="str">
        <f>"2170672252 "</f>
        <v xml:space="preserve">2170672252 </v>
      </c>
      <c r="G1451" s="11" t="str">
        <f t="shared" si="48"/>
        <v>ON1</v>
      </c>
      <c r="H1451" s="11" t="s">
        <v>20</v>
      </c>
      <c r="I1451" s="11" t="s">
        <v>27</v>
      </c>
      <c r="J1451" s="11" t="str">
        <f>""</f>
        <v/>
      </c>
      <c r="K1451" s="11" t="str">
        <f>"PFES1162672277_0001"</f>
        <v>PFES1162672277_0001</v>
      </c>
      <c r="L1451" s="11">
        <v>1</v>
      </c>
      <c r="M1451" s="11">
        <v>1</v>
      </c>
    </row>
    <row r="1452" spans="1:13">
      <c r="A1452" s="6">
        <v>43507</v>
      </c>
      <c r="B1452" s="7">
        <v>0.51944444444444449</v>
      </c>
      <c r="C1452" s="11" t="str">
        <f>"FES1162672231"</f>
        <v>FES1162672231</v>
      </c>
      <c r="D1452" s="11" t="s">
        <v>18</v>
      </c>
      <c r="E1452" s="11" t="s">
        <v>216</v>
      </c>
      <c r="F1452" s="11" t="str">
        <f>"2170673654 "</f>
        <v xml:space="preserve">2170673654 </v>
      </c>
      <c r="G1452" s="11" t="str">
        <f t="shared" si="48"/>
        <v>ON1</v>
      </c>
      <c r="H1452" s="11" t="s">
        <v>20</v>
      </c>
      <c r="I1452" s="11" t="s">
        <v>217</v>
      </c>
      <c r="J1452" s="11" t="str">
        <f>""</f>
        <v/>
      </c>
      <c r="K1452" s="11" t="str">
        <f>"PFES1162672231_0001"</f>
        <v>PFES1162672231_0001</v>
      </c>
      <c r="L1452" s="11">
        <v>1</v>
      </c>
      <c r="M1452" s="11">
        <v>1</v>
      </c>
    </row>
    <row r="1453" spans="1:13">
      <c r="A1453" s="6">
        <v>43507</v>
      </c>
      <c r="B1453" s="7">
        <v>0.51874999999999993</v>
      </c>
      <c r="C1453" s="11" t="str">
        <f>"FES1162672253"</f>
        <v>FES1162672253</v>
      </c>
      <c r="D1453" s="11" t="s">
        <v>18</v>
      </c>
      <c r="E1453" s="11" t="s">
        <v>358</v>
      </c>
      <c r="F1453" s="11" t="str">
        <f>"2170673598 "</f>
        <v xml:space="preserve">2170673598 </v>
      </c>
      <c r="G1453" s="11" t="str">
        <f t="shared" si="48"/>
        <v>ON1</v>
      </c>
      <c r="H1453" s="11" t="s">
        <v>20</v>
      </c>
      <c r="I1453" s="11" t="s">
        <v>359</v>
      </c>
      <c r="J1453" s="11" t="str">
        <f>""</f>
        <v/>
      </c>
      <c r="K1453" s="11" t="str">
        <f>"PFES1162672253_0001"</f>
        <v>PFES1162672253_0001</v>
      </c>
      <c r="L1453" s="11">
        <v>1</v>
      </c>
      <c r="M1453" s="11">
        <v>1</v>
      </c>
    </row>
    <row r="1454" spans="1:13">
      <c r="A1454" s="6">
        <v>43507</v>
      </c>
      <c r="B1454" s="7">
        <v>0.51874999999999993</v>
      </c>
      <c r="C1454" s="11" t="str">
        <f>"FES1162672193"</f>
        <v>FES1162672193</v>
      </c>
      <c r="D1454" s="11" t="s">
        <v>18</v>
      </c>
      <c r="E1454" s="11" t="s">
        <v>104</v>
      </c>
      <c r="F1454" s="11" t="str">
        <f>"2170672248 "</f>
        <v xml:space="preserve">2170672248 </v>
      </c>
      <c r="G1454" s="11" t="str">
        <f t="shared" si="48"/>
        <v>ON1</v>
      </c>
      <c r="H1454" s="11" t="s">
        <v>20</v>
      </c>
      <c r="I1454" s="11" t="s">
        <v>105</v>
      </c>
      <c r="J1454" s="11" t="str">
        <f>""</f>
        <v/>
      </c>
      <c r="K1454" s="11" t="str">
        <f>"PFES1162672193_0001"</f>
        <v>PFES1162672193_0001</v>
      </c>
      <c r="L1454" s="11">
        <v>1</v>
      </c>
      <c r="M1454" s="11">
        <v>1</v>
      </c>
    </row>
    <row r="1455" spans="1:13">
      <c r="A1455" s="6">
        <v>43507</v>
      </c>
      <c r="B1455" s="7">
        <v>0.51874999999999993</v>
      </c>
      <c r="C1455" s="11" t="str">
        <f>"FES1162672202"</f>
        <v>FES1162672202</v>
      </c>
      <c r="D1455" s="11" t="s">
        <v>18</v>
      </c>
      <c r="E1455" s="11" t="s">
        <v>670</v>
      </c>
      <c r="F1455" s="11" t="str">
        <f>"2170673191 "</f>
        <v xml:space="preserve">2170673191 </v>
      </c>
      <c r="G1455" s="11" t="str">
        <f t="shared" si="48"/>
        <v>ON1</v>
      </c>
      <c r="H1455" s="11" t="s">
        <v>20</v>
      </c>
      <c r="I1455" s="11" t="s">
        <v>213</v>
      </c>
      <c r="J1455" s="11" t="str">
        <f>""</f>
        <v/>
      </c>
      <c r="K1455" s="11" t="str">
        <f>"PFES1162672202_0001"</f>
        <v>PFES1162672202_0001</v>
      </c>
      <c r="L1455" s="11">
        <v>1</v>
      </c>
      <c r="M1455" s="11">
        <v>1</v>
      </c>
    </row>
    <row r="1456" spans="1:13">
      <c r="A1456" s="6">
        <v>43507</v>
      </c>
      <c r="B1456" s="7">
        <v>0.51874999999999993</v>
      </c>
      <c r="C1456" s="11" t="str">
        <f>"FES1162672223"</f>
        <v>FES1162672223</v>
      </c>
      <c r="D1456" s="11" t="s">
        <v>18</v>
      </c>
      <c r="E1456" s="11" t="s">
        <v>218</v>
      </c>
      <c r="F1456" s="11" t="str">
        <f>"2170673422 "</f>
        <v xml:space="preserve">2170673422 </v>
      </c>
      <c r="G1456" s="11" t="str">
        <f t="shared" si="48"/>
        <v>ON1</v>
      </c>
      <c r="H1456" s="11" t="s">
        <v>20</v>
      </c>
      <c r="I1456" s="11" t="s">
        <v>219</v>
      </c>
      <c r="J1456" s="11" t="str">
        <f>""</f>
        <v/>
      </c>
      <c r="K1456" s="11" t="str">
        <f>"PFES1162672223_0001"</f>
        <v>PFES1162672223_0001</v>
      </c>
      <c r="L1456" s="11">
        <v>1</v>
      </c>
      <c r="M1456" s="11">
        <v>1</v>
      </c>
    </row>
    <row r="1457" spans="1:13">
      <c r="A1457" s="6">
        <v>43507</v>
      </c>
      <c r="B1457" s="7">
        <v>0.5180555555555556</v>
      </c>
      <c r="C1457" s="11" t="str">
        <f>"FES1162672293"</f>
        <v>FES1162672293</v>
      </c>
      <c r="D1457" s="11" t="s">
        <v>18</v>
      </c>
      <c r="E1457" s="11" t="s">
        <v>629</v>
      </c>
      <c r="F1457" s="11" t="str">
        <f>"2170670949 "</f>
        <v xml:space="preserve">2170670949 </v>
      </c>
      <c r="G1457" s="11" t="str">
        <f t="shared" si="48"/>
        <v>ON1</v>
      </c>
      <c r="H1457" s="11" t="s">
        <v>20</v>
      </c>
      <c r="I1457" s="11" t="s">
        <v>420</v>
      </c>
      <c r="J1457" s="11" t="str">
        <f>""</f>
        <v/>
      </c>
      <c r="K1457" s="11" t="str">
        <f>"PFES1162672293_0001"</f>
        <v>PFES1162672293_0001</v>
      </c>
      <c r="L1457" s="11">
        <v>1</v>
      </c>
      <c r="M1457" s="11">
        <v>1</v>
      </c>
    </row>
    <row r="1458" spans="1:13">
      <c r="A1458" s="6">
        <v>43507</v>
      </c>
      <c r="B1458" s="7">
        <v>0.51736111111111105</v>
      </c>
      <c r="C1458" s="11" t="str">
        <f>"FES1162672263"</f>
        <v>FES1162672263</v>
      </c>
      <c r="D1458" s="11" t="s">
        <v>18</v>
      </c>
      <c r="E1458" s="11" t="s">
        <v>485</v>
      </c>
      <c r="F1458" s="11" t="str">
        <f>"2170673614 "</f>
        <v xml:space="preserve">2170673614 </v>
      </c>
      <c r="G1458" s="11" t="str">
        <f t="shared" si="48"/>
        <v>ON1</v>
      </c>
      <c r="H1458" s="11" t="s">
        <v>20</v>
      </c>
      <c r="I1458" s="11" t="s">
        <v>282</v>
      </c>
      <c r="J1458" s="11" t="str">
        <f>""</f>
        <v/>
      </c>
      <c r="K1458" s="11" t="str">
        <f>"PFES1162672263_0001"</f>
        <v>PFES1162672263_0001</v>
      </c>
      <c r="L1458" s="11">
        <v>1</v>
      </c>
      <c r="M1458" s="11">
        <v>1</v>
      </c>
    </row>
    <row r="1459" spans="1:13">
      <c r="A1459" s="6">
        <v>43507</v>
      </c>
      <c r="B1459" s="7">
        <v>0.51736111111111105</v>
      </c>
      <c r="C1459" s="11" t="str">
        <f>"FES1162672257"</f>
        <v>FES1162672257</v>
      </c>
      <c r="D1459" s="11" t="s">
        <v>18</v>
      </c>
      <c r="E1459" s="11" t="s">
        <v>120</v>
      </c>
      <c r="F1459" s="11" t="str">
        <f>"2170673602 "</f>
        <v xml:space="preserve">2170673602 </v>
      </c>
      <c r="G1459" s="11" t="str">
        <f t="shared" si="48"/>
        <v>ON1</v>
      </c>
      <c r="H1459" s="11" t="s">
        <v>20</v>
      </c>
      <c r="I1459" s="11" t="s">
        <v>121</v>
      </c>
      <c r="J1459" s="11" t="str">
        <f>""</f>
        <v/>
      </c>
      <c r="K1459" s="11" t="str">
        <f>"PFES1162672257_0001"</f>
        <v>PFES1162672257_0001</v>
      </c>
      <c r="L1459" s="11">
        <v>1</v>
      </c>
      <c r="M1459" s="11">
        <v>1</v>
      </c>
    </row>
    <row r="1460" spans="1:13">
      <c r="A1460" s="6">
        <v>43507</v>
      </c>
      <c r="B1460" s="7">
        <v>0.51736111111111105</v>
      </c>
      <c r="C1460" s="11" t="str">
        <f>"FES1162672270"</f>
        <v>FES1162672270</v>
      </c>
      <c r="D1460" s="11" t="s">
        <v>18</v>
      </c>
      <c r="E1460" s="11" t="s">
        <v>776</v>
      </c>
      <c r="F1460" s="11" t="str">
        <f>"2170671580 "</f>
        <v xml:space="preserve">2170671580 </v>
      </c>
      <c r="G1460" s="11" t="str">
        <f t="shared" si="48"/>
        <v>ON1</v>
      </c>
      <c r="H1460" s="11" t="s">
        <v>20</v>
      </c>
      <c r="I1460" s="11" t="s">
        <v>103</v>
      </c>
      <c r="J1460" s="11" t="str">
        <f>""</f>
        <v/>
      </c>
      <c r="K1460" s="11" t="str">
        <f>"PFES1162672270_0001"</f>
        <v>PFES1162672270_0001</v>
      </c>
      <c r="L1460" s="11">
        <v>1</v>
      </c>
      <c r="M1460" s="11">
        <v>9</v>
      </c>
    </row>
    <row r="1461" spans="1:13">
      <c r="A1461" s="6">
        <v>43507</v>
      </c>
      <c r="B1461" s="7">
        <v>0.51736111111111105</v>
      </c>
      <c r="C1461" s="11" t="str">
        <f>"FES1162672183"</f>
        <v>FES1162672183</v>
      </c>
      <c r="D1461" s="11" t="s">
        <v>18</v>
      </c>
      <c r="E1461" s="11" t="s">
        <v>777</v>
      </c>
      <c r="F1461" s="11" t="str">
        <f>"2170673526 "</f>
        <v xml:space="preserve">2170673526 </v>
      </c>
      <c r="G1461" s="11" t="str">
        <f t="shared" si="48"/>
        <v>ON1</v>
      </c>
      <c r="H1461" s="11" t="s">
        <v>20</v>
      </c>
      <c r="I1461" s="11" t="s">
        <v>111</v>
      </c>
      <c r="J1461" s="11" t="str">
        <f>""</f>
        <v/>
      </c>
      <c r="K1461" s="11" t="str">
        <f>"PFES1162672183_0001"</f>
        <v>PFES1162672183_0001</v>
      </c>
      <c r="L1461" s="11">
        <v>1</v>
      </c>
      <c r="M1461" s="11">
        <v>1</v>
      </c>
    </row>
    <row r="1462" spans="1:13">
      <c r="A1462" s="6">
        <v>43507</v>
      </c>
      <c r="B1462" s="7">
        <v>0.51666666666666672</v>
      </c>
      <c r="C1462" s="11" t="str">
        <f>"FES1162672273"</f>
        <v>FES1162672273</v>
      </c>
      <c r="D1462" s="11" t="s">
        <v>18</v>
      </c>
      <c r="E1462" s="11" t="s">
        <v>629</v>
      </c>
      <c r="F1462" s="11" t="str">
        <f>"2170673396 "</f>
        <v xml:space="preserve">2170673396 </v>
      </c>
      <c r="G1462" s="11" t="str">
        <f t="shared" si="48"/>
        <v>ON1</v>
      </c>
      <c r="H1462" s="11" t="s">
        <v>20</v>
      </c>
      <c r="I1462" s="11" t="s">
        <v>420</v>
      </c>
      <c r="J1462" s="11" t="str">
        <f>""</f>
        <v/>
      </c>
      <c r="K1462" s="11" t="str">
        <f>"PFES1162672273_0001"</f>
        <v>PFES1162672273_0001</v>
      </c>
      <c r="L1462" s="11">
        <v>1</v>
      </c>
      <c r="M1462" s="11">
        <v>1</v>
      </c>
    </row>
    <row r="1463" spans="1:13">
      <c r="A1463" s="6">
        <v>43507</v>
      </c>
      <c r="B1463" s="7">
        <v>0.51666666666666672</v>
      </c>
      <c r="C1463" s="11" t="str">
        <f>"FES1162672224"</f>
        <v>FES1162672224</v>
      </c>
      <c r="D1463" s="11" t="s">
        <v>18</v>
      </c>
      <c r="E1463" s="11" t="s">
        <v>218</v>
      </c>
      <c r="F1463" s="11" t="str">
        <f>"2170673512 "</f>
        <v xml:space="preserve">2170673512 </v>
      </c>
      <c r="G1463" s="11" t="str">
        <f t="shared" si="48"/>
        <v>ON1</v>
      </c>
      <c r="H1463" s="11" t="s">
        <v>20</v>
      </c>
      <c r="I1463" s="11" t="s">
        <v>219</v>
      </c>
      <c r="J1463" s="11" t="str">
        <f>""</f>
        <v/>
      </c>
      <c r="K1463" s="11" t="str">
        <f>"PFES1162672224_0001"</f>
        <v>PFES1162672224_0001</v>
      </c>
      <c r="L1463" s="11">
        <v>1</v>
      </c>
      <c r="M1463" s="11">
        <v>1</v>
      </c>
    </row>
    <row r="1464" spans="1:13">
      <c r="A1464" s="6">
        <v>43507</v>
      </c>
      <c r="B1464" s="7">
        <v>0.51666666666666672</v>
      </c>
      <c r="C1464" s="11" t="str">
        <f>"FES1162672197"</f>
        <v>FES1162672197</v>
      </c>
      <c r="D1464" s="11" t="s">
        <v>18</v>
      </c>
      <c r="E1464" s="11" t="s">
        <v>212</v>
      </c>
      <c r="F1464" s="11" t="str">
        <f>"2170672713 "</f>
        <v xml:space="preserve">2170672713 </v>
      </c>
      <c r="G1464" s="11" t="str">
        <f t="shared" si="48"/>
        <v>ON1</v>
      </c>
      <c r="H1464" s="11" t="s">
        <v>20</v>
      </c>
      <c r="I1464" s="11" t="s">
        <v>213</v>
      </c>
      <c r="J1464" s="11" t="str">
        <f>""</f>
        <v/>
      </c>
      <c r="K1464" s="11" t="str">
        <f>"PFES1162672197_0001"</f>
        <v>PFES1162672197_0001</v>
      </c>
      <c r="L1464" s="11">
        <v>1</v>
      </c>
      <c r="M1464" s="11">
        <v>1</v>
      </c>
    </row>
    <row r="1465" spans="1:13">
      <c r="A1465" s="6">
        <v>43507</v>
      </c>
      <c r="B1465" s="7">
        <v>0.51597222222222217</v>
      </c>
      <c r="C1465" s="11" t="str">
        <f>"FES1162672186"</f>
        <v>FES1162672186</v>
      </c>
      <c r="D1465" s="11" t="s">
        <v>18</v>
      </c>
      <c r="E1465" s="11" t="s">
        <v>150</v>
      </c>
      <c r="F1465" s="11" t="str">
        <f>"2170670505 "</f>
        <v xml:space="preserve">2170670505 </v>
      </c>
      <c r="G1465" s="11" t="str">
        <f t="shared" si="48"/>
        <v>ON1</v>
      </c>
      <c r="H1465" s="11" t="s">
        <v>20</v>
      </c>
      <c r="I1465" s="11" t="s">
        <v>137</v>
      </c>
      <c r="J1465" s="11" t="str">
        <f>""</f>
        <v/>
      </c>
      <c r="K1465" s="11" t="str">
        <f>"PFES1162672186_0001"</f>
        <v>PFES1162672186_0001</v>
      </c>
      <c r="L1465" s="11">
        <v>1</v>
      </c>
      <c r="M1465" s="11">
        <v>1</v>
      </c>
    </row>
    <row r="1466" spans="1:13">
      <c r="A1466" s="6">
        <v>43507</v>
      </c>
      <c r="B1466" s="7">
        <v>0.51597222222222217</v>
      </c>
      <c r="C1466" s="11" t="str">
        <f>"FES1162672215"</f>
        <v>FES1162672215</v>
      </c>
      <c r="D1466" s="11" t="s">
        <v>18</v>
      </c>
      <c r="E1466" s="11" t="s">
        <v>129</v>
      </c>
      <c r="F1466" s="11" t="str">
        <f>"2170673543 "</f>
        <v xml:space="preserve">2170673543 </v>
      </c>
      <c r="G1466" s="11" t="str">
        <f t="shared" si="48"/>
        <v>ON1</v>
      </c>
      <c r="H1466" s="11" t="s">
        <v>20</v>
      </c>
      <c r="I1466" s="11" t="s">
        <v>130</v>
      </c>
      <c r="J1466" s="11" t="str">
        <f>""</f>
        <v/>
      </c>
      <c r="K1466" s="11" t="str">
        <f>"PFES1162672215_0001"</f>
        <v>PFES1162672215_0001</v>
      </c>
      <c r="L1466" s="11">
        <v>1</v>
      </c>
      <c r="M1466" s="11">
        <v>1</v>
      </c>
    </row>
    <row r="1467" spans="1:13">
      <c r="A1467" s="6">
        <v>43507</v>
      </c>
      <c r="B1467" s="7">
        <v>0.51527777777777783</v>
      </c>
      <c r="C1467" s="11" t="str">
        <f>"FES1162672308"</f>
        <v>FES1162672308</v>
      </c>
      <c r="D1467" s="11" t="s">
        <v>18</v>
      </c>
      <c r="E1467" s="11" t="s">
        <v>136</v>
      </c>
      <c r="F1467" s="11" t="str">
        <f>"2170671684 "</f>
        <v xml:space="preserve">2170671684 </v>
      </c>
      <c r="G1467" s="11" t="str">
        <f t="shared" si="48"/>
        <v>ON1</v>
      </c>
      <c r="H1467" s="11" t="s">
        <v>20</v>
      </c>
      <c r="I1467" s="11" t="s">
        <v>137</v>
      </c>
      <c r="J1467" s="11" t="str">
        <f>""</f>
        <v/>
      </c>
      <c r="K1467" s="11" t="str">
        <f>"PFES1162672308_0001"</f>
        <v>PFES1162672308_0001</v>
      </c>
      <c r="L1467" s="11">
        <v>1</v>
      </c>
      <c r="M1467" s="11">
        <v>1</v>
      </c>
    </row>
    <row r="1468" spans="1:13">
      <c r="A1468" s="6">
        <v>43507</v>
      </c>
      <c r="B1468" s="7">
        <v>0.51388888888888895</v>
      </c>
      <c r="C1468" s="11" t="str">
        <f>"FES1162672252"</f>
        <v>FES1162672252</v>
      </c>
      <c r="D1468" s="11" t="s">
        <v>18</v>
      </c>
      <c r="E1468" s="11" t="s">
        <v>69</v>
      </c>
      <c r="F1468" s="11" t="str">
        <f>"2170673597 "</f>
        <v xml:space="preserve">2170673597 </v>
      </c>
      <c r="G1468" s="11" t="str">
        <f t="shared" si="48"/>
        <v>ON1</v>
      </c>
      <c r="H1468" s="11" t="s">
        <v>20</v>
      </c>
      <c r="I1468" s="11" t="s">
        <v>70</v>
      </c>
      <c r="J1468" s="11" t="str">
        <f>""</f>
        <v/>
      </c>
      <c r="K1468" s="11" t="str">
        <f>"PFES1162672252_0001"</f>
        <v>PFES1162672252_0001</v>
      </c>
      <c r="L1468" s="11">
        <v>1</v>
      </c>
      <c r="M1468" s="11">
        <v>1</v>
      </c>
    </row>
    <row r="1469" spans="1:13">
      <c r="A1469" s="6">
        <v>43507</v>
      </c>
      <c r="B1469" s="7">
        <v>0.5131944444444444</v>
      </c>
      <c r="C1469" s="11" t="str">
        <f>"FES1162672262"</f>
        <v>FES1162672262</v>
      </c>
      <c r="D1469" s="11" t="s">
        <v>18</v>
      </c>
      <c r="E1469" s="11" t="s">
        <v>120</v>
      </c>
      <c r="F1469" s="11" t="str">
        <f>"2170673607 "</f>
        <v xml:space="preserve">2170673607 </v>
      </c>
      <c r="G1469" s="11" t="str">
        <f t="shared" si="48"/>
        <v>ON1</v>
      </c>
      <c r="H1469" s="11" t="s">
        <v>20</v>
      </c>
      <c r="I1469" s="11" t="s">
        <v>121</v>
      </c>
      <c r="J1469" s="11" t="str">
        <f>""</f>
        <v/>
      </c>
      <c r="K1469" s="11" t="str">
        <f>"PFES1162672262_0001"</f>
        <v>PFES1162672262_0001</v>
      </c>
      <c r="L1469" s="11">
        <v>1</v>
      </c>
      <c r="M1469" s="11">
        <v>1</v>
      </c>
    </row>
    <row r="1470" spans="1:13">
      <c r="A1470" s="6">
        <v>43508</v>
      </c>
      <c r="B1470" s="7">
        <v>0.6958333333333333</v>
      </c>
      <c r="C1470" s="12" t="str">
        <f>"FES1162672689"</f>
        <v>FES1162672689</v>
      </c>
      <c r="D1470" s="12" t="s">
        <v>18</v>
      </c>
      <c r="E1470" s="12" t="s">
        <v>47</v>
      </c>
      <c r="F1470" s="12" t="str">
        <f>"2170668964 "</f>
        <v xml:space="preserve">2170668964 </v>
      </c>
      <c r="G1470" s="12" t="str">
        <f t="shared" si="48"/>
        <v>ON1</v>
      </c>
      <c r="H1470" s="12" t="s">
        <v>20</v>
      </c>
      <c r="I1470" s="12" t="s">
        <v>48</v>
      </c>
      <c r="J1470" s="12" t="str">
        <f>""</f>
        <v/>
      </c>
      <c r="K1470" s="12" t="str">
        <f>"PFES1162672689_0001"</f>
        <v>PFES1162672689_0001</v>
      </c>
      <c r="L1470" s="12">
        <v>2</v>
      </c>
      <c r="M1470" s="12">
        <v>7</v>
      </c>
    </row>
    <row r="1471" spans="1:13">
      <c r="A1471" s="6">
        <v>43496</v>
      </c>
      <c r="B1471" s="7">
        <v>0.68611111111111101</v>
      </c>
      <c r="C1471" s="12" t="str">
        <f>"FES1162672689"</f>
        <v>FES1162672689</v>
      </c>
      <c r="D1471" s="12" t="s">
        <v>18</v>
      </c>
      <c r="E1471" s="12" t="s">
        <v>587</v>
      </c>
      <c r="F1471" s="12" t="str">
        <f>"2170671449 "</f>
        <v xml:space="preserve">2170671449 </v>
      </c>
      <c r="G1471" s="12" t="str">
        <f t="shared" si="48"/>
        <v>ON1</v>
      </c>
      <c r="H1471" s="12" t="s">
        <v>20</v>
      </c>
      <c r="I1471" s="12" t="s">
        <v>588</v>
      </c>
      <c r="J1471" s="12" t="str">
        <f>""</f>
        <v/>
      </c>
      <c r="K1471" s="12" t="str">
        <f>"PFES1162672689_0002"</f>
        <v>PFES1162672689_0002</v>
      </c>
      <c r="L1471" s="12">
        <v>1</v>
      </c>
      <c r="M1471" s="12">
        <v>1</v>
      </c>
    </row>
    <row r="1472" spans="1:13">
      <c r="A1472" s="6">
        <v>43508</v>
      </c>
      <c r="B1472" s="7">
        <v>0.69374999999999998</v>
      </c>
      <c r="C1472" s="12" t="str">
        <f>"FES1162672680"</f>
        <v>FES1162672680</v>
      </c>
      <c r="D1472" s="12" t="s">
        <v>18</v>
      </c>
      <c r="E1472" s="12" t="s">
        <v>47</v>
      </c>
      <c r="F1472" s="12" t="str">
        <f>"2170668963 "</f>
        <v xml:space="preserve">2170668963 </v>
      </c>
      <c r="G1472" s="12" t="str">
        <f t="shared" si="48"/>
        <v>ON1</v>
      </c>
      <c r="H1472" s="12" t="s">
        <v>20</v>
      </c>
      <c r="I1472" s="12" t="s">
        <v>48</v>
      </c>
      <c r="J1472" s="12" t="str">
        <f>""</f>
        <v/>
      </c>
      <c r="K1472" s="12" t="str">
        <f>"PFES1162672680_0001"</f>
        <v>PFES1162672680_0001</v>
      </c>
      <c r="L1472" s="12">
        <v>2</v>
      </c>
      <c r="M1472" s="12">
        <v>6</v>
      </c>
    </row>
    <row r="1473" spans="1:13">
      <c r="A1473" s="6">
        <v>43496</v>
      </c>
      <c r="B1473" s="7">
        <v>0.68541666666666667</v>
      </c>
      <c r="C1473" s="12" t="str">
        <f>"FES1162672680"</f>
        <v>FES1162672680</v>
      </c>
      <c r="D1473" s="12" t="s">
        <v>18</v>
      </c>
      <c r="E1473" s="12" t="s">
        <v>120</v>
      </c>
      <c r="F1473" s="12" t="str">
        <f>"2170669140 "</f>
        <v xml:space="preserve">2170669140 </v>
      </c>
      <c r="G1473" s="12" t="str">
        <f t="shared" si="48"/>
        <v>ON1</v>
      </c>
      <c r="H1473" s="12" t="s">
        <v>20</v>
      </c>
      <c r="I1473" s="12" t="s">
        <v>121</v>
      </c>
      <c r="J1473" s="12" t="str">
        <f>"SEND ON1 AS PER TONY"</f>
        <v>SEND ON1 AS PER TONY</v>
      </c>
      <c r="K1473" s="12" t="str">
        <f>"PFES1162672680_0002"</f>
        <v>PFES1162672680_0002</v>
      </c>
      <c r="L1473" s="12">
        <v>2</v>
      </c>
      <c r="M1473" s="12">
        <v>26</v>
      </c>
    </row>
    <row r="1474" spans="1:13">
      <c r="A1474" s="6">
        <v>43508</v>
      </c>
      <c r="B1474" s="7">
        <v>0.69236111111111109</v>
      </c>
      <c r="C1474" s="12" t="str">
        <f>"009935791977"</f>
        <v>009935791977</v>
      </c>
      <c r="D1474" s="12" t="s">
        <v>18</v>
      </c>
      <c r="E1474" s="12" t="s">
        <v>253</v>
      </c>
      <c r="F1474" s="12" t="str">
        <f>"1162672238 "</f>
        <v xml:space="preserve">1162672238 </v>
      </c>
      <c r="G1474" s="12" t="str">
        <f t="shared" si="48"/>
        <v>ON1</v>
      </c>
      <c r="H1474" s="12" t="s">
        <v>20</v>
      </c>
      <c r="I1474" s="12" t="s">
        <v>226</v>
      </c>
      <c r="J1474" s="12" t="str">
        <f>"SHORT SUPPLIED"</f>
        <v>SHORT SUPPLIED</v>
      </c>
      <c r="K1474" s="12" t="str">
        <f>"P009935791977_0001"</f>
        <v>P009935791977_0001</v>
      </c>
      <c r="L1474" s="12">
        <v>1</v>
      </c>
      <c r="M1474" s="12">
        <v>1</v>
      </c>
    </row>
    <row r="1475" spans="1:13">
      <c r="A1475" s="6">
        <v>43508</v>
      </c>
      <c r="B1475" s="7">
        <v>0.69097222222222221</v>
      </c>
      <c r="C1475" s="12" t="str">
        <f>"FES1162672691"</f>
        <v>FES1162672691</v>
      </c>
      <c r="D1475" s="12" t="s">
        <v>18</v>
      </c>
      <c r="E1475" s="12" t="s">
        <v>778</v>
      </c>
      <c r="F1475" s="12" t="str">
        <f>"2170673972 "</f>
        <v xml:space="preserve">2170673972 </v>
      </c>
      <c r="G1475" s="12" t="str">
        <f t="shared" si="48"/>
        <v>ON1</v>
      </c>
      <c r="H1475" s="12" t="s">
        <v>20</v>
      </c>
      <c r="I1475" s="12" t="s">
        <v>602</v>
      </c>
      <c r="J1475" s="12" t="str">
        <f>""</f>
        <v/>
      </c>
      <c r="K1475" s="12" t="str">
        <f>"PFES1162672691_0001"</f>
        <v>PFES1162672691_0001</v>
      </c>
      <c r="L1475" s="12">
        <v>1</v>
      </c>
      <c r="M1475" s="12">
        <v>2</v>
      </c>
    </row>
    <row r="1476" spans="1:13">
      <c r="A1476" s="6">
        <v>43508</v>
      </c>
      <c r="B1476" s="7">
        <v>0.69027777777777777</v>
      </c>
      <c r="C1476" s="12" t="str">
        <f>"FES1162672677"</f>
        <v>FES1162672677</v>
      </c>
      <c r="D1476" s="12" t="s">
        <v>18</v>
      </c>
      <c r="E1476" s="12" t="s">
        <v>482</v>
      </c>
      <c r="F1476" s="12" t="str">
        <f>"2170673710 "</f>
        <v xml:space="preserve">2170673710 </v>
      </c>
      <c r="G1476" s="12" t="str">
        <f t="shared" si="48"/>
        <v>ON1</v>
      </c>
      <c r="H1476" s="12" t="s">
        <v>20</v>
      </c>
      <c r="I1476" s="12" t="s">
        <v>272</v>
      </c>
      <c r="J1476" s="12" t="str">
        <f>""</f>
        <v/>
      </c>
      <c r="K1476" s="12" t="str">
        <f>"PFES1162672677_0001"</f>
        <v>PFES1162672677_0001</v>
      </c>
      <c r="L1476" s="12">
        <v>1</v>
      </c>
      <c r="M1476" s="12">
        <v>2</v>
      </c>
    </row>
    <row r="1477" spans="1:13">
      <c r="A1477" s="6">
        <v>43508</v>
      </c>
      <c r="B1477" s="7">
        <v>0.68958333333333333</v>
      </c>
      <c r="C1477" s="12" t="str">
        <f>"FES1162672702"</f>
        <v>FES1162672702</v>
      </c>
      <c r="D1477" s="12" t="s">
        <v>18</v>
      </c>
      <c r="E1477" s="12" t="s">
        <v>253</v>
      </c>
      <c r="F1477" s="12" t="str">
        <f>"217037982 "</f>
        <v xml:space="preserve">217037982 </v>
      </c>
      <c r="G1477" s="12" t="str">
        <f t="shared" si="48"/>
        <v>ON1</v>
      </c>
      <c r="H1477" s="12" t="s">
        <v>20</v>
      </c>
      <c r="I1477" s="12" t="s">
        <v>226</v>
      </c>
      <c r="J1477" s="12" t="str">
        <f>""</f>
        <v/>
      </c>
      <c r="K1477" s="12" t="str">
        <f>"PFES1162672702_0001"</f>
        <v>PFES1162672702_0001</v>
      </c>
      <c r="L1477" s="12">
        <v>1</v>
      </c>
      <c r="M1477" s="12">
        <v>1</v>
      </c>
    </row>
    <row r="1478" spans="1:13">
      <c r="A1478" s="6">
        <v>43508</v>
      </c>
      <c r="B1478" s="7">
        <v>0.68958333333333333</v>
      </c>
      <c r="C1478" s="12" t="str">
        <f>"FES1162672699"</f>
        <v>FES1162672699</v>
      </c>
      <c r="D1478" s="12" t="s">
        <v>18</v>
      </c>
      <c r="E1478" s="12" t="s">
        <v>779</v>
      </c>
      <c r="F1478" s="12" t="str">
        <f>"2170673978 "</f>
        <v xml:space="preserve">2170673978 </v>
      </c>
      <c r="G1478" s="12" t="str">
        <f t="shared" si="48"/>
        <v>ON1</v>
      </c>
      <c r="H1478" s="12" t="s">
        <v>20</v>
      </c>
      <c r="I1478" s="12" t="s">
        <v>635</v>
      </c>
      <c r="J1478" s="12" t="str">
        <f>""</f>
        <v/>
      </c>
      <c r="K1478" s="12" t="str">
        <f>"PFES1162672699_0001"</f>
        <v>PFES1162672699_0001</v>
      </c>
      <c r="L1478" s="12">
        <v>1</v>
      </c>
      <c r="M1478" s="12">
        <v>1</v>
      </c>
    </row>
    <row r="1479" spans="1:13">
      <c r="A1479" s="6">
        <v>43508</v>
      </c>
      <c r="B1479" s="7">
        <v>0.68888888888888899</v>
      </c>
      <c r="C1479" s="12" t="str">
        <f>"FES1162672704"</f>
        <v>FES1162672704</v>
      </c>
      <c r="D1479" s="12" t="s">
        <v>18</v>
      </c>
      <c r="E1479" s="12" t="s">
        <v>780</v>
      </c>
      <c r="F1479" s="12" t="str">
        <f>"21706379385 "</f>
        <v xml:space="preserve">21706379385 </v>
      </c>
      <c r="G1479" s="12" t="str">
        <f t="shared" si="48"/>
        <v>ON1</v>
      </c>
      <c r="H1479" s="12" t="s">
        <v>20</v>
      </c>
      <c r="I1479" s="12" t="s">
        <v>781</v>
      </c>
      <c r="J1479" s="12" t="str">
        <f>""</f>
        <v/>
      </c>
      <c r="K1479" s="12" t="str">
        <f>"PFES1162672704_0001"</f>
        <v>PFES1162672704_0001</v>
      </c>
      <c r="L1479" s="12">
        <v>1</v>
      </c>
      <c r="M1479" s="12">
        <v>1</v>
      </c>
    </row>
    <row r="1480" spans="1:13">
      <c r="A1480" s="6">
        <v>43508</v>
      </c>
      <c r="B1480" s="7">
        <v>0.68888888888888899</v>
      </c>
      <c r="C1480" s="12" t="str">
        <f>"FES1162672651"</f>
        <v>FES1162672651</v>
      </c>
      <c r="D1480" s="12" t="s">
        <v>18</v>
      </c>
      <c r="E1480" s="12" t="s">
        <v>218</v>
      </c>
      <c r="F1480" s="12" t="str">
        <f>"2170673916 "</f>
        <v xml:space="preserve">2170673916 </v>
      </c>
      <c r="G1480" s="12" t="str">
        <f t="shared" si="48"/>
        <v>ON1</v>
      </c>
      <c r="H1480" s="12" t="s">
        <v>20</v>
      </c>
      <c r="I1480" s="12" t="s">
        <v>219</v>
      </c>
      <c r="J1480" s="12" t="str">
        <f>""</f>
        <v/>
      </c>
      <c r="K1480" s="12" t="str">
        <f>"PFES1162672651_0001"</f>
        <v>PFES1162672651_0001</v>
      </c>
      <c r="L1480" s="12">
        <v>1</v>
      </c>
      <c r="M1480" s="12">
        <v>3</v>
      </c>
    </row>
    <row r="1481" spans="1:13">
      <c r="A1481" s="6">
        <v>43508</v>
      </c>
      <c r="B1481" s="7">
        <v>0.68888888888888899</v>
      </c>
      <c r="C1481" s="12" t="str">
        <f>"FES1162672705"</f>
        <v>FES1162672705</v>
      </c>
      <c r="D1481" s="12" t="s">
        <v>18</v>
      </c>
      <c r="E1481" s="12" t="s">
        <v>295</v>
      </c>
      <c r="F1481" s="12" t="str">
        <f>"2170673987 "</f>
        <v xml:space="preserve">2170673987 </v>
      </c>
      <c r="G1481" s="12" t="str">
        <f t="shared" si="48"/>
        <v>ON1</v>
      </c>
      <c r="H1481" s="12" t="s">
        <v>20</v>
      </c>
      <c r="I1481" s="12" t="s">
        <v>53</v>
      </c>
      <c r="J1481" s="12" t="str">
        <f>""</f>
        <v/>
      </c>
      <c r="K1481" s="12" t="str">
        <f>"PFES1162672705_0001"</f>
        <v>PFES1162672705_0001</v>
      </c>
      <c r="L1481" s="12">
        <v>1</v>
      </c>
      <c r="M1481" s="12">
        <v>1</v>
      </c>
    </row>
    <row r="1482" spans="1:13">
      <c r="A1482" s="6">
        <v>43508</v>
      </c>
      <c r="B1482" s="7">
        <v>0.68888888888888899</v>
      </c>
      <c r="C1482" s="12" t="str">
        <f>"FES1162672690"</f>
        <v>FES1162672690</v>
      </c>
      <c r="D1482" s="12" t="s">
        <v>18</v>
      </c>
      <c r="E1482" s="12" t="s">
        <v>782</v>
      </c>
      <c r="F1482" s="12" t="str">
        <f>"2170673970 "</f>
        <v xml:space="preserve">2170673970 </v>
      </c>
      <c r="G1482" s="12" t="str">
        <f t="shared" si="48"/>
        <v>ON1</v>
      </c>
      <c r="H1482" s="12" t="s">
        <v>20</v>
      </c>
      <c r="I1482" s="12" t="s">
        <v>153</v>
      </c>
      <c r="J1482" s="12" t="str">
        <f>""</f>
        <v/>
      </c>
      <c r="K1482" s="12" t="str">
        <f>"PFES1162672690_0001"</f>
        <v>PFES1162672690_0001</v>
      </c>
      <c r="L1482" s="12">
        <v>1</v>
      </c>
      <c r="M1482" s="12">
        <v>1</v>
      </c>
    </row>
    <row r="1483" spans="1:13">
      <c r="A1483" s="6">
        <v>43508</v>
      </c>
      <c r="B1483" s="7">
        <v>0.68819444444444444</v>
      </c>
      <c r="C1483" s="12" t="str">
        <f>"FES1162672692"</f>
        <v>FES1162672692</v>
      </c>
      <c r="D1483" s="12" t="s">
        <v>18</v>
      </c>
      <c r="E1483" s="12" t="s">
        <v>783</v>
      </c>
      <c r="F1483" s="12" t="str">
        <f>"21706737973 "</f>
        <v xml:space="preserve">21706737973 </v>
      </c>
      <c r="G1483" s="12" t="str">
        <f t="shared" si="48"/>
        <v>ON1</v>
      </c>
      <c r="H1483" s="12" t="s">
        <v>20</v>
      </c>
      <c r="I1483" s="12" t="s">
        <v>369</v>
      </c>
      <c r="J1483" s="12" t="str">
        <f>""</f>
        <v/>
      </c>
      <c r="K1483" s="12" t="str">
        <f>"PFES1162672692_0001"</f>
        <v>PFES1162672692_0001</v>
      </c>
      <c r="L1483" s="12">
        <v>1</v>
      </c>
      <c r="M1483" s="12">
        <v>1</v>
      </c>
    </row>
    <row r="1484" spans="1:13">
      <c r="A1484" s="6">
        <v>43508</v>
      </c>
      <c r="B1484" s="7">
        <v>0.6875</v>
      </c>
      <c r="C1484" s="12" t="str">
        <f>"FES1162672698"</f>
        <v>FES1162672698</v>
      </c>
      <c r="D1484" s="12" t="s">
        <v>18</v>
      </c>
      <c r="E1484" s="12" t="s">
        <v>784</v>
      </c>
      <c r="F1484" s="12" t="str">
        <f>"2170673967 "</f>
        <v xml:space="preserve">2170673967 </v>
      </c>
      <c r="G1484" s="12" t="str">
        <f t="shared" si="48"/>
        <v>ON1</v>
      </c>
      <c r="H1484" s="12" t="s">
        <v>20</v>
      </c>
      <c r="I1484" s="12" t="s">
        <v>39</v>
      </c>
      <c r="J1484" s="12" t="str">
        <f>""</f>
        <v/>
      </c>
      <c r="K1484" s="12" t="str">
        <f>"PFES1162672698_0001"</f>
        <v>PFES1162672698_0001</v>
      </c>
      <c r="L1484" s="12">
        <v>1</v>
      </c>
      <c r="M1484" s="12">
        <v>2</v>
      </c>
    </row>
    <row r="1485" spans="1:13">
      <c r="A1485" s="6">
        <v>43508</v>
      </c>
      <c r="B1485" s="7">
        <v>0.68611111111111101</v>
      </c>
      <c r="C1485" s="12" t="str">
        <f>"FES1162672697"</f>
        <v>FES1162672697</v>
      </c>
      <c r="D1485" s="12" t="s">
        <v>18</v>
      </c>
      <c r="E1485" s="12" t="s">
        <v>162</v>
      </c>
      <c r="F1485" s="12" t="str">
        <f>"2170673495 "</f>
        <v xml:space="preserve">2170673495 </v>
      </c>
      <c r="G1485" s="12" t="str">
        <f t="shared" si="48"/>
        <v>ON1</v>
      </c>
      <c r="H1485" s="12" t="s">
        <v>20</v>
      </c>
      <c r="I1485" s="12" t="s">
        <v>163</v>
      </c>
      <c r="J1485" s="12" t="str">
        <f>""</f>
        <v/>
      </c>
      <c r="K1485" s="12" t="str">
        <f>"PFES1162672697_0001"</f>
        <v>PFES1162672697_0001</v>
      </c>
      <c r="L1485" s="12">
        <v>1</v>
      </c>
      <c r="M1485" s="12">
        <v>8</v>
      </c>
    </row>
    <row r="1486" spans="1:13">
      <c r="A1486" s="6">
        <v>43508</v>
      </c>
      <c r="B1486" s="7">
        <v>0.64444444444444449</v>
      </c>
      <c r="C1486" s="12" t="str">
        <f>"FES1162672630"</f>
        <v>FES1162672630</v>
      </c>
      <c r="D1486" s="12" t="s">
        <v>18</v>
      </c>
      <c r="E1486" s="12" t="s">
        <v>785</v>
      </c>
      <c r="F1486" s="12" t="str">
        <f>"2170673902 "</f>
        <v xml:space="preserve">2170673902 </v>
      </c>
      <c r="G1486" s="12" t="str">
        <f t="shared" si="48"/>
        <v>ON1</v>
      </c>
      <c r="H1486" s="12" t="s">
        <v>20</v>
      </c>
      <c r="I1486" s="12" t="s">
        <v>124</v>
      </c>
      <c r="J1486" s="12" t="str">
        <f>""</f>
        <v/>
      </c>
      <c r="K1486" s="12" t="str">
        <f>"PFES1162672630_0001"</f>
        <v>PFES1162672630_0001</v>
      </c>
      <c r="L1486" s="12">
        <v>1</v>
      </c>
      <c r="M1486" s="12">
        <v>3</v>
      </c>
    </row>
    <row r="1487" spans="1:13">
      <c r="A1487" s="6">
        <v>43508</v>
      </c>
      <c r="B1487" s="7">
        <v>0.6430555555555556</v>
      </c>
      <c r="C1487" s="12" t="str">
        <f>"FES1162672663"</f>
        <v>FES1162672663</v>
      </c>
      <c r="D1487" s="12" t="s">
        <v>18</v>
      </c>
      <c r="E1487" s="12" t="s">
        <v>786</v>
      </c>
      <c r="F1487" s="12" t="str">
        <f>" "</f>
        <v xml:space="preserve"> </v>
      </c>
      <c r="G1487" s="12" t="str">
        <f t="shared" si="48"/>
        <v>ON1</v>
      </c>
      <c r="H1487" s="12" t="s">
        <v>20</v>
      </c>
      <c r="I1487" s="12" t="s">
        <v>341</v>
      </c>
      <c r="J1487" s="12" t="str">
        <f>""</f>
        <v/>
      </c>
      <c r="K1487" s="12" t="str">
        <f>"PFES1162672663_0001"</f>
        <v>PFES1162672663_0001</v>
      </c>
      <c r="L1487" s="12">
        <v>1</v>
      </c>
      <c r="M1487" s="12">
        <v>1</v>
      </c>
    </row>
    <row r="1488" spans="1:13">
      <c r="A1488" s="6">
        <v>43508</v>
      </c>
      <c r="B1488" s="7">
        <v>0.6430555555555556</v>
      </c>
      <c r="C1488" s="12" t="str">
        <f>"FES1162672636"</f>
        <v>FES1162672636</v>
      </c>
      <c r="D1488" s="12" t="s">
        <v>18</v>
      </c>
      <c r="E1488" s="12" t="s">
        <v>787</v>
      </c>
      <c r="F1488" s="12" t="str">
        <f>"2170673907 "</f>
        <v xml:space="preserve">2170673907 </v>
      </c>
      <c r="G1488" s="12" t="str">
        <f t="shared" si="48"/>
        <v>ON1</v>
      </c>
      <c r="H1488" s="12" t="s">
        <v>20</v>
      </c>
      <c r="I1488" s="12" t="s">
        <v>788</v>
      </c>
      <c r="J1488" s="12" t="str">
        <f>""</f>
        <v/>
      </c>
      <c r="K1488" s="12" t="str">
        <f>"PFES1162672636_0001"</f>
        <v>PFES1162672636_0001</v>
      </c>
      <c r="L1488" s="12">
        <v>1</v>
      </c>
      <c r="M1488" s="12">
        <v>3</v>
      </c>
    </row>
    <row r="1489" spans="1:13">
      <c r="A1489" s="6">
        <v>43508</v>
      </c>
      <c r="B1489" s="7">
        <v>0.64236111111111105</v>
      </c>
      <c r="C1489" s="12" t="str">
        <f>"FES1162672574"</f>
        <v>FES1162672574</v>
      </c>
      <c r="D1489" s="12" t="s">
        <v>18</v>
      </c>
      <c r="E1489" s="12" t="s">
        <v>152</v>
      </c>
      <c r="F1489" s="12" t="str">
        <f>"2170673664 "</f>
        <v xml:space="preserve">2170673664 </v>
      </c>
      <c r="G1489" s="12" t="str">
        <f t="shared" si="48"/>
        <v>ON1</v>
      </c>
      <c r="H1489" s="12" t="s">
        <v>20</v>
      </c>
      <c r="I1489" s="12" t="s">
        <v>153</v>
      </c>
      <c r="J1489" s="12" t="str">
        <f>""</f>
        <v/>
      </c>
      <c r="K1489" s="12" t="str">
        <f>"PFES1162672574_0001"</f>
        <v>PFES1162672574_0001</v>
      </c>
      <c r="L1489" s="12">
        <v>1</v>
      </c>
      <c r="M1489" s="12">
        <v>10</v>
      </c>
    </row>
    <row r="1490" spans="1:13">
      <c r="A1490" s="6">
        <v>43508</v>
      </c>
      <c r="B1490" s="7">
        <v>0.64166666666666672</v>
      </c>
      <c r="C1490" s="12" t="str">
        <f>"FES1162672665"</f>
        <v>FES1162672665</v>
      </c>
      <c r="D1490" s="12" t="s">
        <v>18</v>
      </c>
      <c r="E1490" s="12" t="s">
        <v>789</v>
      </c>
      <c r="F1490" s="12" t="str">
        <f>"2170673917 "</f>
        <v xml:space="preserve">2170673917 </v>
      </c>
      <c r="G1490" s="12" t="str">
        <f t="shared" si="48"/>
        <v>ON1</v>
      </c>
      <c r="H1490" s="12" t="s">
        <v>20</v>
      </c>
      <c r="I1490" s="12" t="s">
        <v>286</v>
      </c>
      <c r="J1490" s="12" t="str">
        <f>""</f>
        <v/>
      </c>
      <c r="K1490" s="12" t="str">
        <f>"PFES1162672665_0001"</f>
        <v>PFES1162672665_0001</v>
      </c>
      <c r="L1490" s="12">
        <v>1</v>
      </c>
      <c r="M1490" s="12">
        <v>1</v>
      </c>
    </row>
    <row r="1491" spans="1:13">
      <c r="A1491" s="6">
        <v>43508</v>
      </c>
      <c r="B1491" s="7">
        <v>0.64166666666666672</v>
      </c>
      <c r="C1491" s="12" t="str">
        <f>"FES1162672614"</f>
        <v>FES1162672614</v>
      </c>
      <c r="D1491" s="12" t="s">
        <v>18</v>
      </c>
      <c r="E1491" s="12" t="s">
        <v>733</v>
      </c>
      <c r="F1491" s="12" t="str">
        <f>"2170673604 "</f>
        <v xml:space="preserve">2170673604 </v>
      </c>
      <c r="G1491" s="12" t="str">
        <f t="shared" si="48"/>
        <v>ON1</v>
      </c>
      <c r="H1491" s="12" t="s">
        <v>20</v>
      </c>
      <c r="I1491" s="12" t="s">
        <v>143</v>
      </c>
      <c r="J1491" s="12" t="str">
        <f>""</f>
        <v/>
      </c>
      <c r="K1491" s="12" t="str">
        <f>"PFES1162672614_0001"</f>
        <v>PFES1162672614_0001</v>
      </c>
      <c r="L1491" s="12">
        <v>1</v>
      </c>
      <c r="M1491" s="12">
        <v>6</v>
      </c>
    </row>
    <row r="1492" spans="1:13">
      <c r="A1492" s="6">
        <v>43508</v>
      </c>
      <c r="B1492" s="7">
        <v>0.64097222222222217</v>
      </c>
      <c r="C1492" s="12" t="str">
        <f>"FES1162672656"</f>
        <v>FES1162672656</v>
      </c>
      <c r="D1492" s="12" t="s">
        <v>18</v>
      </c>
      <c r="E1492" s="12" t="s">
        <v>790</v>
      </c>
      <c r="F1492" s="12" t="str">
        <f>"2170673913 "</f>
        <v xml:space="preserve">2170673913 </v>
      </c>
      <c r="G1492" s="12" t="str">
        <f t="shared" si="48"/>
        <v>ON1</v>
      </c>
      <c r="H1492" s="12" t="s">
        <v>20</v>
      </c>
      <c r="I1492" s="12" t="s">
        <v>791</v>
      </c>
      <c r="J1492" s="12" t="str">
        <f>""</f>
        <v/>
      </c>
      <c r="K1492" s="12" t="str">
        <f>"PFES1162672656_0001"</f>
        <v>PFES1162672656_0001</v>
      </c>
      <c r="L1492" s="12">
        <v>1</v>
      </c>
      <c r="M1492" s="12">
        <v>2</v>
      </c>
    </row>
    <row r="1493" spans="1:13">
      <c r="A1493" s="6">
        <v>43508</v>
      </c>
      <c r="B1493" s="7">
        <v>0.63750000000000007</v>
      </c>
      <c r="C1493" s="12" t="str">
        <f>"FES1162672448"</f>
        <v>FES1162672448</v>
      </c>
      <c r="D1493" s="12" t="s">
        <v>18</v>
      </c>
      <c r="E1493" s="12" t="s">
        <v>19</v>
      </c>
      <c r="F1493" s="12" t="str">
        <f>"2170673765 "</f>
        <v xml:space="preserve">2170673765 </v>
      </c>
      <c r="G1493" s="12" t="str">
        <f t="shared" si="48"/>
        <v>ON1</v>
      </c>
      <c r="H1493" s="12" t="s">
        <v>20</v>
      </c>
      <c r="I1493" s="12" t="s">
        <v>21</v>
      </c>
      <c r="J1493" s="12" t="str">
        <f>""</f>
        <v/>
      </c>
      <c r="K1493" s="12" t="str">
        <f>"PFES1162672448_0001"</f>
        <v>PFES1162672448_0001</v>
      </c>
      <c r="L1493" s="12">
        <v>1</v>
      </c>
      <c r="M1493" s="12">
        <v>4</v>
      </c>
    </row>
    <row r="1494" spans="1:13">
      <c r="A1494" s="6">
        <v>43508</v>
      </c>
      <c r="B1494" s="7">
        <v>0.63680555555555551</v>
      </c>
      <c r="C1494" s="12" t="str">
        <f>"FES1162672662"</f>
        <v>FES1162672662</v>
      </c>
      <c r="D1494" s="12" t="s">
        <v>18</v>
      </c>
      <c r="E1494" s="12" t="s">
        <v>792</v>
      </c>
      <c r="F1494" s="12" t="str">
        <f>"2170673873 "</f>
        <v xml:space="preserve">2170673873 </v>
      </c>
      <c r="G1494" s="12" t="str">
        <f t="shared" si="48"/>
        <v>ON1</v>
      </c>
      <c r="H1494" s="12" t="s">
        <v>20</v>
      </c>
      <c r="I1494" s="12" t="s">
        <v>429</v>
      </c>
      <c r="J1494" s="12" t="str">
        <f>""</f>
        <v/>
      </c>
      <c r="K1494" s="12" t="str">
        <f>"PFES1162672662_0001"</f>
        <v>PFES1162672662_0001</v>
      </c>
      <c r="L1494" s="12">
        <v>1</v>
      </c>
      <c r="M1494" s="12">
        <v>6</v>
      </c>
    </row>
    <row r="1495" spans="1:13">
      <c r="A1495" s="6">
        <v>43508</v>
      </c>
      <c r="B1495" s="7">
        <v>0.63611111111111118</v>
      </c>
      <c r="C1495" s="12" t="str">
        <f>"FES1162672629"</f>
        <v>FES1162672629</v>
      </c>
      <c r="D1495" s="12" t="s">
        <v>18</v>
      </c>
      <c r="E1495" s="12" t="s">
        <v>474</v>
      </c>
      <c r="F1495" s="12" t="str">
        <f>"2170673900 "</f>
        <v xml:space="preserve">2170673900 </v>
      </c>
      <c r="G1495" s="12" t="str">
        <f t="shared" si="48"/>
        <v>ON1</v>
      </c>
      <c r="H1495" s="12" t="s">
        <v>20</v>
      </c>
      <c r="I1495" s="12" t="s">
        <v>475</v>
      </c>
      <c r="J1495" s="12" t="str">
        <f>""</f>
        <v/>
      </c>
      <c r="K1495" s="12" t="str">
        <f>"PFES1162672629_0001"</f>
        <v>PFES1162672629_0001</v>
      </c>
      <c r="L1495" s="12">
        <v>1</v>
      </c>
      <c r="M1495" s="12">
        <v>3</v>
      </c>
    </row>
    <row r="1496" spans="1:13">
      <c r="A1496" s="6">
        <v>43508</v>
      </c>
      <c r="B1496" s="7">
        <v>0.63263888888888886</v>
      </c>
      <c r="C1496" s="12" t="str">
        <f>"FES1162672667"</f>
        <v>FES1162672667</v>
      </c>
      <c r="D1496" s="12" t="s">
        <v>18</v>
      </c>
      <c r="E1496" s="12" t="s">
        <v>793</v>
      </c>
      <c r="F1496" s="12" t="str">
        <f>"2170379353 "</f>
        <v xml:space="preserve">2170379353 </v>
      </c>
      <c r="G1496" s="12" t="str">
        <f t="shared" si="48"/>
        <v>ON1</v>
      </c>
      <c r="H1496" s="12" t="s">
        <v>20</v>
      </c>
      <c r="I1496" s="12" t="s">
        <v>633</v>
      </c>
      <c r="J1496" s="12" t="str">
        <f>""</f>
        <v/>
      </c>
      <c r="K1496" s="12" t="str">
        <f>"PFES1162672667_0001"</f>
        <v>PFES1162672667_0001</v>
      </c>
      <c r="L1496" s="12">
        <v>1</v>
      </c>
      <c r="M1496" s="12">
        <v>1</v>
      </c>
    </row>
    <row r="1497" spans="1:13">
      <c r="A1497" s="6">
        <v>43508</v>
      </c>
      <c r="B1497" s="7">
        <v>0.63194444444444442</v>
      </c>
      <c r="C1497" s="12" t="str">
        <f>"FES1162672664"</f>
        <v>FES1162672664</v>
      </c>
      <c r="D1497" s="12" t="s">
        <v>18</v>
      </c>
      <c r="E1497" s="12" t="s">
        <v>794</v>
      </c>
      <c r="F1497" s="12" t="str">
        <f>"217037911 "</f>
        <v xml:space="preserve">217037911 </v>
      </c>
      <c r="G1497" s="12" t="str">
        <f t="shared" si="48"/>
        <v>ON1</v>
      </c>
      <c r="H1497" s="12" t="s">
        <v>20</v>
      </c>
      <c r="I1497" s="12" t="s">
        <v>37</v>
      </c>
      <c r="J1497" s="12" t="str">
        <f>""</f>
        <v/>
      </c>
      <c r="K1497" s="12" t="str">
        <f>"PFES1162672664_0001"</f>
        <v>PFES1162672664_0001</v>
      </c>
      <c r="L1497" s="12">
        <v>1</v>
      </c>
      <c r="M1497" s="12">
        <v>1</v>
      </c>
    </row>
    <row r="1498" spans="1:13">
      <c r="A1498" s="6">
        <v>43508</v>
      </c>
      <c r="B1498" s="7">
        <v>0.63194444444444442</v>
      </c>
      <c r="C1498" s="12" t="str">
        <f>"FES1162672628"</f>
        <v>FES1162672628</v>
      </c>
      <c r="D1498" s="12" t="s">
        <v>18</v>
      </c>
      <c r="E1498" s="12" t="s">
        <v>58</v>
      </c>
      <c r="F1498" s="12" t="str">
        <f>"217037898 "</f>
        <v xml:space="preserve">217037898 </v>
      </c>
      <c r="G1498" s="12" t="str">
        <f t="shared" si="48"/>
        <v>ON1</v>
      </c>
      <c r="H1498" s="12" t="s">
        <v>20</v>
      </c>
      <c r="I1498" s="12" t="s">
        <v>59</v>
      </c>
      <c r="J1498" s="12" t="str">
        <f>""</f>
        <v/>
      </c>
      <c r="K1498" s="12" t="str">
        <f>"PFES1162672628_0001"</f>
        <v>PFES1162672628_0001</v>
      </c>
      <c r="L1498" s="12">
        <v>1</v>
      </c>
      <c r="M1498" s="12">
        <v>1</v>
      </c>
    </row>
    <row r="1499" spans="1:13">
      <c r="A1499" s="6">
        <v>43508</v>
      </c>
      <c r="B1499" s="7">
        <v>0.63194444444444442</v>
      </c>
      <c r="C1499" s="12" t="str">
        <f>"FES1162672659"</f>
        <v>FES1162672659</v>
      </c>
      <c r="D1499" s="12" t="s">
        <v>18</v>
      </c>
      <c r="E1499" s="12" t="s">
        <v>451</v>
      </c>
      <c r="F1499" s="12" t="str">
        <f>"217037945 "</f>
        <v xml:space="preserve">217037945 </v>
      </c>
      <c r="G1499" s="12" t="str">
        <f t="shared" si="48"/>
        <v>ON1</v>
      </c>
      <c r="H1499" s="12" t="s">
        <v>20</v>
      </c>
      <c r="I1499" s="12" t="s">
        <v>149</v>
      </c>
      <c r="J1499" s="12" t="str">
        <f>""</f>
        <v/>
      </c>
      <c r="K1499" s="12" t="str">
        <f>"PFES1162672659_0001"</f>
        <v>PFES1162672659_0001</v>
      </c>
      <c r="L1499" s="12">
        <v>1</v>
      </c>
      <c r="M1499" s="12">
        <v>1</v>
      </c>
    </row>
    <row r="1500" spans="1:13">
      <c r="A1500" s="6">
        <v>43508</v>
      </c>
      <c r="B1500" s="7">
        <v>0.63124999999999998</v>
      </c>
      <c r="C1500" s="12" t="str">
        <f>"FES1162672672"</f>
        <v>FES1162672672</v>
      </c>
      <c r="D1500" s="12" t="s">
        <v>18</v>
      </c>
      <c r="E1500" s="12" t="s">
        <v>380</v>
      </c>
      <c r="F1500" s="12" t="str">
        <f>"217037957 "</f>
        <v xml:space="preserve">217037957 </v>
      </c>
      <c r="G1500" s="12" t="str">
        <f t="shared" ref="G1500:G1557" si="49">"ON1"</f>
        <v>ON1</v>
      </c>
      <c r="H1500" s="12" t="s">
        <v>20</v>
      </c>
      <c r="I1500" s="12" t="s">
        <v>213</v>
      </c>
      <c r="J1500" s="12" t="str">
        <f>""</f>
        <v/>
      </c>
      <c r="K1500" s="12" t="str">
        <f>"PFES1162672672_0001"</f>
        <v>PFES1162672672_0001</v>
      </c>
      <c r="L1500" s="12">
        <v>1</v>
      </c>
      <c r="M1500" s="12">
        <v>1</v>
      </c>
    </row>
    <row r="1501" spans="1:13">
      <c r="A1501" s="6">
        <v>43508</v>
      </c>
      <c r="B1501" s="7">
        <v>0.63124999999999998</v>
      </c>
      <c r="C1501" s="12" t="str">
        <f>"FES1162672596"</f>
        <v>FES1162672596</v>
      </c>
      <c r="D1501" s="12" t="s">
        <v>18</v>
      </c>
      <c r="E1501" s="12" t="s">
        <v>795</v>
      </c>
      <c r="F1501" s="12" t="str">
        <f>"2170673862 "</f>
        <v xml:space="preserve">2170673862 </v>
      </c>
      <c r="G1501" s="12" t="str">
        <f t="shared" si="49"/>
        <v>ON1</v>
      </c>
      <c r="H1501" s="12" t="s">
        <v>20</v>
      </c>
      <c r="I1501" s="12" t="s">
        <v>655</v>
      </c>
      <c r="J1501" s="12" t="str">
        <f>""</f>
        <v/>
      </c>
      <c r="K1501" s="12" t="str">
        <f>"PFES1162672596_0001"</f>
        <v>PFES1162672596_0001</v>
      </c>
      <c r="L1501" s="12">
        <v>1</v>
      </c>
      <c r="M1501" s="12">
        <v>1</v>
      </c>
    </row>
    <row r="1502" spans="1:13">
      <c r="A1502" s="6">
        <v>43508</v>
      </c>
      <c r="B1502" s="7">
        <v>0.63055555555555554</v>
      </c>
      <c r="C1502" s="12" t="str">
        <f>"FES1162672646"</f>
        <v>FES1162672646</v>
      </c>
      <c r="D1502" s="12" t="s">
        <v>18</v>
      </c>
      <c r="E1502" s="12" t="s">
        <v>796</v>
      </c>
      <c r="F1502" s="12" t="str">
        <f>"2170673930 "</f>
        <v xml:space="preserve">2170673930 </v>
      </c>
      <c r="G1502" s="12" t="str">
        <f t="shared" si="49"/>
        <v>ON1</v>
      </c>
      <c r="H1502" s="12" t="s">
        <v>20</v>
      </c>
      <c r="I1502" s="12" t="s">
        <v>41</v>
      </c>
      <c r="J1502" s="12" t="str">
        <f>""</f>
        <v/>
      </c>
      <c r="K1502" s="12" t="str">
        <f>"PFES1162672646_0001"</f>
        <v>PFES1162672646_0001</v>
      </c>
      <c r="L1502" s="12">
        <v>1</v>
      </c>
      <c r="M1502" s="12">
        <v>1</v>
      </c>
    </row>
    <row r="1503" spans="1:13">
      <c r="A1503" s="6">
        <v>43508</v>
      </c>
      <c r="B1503" s="7">
        <v>0.63055555555555554</v>
      </c>
      <c r="C1503" s="12" t="str">
        <f>"FES1162672647"</f>
        <v>FES1162672647</v>
      </c>
      <c r="D1503" s="12" t="s">
        <v>18</v>
      </c>
      <c r="E1503" s="12" t="s">
        <v>58</v>
      </c>
      <c r="F1503" s="12" t="str">
        <f>"2170673928 "</f>
        <v xml:space="preserve">2170673928 </v>
      </c>
      <c r="G1503" s="12" t="str">
        <f t="shared" si="49"/>
        <v>ON1</v>
      </c>
      <c r="H1503" s="12" t="s">
        <v>20</v>
      </c>
      <c r="I1503" s="12" t="s">
        <v>59</v>
      </c>
      <c r="J1503" s="12" t="str">
        <f>""</f>
        <v/>
      </c>
      <c r="K1503" s="12" t="str">
        <f>"PFES1162672647_0001"</f>
        <v>PFES1162672647_0001</v>
      </c>
      <c r="L1503" s="12">
        <v>1</v>
      </c>
      <c r="M1503" s="12">
        <v>1</v>
      </c>
    </row>
    <row r="1504" spans="1:13">
      <c r="A1504" s="6">
        <v>43508</v>
      </c>
      <c r="B1504" s="7">
        <v>0.62986111111111109</v>
      </c>
      <c r="C1504" s="12" t="str">
        <f>"FES1162672622"</f>
        <v>FES1162672622</v>
      </c>
      <c r="D1504" s="12" t="s">
        <v>18</v>
      </c>
      <c r="E1504" s="12" t="s">
        <v>797</v>
      </c>
      <c r="F1504" s="12" t="str">
        <f>"2170673788 "</f>
        <v xml:space="preserve">2170673788 </v>
      </c>
      <c r="G1504" s="12" t="str">
        <f t="shared" si="49"/>
        <v>ON1</v>
      </c>
      <c r="H1504" s="12" t="s">
        <v>20</v>
      </c>
      <c r="I1504" s="12" t="s">
        <v>43</v>
      </c>
      <c r="J1504" s="12" t="str">
        <f>""</f>
        <v/>
      </c>
      <c r="K1504" s="12" t="str">
        <f>"PFES1162672622_0001"</f>
        <v>PFES1162672622_0001</v>
      </c>
      <c r="L1504" s="12">
        <v>1</v>
      </c>
      <c r="M1504" s="12">
        <v>1</v>
      </c>
    </row>
    <row r="1505" spans="1:13">
      <c r="A1505" s="6">
        <v>43508</v>
      </c>
      <c r="B1505" s="7">
        <v>0.62569444444444444</v>
      </c>
      <c r="C1505" s="12" t="str">
        <f>"FES1162672634"</f>
        <v>FES1162672634</v>
      </c>
      <c r="D1505" s="12" t="s">
        <v>18</v>
      </c>
      <c r="E1505" s="12" t="s">
        <v>140</v>
      </c>
      <c r="F1505" s="12" t="str">
        <f>"2170673905 "</f>
        <v xml:space="preserve">2170673905 </v>
      </c>
      <c r="G1505" s="12" t="str">
        <f t="shared" si="49"/>
        <v>ON1</v>
      </c>
      <c r="H1505" s="12" t="s">
        <v>20</v>
      </c>
      <c r="I1505" s="12" t="s">
        <v>141</v>
      </c>
      <c r="J1505" s="12" t="str">
        <f>""</f>
        <v/>
      </c>
      <c r="K1505" s="12" t="str">
        <f>"PFES1162672634_0001"</f>
        <v>PFES1162672634_0001</v>
      </c>
      <c r="L1505" s="12">
        <v>1</v>
      </c>
      <c r="M1505" s="12">
        <v>2</v>
      </c>
    </row>
    <row r="1506" spans="1:13">
      <c r="A1506" s="6">
        <v>43508</v>
      </c>
      <c r="B1506" s="7">
        <v>0.625</v>
      </c>
      <c r="C1506" s="12" t="str">
        <f>"FES1162672632"</f>
        <v>FES1162672632</v>
      </c>
      <c r="D1506" s="12" t="s">
        <v>18</v>
      </c>
      <c r="E1506" s="12" t="s">
        <v>44</v>
      </c>
      <c r="F1506" s="12" t="str">
        <f>"2170673903 "</f>
        <v xml:space="preserve">2170673903 </v>
      </c>
      <c r="G1506" s="12" t="str">
        <f t="shared" si="49"/>
        <v>ON1</v>
      </c>
      <c r="H1506" s="12" t="s">
        <v>20</v>
      </c>
      <c r="I1506" s="12" t="s">
        <v>39</v>
      </c>
      <c r="J1506" s="12" t="str">
        <f>""</f>
        <v/>
      </c>
      <c r="K1506" s="12" t="str">
        <f>"PFES1162672632_0001"</f>
        <v>PFES1162672632_0001</v>
      </c>
      <c r="L1506" s="12">
        <v>1</v>
      </c>
      <c r="M1506" s="12">
        <v>1</v>
      </c>
    </row>
    <row r="1507" spans="1:13">
      <c r="A1507" s="6">
        <v>43508</v>
      </c>
      <c r="B1507" s="7">
        <v>0.62430555555555556</v>
      </c>
      <c r="C1507" s="12" t="str">
        <f>"FES1162672602"</f>
        <v>FES1162672602</v>
      </c>
      <c r="D1507" s="12" t="s">
        <v>18</v>
      </c>
      <c r="E1507" s="12" t="s">
        <v>792</v>
      </c>
      <c r="F1507" s="12" t="str">
        <f>"2170673871 "</f>
        <v xml:space="preserve">2170673871 </v>
      </c>
      <c r="G1507" s="12" t="str">
        <f t="shared" si="49"/>
        <v>ON1</v>
      </c>
      <c r="H1507" s="12" t="s">
        <v>20</v>
      </c>
      <c r="I1507" s="12" t="s">
        <v>429</v>
      </c>
      <c r="J1507" s="12" t="str">
        <f>""</f>
        <v/>
      </c>
      <c r="K1507" s="12" t="str">
        <f>"PFES1162672602_0001"</f>
        <v>PFES1162672602_0001</v>
      </c>
      <c r="L1507" s="12">
        <v>1</v>
      </c>
      <c r="M1507" s="12">
        <v>3</v>
      </c>
    </row>
    <row r="1508" spans="1:13">
      <c r="A1508" s="6">
        <v>43508</v>
      </c>
      <c r="B1508" s="7">
        <v>0.62291666666666667</v>
      </c>
      <c r="C1508" s="12" t="str">
        <f>"FES1162672538"</f>
        <v>FES1162672538</v>
      </c>
      <c r="D1508" s="12" t="s">
        <v>18</v>
      </c>
      <c r="E1508" s="12" t="s">
        <v>798</v>
      </c>
      <c r="F1508" s="12" t="str">
        <f>"2170673778 "</f>
        <v xml:space="preserve">2170673778 </v>
      </c>
      <c r="G1508" s="12" t="str">
        <f t="shared" si="49"/>
        <v>ON1</v>
      </c>
      <c r="H1508" s="12" t="s">
        <v>20</v>
      </c>
      <c r="I1508" s="12" t="s">
        <v>708</v>
      </c>
      <c r="J1508" s="12" t="str">
        <f>""</f>
        <v/>
      </c>
      <c r="K1508" s="12" t="str">
        <f>"PFES1162672538_0001"</f>
        <v>PFES1162672538_0001</v>
      </c>
      <c r="L1508" s="12">
        <v>1</v>
      </c>
      <c r="M1508" s="12">
        <v>1</v>
      </c>
    </row>
    <row r="1509" spans="1:13">
      <c r="A1509" s="6">
        <v>43508</v>
      </c>
      <c r="B1509" s="7">
        <v>0.62152777777777779</v>
      </c>
      <c r="C1509" s="12" t="str">
        <f>"FES1162672436"</f>
        <v>FES1162672436</v>
      </c>
      <c r="D1509" s="12" t="s">
        <v>18</v>
      </c>
      <c r="E1509" s="12" t="s">
        <v>289</v>
      </c>
      <c r="F1509" s="12" t="str">
        <f>"2170669881 "</f>
        <v xml:space="preserve">2170669881 </v>
      </c>
      <c r="G1509" s="12" t="str">
        <f t="shared" si="49"/>
        <v>ON1</v>
      </c>
      <c r="H1509" s="12" t="s">
        <v>20</v>
      </c>
      <c r="I1509" s="12" t="s">
        <v>290</v>
      </c>
      <c r="J1509" s="12" t="str">
        <f>""</f>
        <v/>
      </c>
      <c r="K1509" s="12" t="str">
        <f>"PFES1162672436_0001"</f>
        <v>PFES1162672436_0001</v>
      </c>
      <c r="L1509" s="12">
        <v>2</v>
      </c>
      <c r="M1509" s="12">
        <v>6</v>
      </c>
    </row>
    <row r="1510" spans="1:13">
      <c r="A1510" s="6">
        <v>43496</v>
      </c>
      <c r="B1510" s="7">
        <v>0.63680555555555551</v>
      </c>
      <c r="C1510" s="12" t="str">
        <f>"FES1162672436"</f>
        <v>FES1162672436</v>
      </c>
      <c r="D1510" s="12" t="s">
        <v>18</v>
      </c>
      <c r="E1510" s="12" t="s">
        <v>483</v>
      </c>
      <c r="F1510" s="12" t="str">
        <f>"21706766872 "</f>
        <v xml:space="preserve">21706766872 </v>
      </c>
      <c r="G1510" s="12" t="str">
        <f t="shared" si="49"/>
        <v>ON1</v>
      </c>
      <c r="H1510" s="12" t="s">
        <v>20</v>
      </c>
      <c r="I1510" s="12" t="s">
        <v>484</v>
      </c>
      <c r="J1510" s="12" t="str">
        <f>""</f>
        <v/>
      </c>
      <c r="K1510" s="12" t="str">
        <f>"PFES1162672436_0002"</f>
        <v>PFES1162672436_0002</v>
      </c>
      <c r="L1510" s="12">
        <v>1</v>
      </c>
      <c r="M1510" s="12">
        <v>1</v>
      </c>
    </row>
    <row r="1511" spans="1:13">
      <c r="A1511" s="6">
        <v>43508</v>
      </c>
      <c r="B1511" s="7">
        <v>0.62083333333333335</v>
      </c>
      <c r="C1511" s="12" t="str">
        <f>"FES1162672579"</f>
        <v>FES1162672579</v>
      </c>
      <c r="D1511" s="12" t="s">
        <v>18</v>
      </c>
      <c r="E1511" s="12" t="s">
        <v>799</v>
      </c>
      <c r="F1511" s="12" t="str">
        <f>"2170673852 "</f>
        <v xml:space="preserve">2170673852 </v>
      </c>
      <c r="G1511" s="12" t="str">
        <f t="shared" si="49"/>
        <v>ON1</v>
      </c>
      <c r="H1511" s="12" t="s">
        <v>20</v>
      </c>
      <c r="I1511" s="12" t="s">
        <v>239</v>
      </c>
      <c r="J1511" s="12" t="str">
        <f>""</f>
        <v/>
      </c>
      <c r="K1511" s="12" t="str">
        <f>"PFES1162672579_0001"</f>
        <v>PFES1162672579_0001</v>
      </c>
      <c r="L1511" s="12">
        <v>1</v>
      </c>
      <c r="M1511" s="12">
        <v>5</v>
      </c>
    </row>
    <row r="1512" spans="1:13">
      <c r="A1512" s="6">
        <v>43508</v>
      </c>
      <c r="B1512" s="7">
        <v>0.62013888888888891</v>
      </c>
      <c r="C1512" s="12" t="str">
        <f>"FES1162672468"</f>
        <v>FES1162672468</v>
      </c>
      <c r="D1512" s="12" t="s">
        <v>18</v>
      </c>
      <c r="E1512" s="12" t="s">
        <v>71</v>
      </c>
      <c r="F1512" s="12" t="str">
        <f>"2170671998 "</f>
        <v xml:space="preserve">2170671998 </v>
      </c>
      <c r="G1512" s="12" t="str">
        <f t="shared" si="49"/>
        <v>ON1</v>
      </c>
      <c r="H1512" s="12" t="s">
        <v>20</v>
      </c>
      <c r="I1512" s="12" t="s">
        <v>72</v>
      </c>
      <c r="J1512" s="12" t="str">
        <f>""</f>
        <v/>
      </c>
      <c r="K1512" s="12" t="str">
        <f>"PFES1162672468_0001"</f>
        <v>PFES1162672468_0001</v>
      </c>
      <c r="L1512" s="12">
        <v>1</v>
      </c>
      <c r="M1512" s="12">
        <v>2</v>
      </c>
    </row>
    <row r="1513" spans="1:13">
      <c r="A1513" s="6">
        <v>43508</v>
      </c>
      <c r="B1513" s="7">
        <v>0.61944444444444446</v>
      </c>
      <c r="C1513" s="12" t="str">
        <f>"FES1162672615"</f>
        <v>FES1162672615</v>
      </c>
      <c r="D1513" s="12" t="s">
        <v>18</v>
      </c>
      <c r="E1513" s="12" t="s">
        <v>800</v>
      </c>
      <c r="F1513" s="12" t="str">
        <f>"2170673886 "</f>
        <v xml:space="preserve">2170673886 </v>
      </c>
      <c r="G1513" s="12" t="str">
        <f t="shared" si="49"/>
        <v>ON1</v>
      </c>
      <c r="H1513" s="12" t="s">
        <v>20</v>
      </c>
      <c r="I1513" s="12" t="s">
        <v>237</v>
      </c>
      <c r="J1513" s="12" t="str">
        <f>""</f>
        <v/>
      </c>
      <c r="K1513" s="12" t="str">
        <f>"PFES1162672615_0001"</f>
        <v>PFES1162672615_0001</v>
      </c>
      <c r="L1513" s="12">
        <v>1</v>
      </c>
      <c r="M1513" s="12">
        <v>4</v>
      </c>
    </row>
    <row r="1514" spans="1:13">
      <c r="A1514" s="6">
        <v>43508</v>
      </c>
      <c r="B1514" s="7">
        <v>0.61875000000000002</v>
      </c>
      <c r="C1514" s="12" t="str">
        <f>"FES1162672633"</f>
        <v>FES1162672633</v>
      </c>
      <c r="D1514" s="12" t="s">
        <v>18</v>
      </c>
      <c r="E1514" s="12" t="s">
        <v>298</v>
      </c>
      <c r="F1514" s="12" t="str">
        <f>"2170673904 "</f>
        <v xml:space="preserve">2170673904 </v>
      </c>
      <c r="G1514" s="12" t="str">
        <f t="shared" si="49"/>
        <v>ON1</v>
      </c>
      <c r="H1514" s="12" t="s">
        <v>20</v>
      </c>
      <c r="I1514" s="12" t="s">
        <v>93</v>
      </c>
      <c r="J1514" s="12" t="str">
        <f>""</f>
        <v/>
      </c>
      <c r="K1514" s="12" t="str">
        <f>"PFES1162672633_0001"</f>
        <v>PFES1162672633_0001</v>
      </c>
      <c r="L1514" s="12">
        <v>1</v>
      </c>
      <c r="M1514" s="12">
        <v>1</v>
      </c>
    </row>
    <row r="1515" spans="1:13">
      <c r="A1515" s="6">
        <v>43508</v>
      </c>
      <c r="B1515" s="7">
        <v>0.61805555555555558</v>
      </c>
      <c r="C1515" s="12" t="str">
        <f>"FES1162672643"</f>
        <v>FES1162672643</v>
      </c>
      <c r="D1515" s="12" t="s">
        <v>18</v>
      </c>
      <c r="E1515" s="12" t="s">
        <v>801</v>
      </c>
      <c r="F1515" s="12" t="str">
        <f>"2170673922 "</f>
        <v xml:space="preserve">2170673922 </v>
      </c>
      <c r="G1515" s="12" t="str">
        <f t="shared" si="49"/>
        <v>ON1</v>
      </c>
      <c r="H1515" s="12" t="s">
        <v>20</v>
      </c>
      <c r="I1515" s="12" t="s">
        <v>653</v>
      </c>
      <c r="J1515" s="12" t="str">
        <f>""</f>
        <v/>
      </c>
      <c r="K1515" s="12" t="str">
        <f>"PFES1162672643_0001"</f>
        <v>PFES1162672643_0001</v>
      </c>
      <c r="L1515" s="12">
        <v>1</v>
      </c>
      <c r="M1515" s="12">
        <v>1</v>
      </c>
    </row>
    <row r="1516" spans="1:13">
      <c r="A1516" s="6">
        <v>43508</v>
      </c>
      <c r="B1516" s="7">
        <v>0.61805555555555558</v>
      </c>
      <c r="C1516" s="12" t="str">
        <f>"FES1162672621"</f>
        <v>FES1162672621</v>
      </c>
      <c r="D1516" s="12" t="s">
        <v>18</v>
      </c>
      <c r="E1516" s="12" t="s">
        <v>802</v>
      </c>
      <c r="F1516" s="12" t="str">
        <f>"2170673899 "</f>
        <v xml:space="preserve">2170673899 </v>
      </c>
      <c r="G1516" s="12" t="str">
        <f t="shared" si="49"/>
        <v>ON1</v>
      </c>
      <c r="H1516" s="12" t="s">
        <v>20</v>
      </c>
      <c r="I1516" s="12" t="s">
        <v>333</v>
      </c>
      <c r="J1516" s="12" t="str">
        <f>""</f>
        <v/>
      </c>
      <c r="K1516" s="12" t="str">
        <f>"PFES1162672621_0001"</f>
        <v>PFES1162672621_0001</v>
      </c>
      <c r="L1516" s="12">
        <v>1</v>
      </c>
      <c r="M1516" s="12">
        <v>1</v>
      </c>
    </row>
    <row r="1517" spans="1:13">
      <c r="A1517" s="6">
        <v>43508</v>
      </c>
      <c r="B1517" s="7">
        <v>0.61805555555555558</v>
      </c>
      <c r="C1517" s="12" t="str">
        <f>"FES1162672645"</f>
        <v>FES1162672645</v>
      </c>
      <c r="D1517" s="12" t="s">
        <v>18</v>
      </c>
      <c r="E1517" s="12" t="s">
        <v>88</v>
      </c>
      <c r="F1517" s="12" t="str">
        <f>"2170673925 "</f>
        <v xml:space="preserve">2170673925 </v>
      </c>
      <c r="G1517" s="12" t="str">
        <f t="shared" si="49"/>
        <v>ON1</v>
      </c>
      <c r="H1517" s="12" t="s">
        <v>20</v>
      </c>
      <c r="I1517" s="12" t="s">
        <v>89</v>
      </c>
      <c r="J1517" s="12" t="str">
        <f>""</f>
        <v/>
      </c>
      <c r="K1517" s="12" t="str">
        <f>"PFES1162672645_0001"</f>
        <v>PFES1162672645_0001</v>
      </c>
      <c r="L1517" s="12">
        <v>1</v>
      </c>
      <c r="M1517" s="12">
        <v>1</v>
      </c>
    </row>
    <row r="1518" spans="1:13">
      <c r="A1518" s="6">
        <v>43508</v>
      </c>
      <c r="B1518" s="7">
        <v>0.61736111111111114</v>
      </c>
      <c r="C1518" s="12" t="str">
        <f>"FES1162672641"</f>
        <v>FES1162672641</v>
      </c>
      <c r="D1518" s="12" t="s">
        <v>18</v>
      </c>
      <c r="E1518" s="12" t="s">
        <v>88</v>
      </c>
      <c r="F1518" s="12" t="str">
        <f>"2170673920 "</f>
        <v xml:space="preserve">2170673920 </v>
      </c>
      <c r="G1518" s="12" t="str">
        <f t="shared" si="49"/>
        <v>ON1</v>
      </c>
      <c r="H1518" s="12" t="s">
        <v>20</v>
      </c>
      <c r="I1518" s="12" t="s">
        <v>89</v>
      </c>
      <c r="J1518" s="12" t="str">
        <f>""</f>
        <v/>
      </c>
      <c r="K1518" s="12" t="str">
        <f>"PFES1162672641_0001"</f>
        <v>PFES1162672641_0001</v>
      </c>
      <c r="L1518" s="12">
        <v>1</v>
      </c>
      <c r="M1518" s="12">
        <v>1</v>
      </c>
    </row>
    <row r="1519" spans="1:13">
      <c r="A1519" s="6">
        <v>43508</v>
      </c>
      <c r="B1519" s="7">
        <v>0.61736111111111114</v>
      </c>
      <c r="C1519" s="12" t="str">
        <f>"FES1162672642"</f>
        <v>FES1162672642</v>
      </c>
      <c r="D1519" s="12" t="s">
        <v>18</v>
      </c>
      <c r="E1519" s="12" t="s">
        <v>73</v>
      </c>
      <c r="F1519" s="12" t="str">
        <f>"2170673921 "</f>
        <v xml:space="preserve">2170673921 </v>
      </c>
      <c r="G1519" s="12" t="str">
        <f t="shared" si="49"/>
        <v>ON1</v>
      </c>
      <c r="H1519" s="12" t="s">
        <v>20</v>
      </c>
      <c r="I1519" s="12" t="s">
        <v>61</v>
      </c>
      <c r="J1519" s="12" t="str">
        <f>""</f>
        <v/>
      </c>
      <c r="K1519" s="12" t="str">
        <f>"PFES1162672642_0001"</f>
        <v>PFES1162672642_0001</v>
      </c>
      <c r="L1519" s="12">
        <v>1</v>
      </c>
      <c r="M1519" s="12">
        <v>5</v>
      </c>
    </row>
    <row r="1520" spans="1:13">
      <c r="A1520" s="6">
        <v>43508</v>
      </c>
      <c r="B1520" s="7">
        <v>0.61736111111111114</v>
      </c>
      <c r="C1520" s="12" t="str">
        <f>"FES1162672640"</f>
        <v>FES1162672640</v>
      </c>
      <c r="D1520" s="12" t="s">
        <v>18</v>
      </c>
      <c r="E1520" s="12" t="s">
        <v>88</v>
      </c>
      <c r="F1520" s="12" t="str">
        <f>"2170673918 "</f>
        <v xml:space="preserve">2170673918 </v>
      </c>
      <c r="G1520" s="12" t="str">
        <f t="shared" si="49"/>
        <v>ON1</v>
      </c>
      <c r="H1520" s="12" t="s">
        <v>20</v>
      </c>
      <c r="I1520" s="12" t="s">
        <v>89</v>
      </c>
      <c r="J1520" s="12" t="str">
        <f>""</f>
        <v/>
      </c>
      <c r="K1520" s="12" t="str">
        <f>"PFES1162672640_0001"</f>
        <v>PFES1162672640_0001</v>
      </c>
      <c r="L1520" s="12">
        <v>1</v>
      </c>
      <c r="M1520" s="12">
        <v>1</v>
      </c>
    </row>
    <row r="1521" spans="1:13">
      <c r="A1521" s="6">
        <v>43508</v>
      </c>
      <c r="B1521" s="7">
        <v>0.6166666666666667</v>
      </c>
      <c r="C1521" s="12" t="str">
        <f>"FES1162672635"</f>
        <v>FES1162672635</v>
      </c>
      <c r="D1521" s="12" t="s">
        <v>18</v>
      </c>
      <c r="E1521" s="12" t="s">
        <v>195</v>
      </c>
      <c r="F1521" s="12" t="str">
        <f>"2170673906 "</f>
        <v xml:space="preserve">2170673906 </v>
      </c>
      <c r="G1521" s="12" t="str">
        <f t="shared" si="49"/>
        <v>ON1</v>
      </c>
      <c r="H1521" s="12" t="s">
        <v>20</v>
      </c>
      <c r="I1521" s="12" t="s">
        <v>96</v>
      </c>
      <c r="J1521" s="12" t="str">
        <f>""</f>
        <v/>
      </c>
      <c r="K1521" s="12" t="str">
        <f>"PFES1162672635_0001"</f>
        <v>PFES1162672635_0001</v>
      </c>
      <c r="L1521" s="12">
        <v>1</v>
      </c>
      <c r="M1521" s="12">
        <v>1</v>
      </c>
    </row>
    <row r="1522" spans="1:13">
      <c r="A1522" s="6">
        <v>43508</v>
      </c>
      <c r="B1522" s="7">
        <v>0.6166666666666667</v>
      </c>
      <c r="C1522" s="12" t="str">
        <f>"FES1162672613"</f>
        <v>FES1162672613</v>
      </c>
      <c r="D1522" s="12" t="s">
        <v>18</v>
      </c>
      <c r="E1522" s="12" t="s">
        <v>159</v>
      </c>
      <c r="F1522" s="12" t="str">
        <f>"2170673885 "</f>
        <v xml:space="preserve">2170673885 </v>
      </c>
      <c r="G1522" s="12" t="str">
        <f t="shared" si="49"/>
        <v>ON1</v>
      </c>
      <c r="H1522" s="12" t="s">
        <v>20</v>
      </c>
      <c r="I1522" s="12" t="s">
        <v>137</v>
      </c>
      <c r="J1522" s="12" t="str">
        <f>""</f>
        <v/>
      </c>
      <c r="K1522" s="12" t="str">
        <f>"PFES1162672613_0001"</f>
        <v>PFES1162672613_0001</v>
      </c>
      <c r="L1522" s="12">
        <v>1</v>
      </c>
      <c r="M1522" s="12">
        <v>1</v>
      </c>
    </row>
    <row r="1523" spans="1:13">
      <c r="A1523" s="6">
        <v>43508</v>
      </c>
      <c r="B1523" s="7">
        <v>0.61597222222222225</v>
      </c>
      <c r="C1523" s="12" t="str">
        <f>"FES1162672600"</f>
        <v>FES1162672600</v>
      </c>
      <c r="D1523" s="12" t="s">
        <v>18</v>
      </c>
      <c r="E1523" s="12" t="s">
        <v>178</v>
      </c>
      <c r="F1523" s="12" t="str">
        <f>"2170673866 "</f>
        <v xml:space="preserve">2170673866 </v>
      </c>
      <c r="G1523" s="12" t="str">
        <f t="shared" si="49"/>
        <v>ON1</v>
      </c>
      <c r="H1523" s="12" t="s">
        <v>20</v>
      </c>
      <c r="I1523" s="12" t="s">
        <v>390</v>
      </c>
      <c r="J1523" s="12" t="str">
        <f>""</f>
        <v/>
      </c>
      <c r="K1523" s="12" t="str">
        <f>"PFES1162672600_0001"</f>
        <v>PFES1162672600_0001</v>
      </c>
      <c r="L1523" s="12">
        <v>1</v>
      </c>
      <c r="M1523" s="12">
        <v>2</v>
      </c>
    </row>
    <row r="1524" spans="1:13">
      <c r="A1524" s="6">
        <v>43508</v>
      </c>
      <c r="B1524" s="7">
        <v>0.61597222222222225</v>
      </c>
      <c r="C1524" s="12" t="str">
        <f>"FES1162672618"</f>
        <v>FES1162672618</v>
      </c>
      <c r="D1524" s="12" t="s">
        <v>18</v>
      </c>
      <c r="E1524" s="12" t="s">
        <v>803</v>
      </c>
      <c r="F1524" s="12" t="str">
        <f>"2170673892 "</f>
        <v xml:space="preserve">2170673892 </v>
      </c>
      <c r="G1524" s="12" t="str">
        <f t="shared" si="49"/>
        <v>ON1</v>
      </c>
      <c r="H1524" s="12" t="s">
        <v>20</v>
      </c>
      <c r="I1524" s="12" t="s">
        <v>594</v>
      </c>
      <c r="J1524" s="12" t="str">
        <f>""</f>
        <v/>
      </c>
      <c r="K1524" s="12" t="str">
        <f>"PFES1162672618_0001"</f>
        <v>PFES1162672618_0001</v>
      </c>
      <c r="L1524" s="12">
        <v>1</v>
      </c>
      <c r="M1524" s="12">
        <v>1</v>
      </c>
    </row>
    <row r="1525" spans="1:13">
      <c r="A1525" s="6">
        <v>43508</v>
      </c>
      <c r="B1525" s="7">
        <v>0.61597222222222225</v>
      </c>
      <c r="C1525" s="12" t="str">
        <f>"FES1162672620"</f>
        <v>FES1162672620</v>
      </c>
      <c r="D1525" s="12" t="s">
        <v>18</v>
      </c>
      <c r="E1525" s="12" t="s">
        <v>234</v>
      </c>
      <c r="F1525" s="12" t="str">
        <f>"2170673867 "</f>
        <v xml:space="preserve">2170673867 </v>
      </c>
      <c r="G1525" s="12" t="str">
        <f t="shared" si="49"/>
        <v>ON1</v>
      </c>
      <c r="H1525" s="12" t="s">
        <v>20</v>
      </c>
      <c r="I1525" s="12" t="s">
        <v>233</v>
      </c>
      <c r="J1525" s="12" t="str">
        <f>""</f>
        <v/>
      </c>
      <c r="K1525" s="12" t="str">
        <f>"PFES1162672620_0001"</f>
        <v>PFES1162672620_0001</v>
      </c>
      <c r="L1525" s="12">
        <v>1</v>
      </c>
      <c r="M1525" s="12">
        <v>1</v>
      </c>
    </row>
    <row r="1526" spans="1:13">
      <c r="A1526" s="6">
        <v>43508</v>
      </c>
      <c r="B1526" s="7">
        <v>0.61527777777777781</v>
      </c>
      <c r="C1526" s="12" t="str">
        <f>"FES1162672624"</f>
        <v>FES1162672624</v>
      </c>
      <c r="D1526" s="12" t="s">
        <v>18</v>
      </c>
      <c r="E1526" s="12" t="s">
        <v>100</v>
      </c>
      <c r="F1526" s="12" t="str">
        <f>"2170673813 "</f>
        <v xml:space="preserve">2170673813 </v>
      </c>
      <c r="G1526" s="12" t="str">
        <f t="shared" si="49"/>
        <v>ON1</v>
      </c>
      <c r="H1526" s="12" t="s">
        <v>20</v>
      </c>
      <c r="I1526" s="12" t="s">
        <v>101</v>
      </c>
      <c r="J1526" s="12" t="str">
        <f>""</f>
        <v/>
      </c>
      <c r="K1526" s="12" t="str">
        <f>"PFES1162672624_0001"</f>
        <v>PFES1162672624_0001</v>
      </c>
      <c r="L1526" s="12">
        <v>1</v>
      </c>
      <c r="M1526" s="12">
        <v>1</v>
      </c>
    </row>
    <row r="1527" spans="1:13">
      <c r="A1527" s="6">
        <v>43508</v>
      </c>
      <c r="B1527" s="7">
        <v>0.61527777777777781</v>
      </c>
      <c r="C1527" s="12" t="str">
        <f>"FES1162672617"</f>
        <v>FES1162672617</v>
      </c>
      <c r="D1527" s="12" t="s">
        <v>18</v>
      </c>
      <c r="E1527" s="12" t="s">
        <v>88</v>
      </c>
      <c r="F1527" s="12" t="str">
        <f>"2170673890 "</f>
        <v xml:space="preserve">2170673890 </v>
      </c>
      <c r="G1527" s="12" t="str">
        <f t="shared" si="49"/>
        <v>ON1</v>
      </c>
      <c r="H1527" s="12" t="s">
        <v>20</v>
      </c>
      <c r="I1527" s="12" t="s">
        <v>89</v>
      </c>
      <c r="J1527" s="12" t="str">
        <f>""</f>
        <v/>
      </c>
      <c r="K1527" s="12" t="str">
        <f>"PFES1162672617_0001"</f>
        <v>PFES1162672617_0001</v>
      </c>
      <c r="L1527" s="12">
        <v>1</v>
      </c>
      <c r="M1527" s="12">
        <v>1</v>
      </c>
    </row>
    <row r="1528" spans="1:13">
      <c r="A1528" s="6">
        <v>43508</v>
      </c>
      <c r="B1528" s="7">
        <v>0.61527777777777781</v>
      </c>
      <c r="C1528" s="12" t="str">
        <f>"FES1162672434"</f>
        <v>FES1162672434</v>
      </c>
      <c r="D1528" s="12" t="s">
        <v>18</v>
      </c>
      <c r="E1528" s="12" t="s">
        <v>462</v>
      </c>
      <c r="F1528" s="12" t="str">
        <f>"2170669656 "</f>
        <v xml:space="preserve">2170669656 </v>
      </c>
      <c r="G1528" s="12" t="str">
        <f t="shared" si="49"/>
        <v>ON1</v>
      </c>
      <c r="H1528" s="12" t="s">
        <v>20</v>
      </c>
      <c r="I1528" s="12" t="s">
        <v>463</v>
      </c>
      <c r="J1528" s="12" t="str">
        <f>""</f>
        <v/>
      </c>
      <c r="K1528" s="12" t="str">
        <f>"PFES1162672434_0001"</f>
        <v>PFES1162672434_0001</v>
      </c>
      <c r="L1528" s="12">
        <v>1</v>
      </c>
      <c r="M1528" s="12">
        <v>9</v>
      </c>
    </row>
    <row r="1529" spans="1:13">
      <c r="A1529" s="6">
        <v>43508</v>
      </c>
      <c r="B1529" s="7">
        <v>0.61458333333333337</v>
      </c>
      <c r="C1529" s="12" t="str">
        <f>"FES1162672607"</f>
        <v>FES1162672607</v>
      </c>
      <c r="D1529" s="12" t="s">
        <v>18</v>
      </c>
      <c r="E1529" s="12" t="s">
        <v>405</v>
      </c>
      <c r="F1529" s="12" t="str">
        <f>"2170673878 "</f>
        <v xml:space="preserve">2170673878 </v>
      </c>
      <c r="G1529" s="12" t="str">
        <f t="shared" si="49"/>
        <v>ON1</v>
      </c>
      <c r="H1529" s="12" t="s">
        <v>20</v>
      </c>
      <c r="I1529" s="12" t="s">
        <v>239</v>
      </c>
      <c r="J1529" s="12" t="str">
        <f>""</f>
        <v/>
      </c>
      <c r="K1529" s="12" t="str">
        <f>"PFES1162672607_0001"</f>
        <v>PFES1162672607_0001</v>
      </c>
      <c r="L1529" s="12">
        <v>1</v>
      </c>
      <c r="M1529" s="12">
        <v>1</v>
      </c>
    </row>
    <row r="1530" spans="1:13">
      <c r="A1530" s="6">
        <v>43508</v>
      </c>
      <c r="B1530" s="7">
        <v>0.61388888888888882</v>
      </c>
      <c r="C1530" s="12" t="str">
        <f>"FES1162672570"</f>
        <v>FES1162672570</v>
      </c>
      <c r="D1530" s="12" t="s">
        <v>18</v>
      </c>
      <c r="E1530" s="12" t="s">
        <v>159</v>
      </c>
      <c r="F1530" s="12" t="str">
        <f>"2170673841 "</f>
        <v xml:space="preserve">2170673841 </v>
      </c>
      <c r="G1530" s="12" t="str">
        <f t="shared" si="49"/>
        <v>ON1</v>
      </c>
      <c r="H1530" s="12" t="s">
        <v>20</v>
      </c>
      <c r="I1530" s="12" t="s">
        <v>137</v>
      </c>
      <c r="J1530" s="12" t="str">
        <f>""</f>
        <v/>
      </c>
      <c r="K1530" s="12" t="str">
        <f>"PFES1162672570_0001"</f>
        <v>PFES1162672570_0001</v>
      </c>
      <c r="L1530" s="12">
        <v>1</v>
      </c>
      <c r="M1530" s="12">
        <v>1</v>
      </c>
    </row>
    <row r="1531" spans="1:13">
      <c r="A1531" s="6">
        <v>43508</v>
      </c>
      <c r="B1531" s="7">
        <v>0.61319444444444449</v>
      </c>
      <c r="C1531" s="12" t="str">
        <f>"FES1162672648"</f>
        <v>FES1162672648</v>
      </c>
      <c r="D1531" s="12" t="s">
        <v>18</v>
      </c>
      <c r="E1531" s="12" t="s">
        <v>804</v>
      </c>
      <c r="F1531" s="12" t="str">
        <f>"2170673933 "</f>
        <v xml:space="preserve">2170673933 </v>
      </c>
      <c r="G1531" s="12" t="str">
        <f t="shared" si="49"/>
        <v>ON1</v>
      </c>
      <c r="H1531" s="12" t="s">
        <v>20</v>
      </c>
      <c r="I1531" s="12" t="s">
        <v>805</v>
      </c>
      <c r="J1531" s="12" t="str">
        <f>""</f>
        <v/>
      </c>
      <c r="K1531" s="12" t="str">
        <f>"PFES1162672648_0001"</f>
        <v>PFES1162672648_0001</v>
      </c>
      <c r="L1531" s="12">
        <v>1</v>
      </c>
      <c r="M1531" s="12">
        <v>1</v>
      </c>
    </row>
    <row r="1532" spans="1:13">
      <c r="A1532" s="6">
        <v>43508</v>
      </c>
      <c r="B1532" s="7">
        <v>0.61249999999999993</v>
      </c>
      <c r="C1532" s="12" t="str">
        <f>"FES1162672504"</f>
        <v>FES1162672504</v>
      </c>
      <c r="D1532" s="12" t="s">
        <v>18</v>
      </c>
      <c r="E1532" s="12" t="s">
        <v>26</v>
      </c>
      <c r="F1532" s="12" t="str">
        <f>"21706737874 "</f>
        <v xml:space="preserve">21706737874 </v>
      </c>
      <c r="G1532" s="12" t="str">
        <f t="shared" si="49"/>
        <v>ON1</v>
      </c>
      <c r="H1532" s="12" t="s">
        <v>20</v>
      </c>
      <c r="I1532" s="12" t="s">
        <v>27</v>
      </c>
      <c r="J1532" s="12" t="str">
        <f>""</f>
        <v/>
      </c>
      <c r="K1532" s="12" t="str">
        <f>"PFES1162672504_0001"</f>
        <v>PFES1162672504_0001</v>
      </c>
      <c r="L1532" s="12">
        <v>1</v>
      </c>
      <c r="M1532" s="12">
        <v>1</v>
      </c>
    </row>
    <row r="1533" spans="1:13">
      <c r="A1533" s="6">
        <v>43508</v>
      </c>
      <c r="B1533" s="7">
        <v>0.61249999999999993</v>
      </c>
      <c r="C1533" s="12" t="str">
        <f>"FES1162672527"</f>
        <v>FES1162672527</v>
      </c>
      <c r="D1533" s="12" t="s">
        <v>18</v>
      </c>
      <c r="E1533" s="12" t="s">
        <v>168</v>
      </c>
      <c r="F1533" s="12" t="str">
        <f>"2170671167 "</f>
        <v xml:space="preserve">2170671167 </v>
      </c>
      <c r="G1533" s="12" t="str">
        <f t="shared" si="49"/>
        <v>ON1</v>
      </c>
      <c r="H1533" s="12" t="s">
        <v>20</v>
      </c>
      <c r="I1533" s="12" t="s">
        <v>63</v>
      </c>
      <c r="J1533" s="12" t="str">
        <f>""</f>
        <v/>
      </c>
      <c r="K1533" s="12" t="str">
        <f>"PFES1162672527_0001"</f>
        <v>PFES1162672527_0001</v>
      </c>
      <c r="L1533" s="12">
        <v>1</v>
      </c>
      <c r="M1533" s="12">
        <v>1</v>
      </c>
    </row>
    <row r="1534" spans="1:13">
      <c r="A1534" s="6">
        <v>43508</v>
      </c>
      <c r="B1534" s="7">
        <v>0.6118055555555556</v>
      </c>
      <c r="C1534" s="12" t="str">
        <f>"FES1162672562"</f>
        <v>FES1162672562</v>
      </c>
      <c r="D1534" s="12" t="s">
        <v>18</v>
      </c>
      <c r="E1534" s="12" t="s">
        <v>355</v>
      </c>
      <c r="F1534" s="12" t="str">
        <f>"2170673606 "</f>
        <v xml:space="preserve">2170673606 </v>
      </c>
      <c r="G1534" s="12" t="str">
        <f t="shared" si="49"/>
        <v>ON1</v>
      </c>
      <c r="H1534" s="12" t="s">
        <v>20</v>
      </c>
      <c r="I1534" s="12" t="s">
        <v>59</v>
      </c>
      <c r="J1534" s="12" t="str">
        <f>""</f>
        <v/>
      </c>
      <c r="K1534" s="12" t="str">
        <f>"PFES1162672562_0001"</f>
        <v>PFES1162672562_0001</v>
      </c>
      <c r="L1534" s="12">
        <v>1</v>
      </c>
      <c r="M1534" s="12">
        <v>1</v>
      </c>
    </row>
    <row r="1535" spans="1:13">
      <c r="A1535" s="6">
        <v>43508</v>
      </c>
      <c r="B1535" s="7">
        <v>0.6118055555555556</v>
      </c>
      <c r="C1535" s="12" t="str">
        <f>"FES1162672577"</f>
        <v>FES1162672577</v>
      </c>
      <c r="D1535" s="12" t="s">
        <v>18</v>
      </c>
      <c r="E1535" s="12" t="s">
        <v>299</v>
      </c>
      <c r="F1535" s="12" t="str">
        <f>"2170673850 "</f>
        <v xml:space="preserve">2170673850 </v>
      </c>
      <c r="G1535" s="12" t="str">
        <f t="shared" si="49"/>
        <v>ON1</v>
      </c>
      <c r="H1535" s="12" t="s">
        <v>20</v>
      </c>
      <c r="I1535" s="12" t="s">
        <v>43</v>
      </c>
      <c r="J1535" s="12" t="str">
        <f>""</f>
        <v/>
      </c>
      <c r="K1535" s="12" t="str">
        <f>"PFES1162672577_0001"</f>
        <v>PFES1162672577_0001</v>
      </c>
      <c r="L1535" s="12">
        <v>1</v>
      </c>
      <c r="M1535" s="12">
        <v>1</v>
      </c>
    </row>
    <row r="1536" spans="1:13">
      <c r="A1536" s="6">
        <v>43508</v>
      </c>
      <c r="B1536" s="7">
        <v>0.61111111111111105</v>
      </c>
      <c r="C1536" s="12" t="str">
        <f>"FES1162672576"</f>
        <v>FES1162672576</v>
      </c>
      <c r="D1536" s="12" t="s">
        <v>18</v>
      </c>
      <c r="E1536" s="12" t="s">
        <v>127</v>
      </c>
      <c r="F1536" s="12" t="str">
        <f>"2170673847 "</f>
        <v xml:space="preserve">2170673847 </v>
      </c>
      <c r="G1536" s="12" t="str">
        <f t="shared" si="49"/>
        <v>ON1</v>
      </c>
      <c r="H1536" s="12" t="s">
        <v>20</v>
      </c>
      <c r="I1536" s="12" t="s">
        <v>128</v>
      </c>
      <c r="J1536" s="12" t="str">
        <f>""</f>
        <v/>
      </c>
      <c r="K1536" s="12" t="str">
        <f>"PFES1162672576_0001"</f>
        <v>PFES1162672576_0001</v>
      </c>
      <c r="L1536" s="12">
        <v>1</v>
      </c>
      <c r="M1536" s="12">
        <v>1</v>
      </c>
    </row>
    <row r="1537" spans="1:13">
      <c r="A1537" s="6">
        <v>43508</v>
      </c>
      <c r="B1537" s="7">
        <v>0.61111111111111105</v>
      </c>
      <c r="C1537" s="12" t="str">
        <f>"FES1162672589"</f>
        <v>FES1162672589</v>
      </c>
      <c r="D1537" s="12" t="s">
        <v>18</v>
      </c>
      <c r="E1537" s="12" t="s">
        <v>157</v>
      </c>
      <c r="F1537" s="12" t="str">
        <f>"2170673802 "</f>
        <v xml:space="preserve">2170673802 </v>
      </c>
      <c r="G1537" s="12" t="str">
        <f t="shared" si="49"/>
        <v>ON1</v>
      </c>
      <c r="H1537" s="12" t="s">
        <v>20</v>
      </c>
      <c r="I1537" s="12" t="s">
        <v>158</v>
      </c>
      <c r="J1537" s="12" t="str">
        <f>""</f>
        <v/>
      </c>
      <c r="K1537" s="12" t="str">
        <f>"PFES1162672589_0001"</f>
        <v>PFES1162672589_0001</v>
      </c>
      <c r="L1537" s="12">
        <v>1</v>
      </c>
      <c r="M1537" s="12">
        <v>1</v>
      </c>
    </row>
    <row r="1538" spans="1:13">
      <c r="A1538" s="6">
        <v>43508</v>
      </c>
      <c r="B1538" s="7">
        <v>0.61041666666666672</v>
      </c>
      <c r="C1538" s="12" t="str">
        <f>"FES1162672654"</f>
        <v>FES1162672654</v>
      </c>
      <c r="D1538" s="12" t="s">
        <v>18</v>
      </c>
      <c r="E1538" s="12" t="s">
        <v>335</v>
      </c>
      <c r="F1538" s="12" t="str">
        <f>"217067662298 "</f>
        <v xml:space="preserve">217067662298 </v>
      </c>
      <c r="G1538" s="12" t="str">
        <f t="shared" si="49"/>
        <v>ON1</v>
      </c>
      <c r="H1538" s="12" t="s">
        <v>20</v>
      </c>
      <c r="I1538" s="12" t="s">
        <v>336</v>
      </c>
      <c r="J1538" s="12" t="str">
        <f>""</f>
        <v/>
      </c>
      <c r="K1538" s="12" t="str">
        <f>"PFES1162672654_0001"</f>
        <v>PFES1162672654_0001</v>
      </c>
      <c r="L1538" s="12">
        <v>1</v>
      </c>
      <c r="M1538" s="12">
        <v>1</v>
      </c>
    </row>
    <row r="1539" spans="1:13">
      <c r="A1539" s="6">
        <v>43508</v>
      </c>
      <c r="B1539" s="7">
        <v>0.59236111111111112</v>
      </c>
      <c r="C1539" s="12" t="str">
        <f>"FES1162672626"</f>
        <v>FES1162672626</v>
      </c>
      <c r="D1539" s="12" t="s">
        <v>18</v>
      </c>
      <c r="E1539" s="12" t="s">
        <v>806</v>
      </c>
      <c r="F1539" s="12" t="str">
        <f>"2170673895 "</f>
        <v xml:space="preserve">2170673895 </v>
      </c>
      <c r="G1539" s="12" t="str">
        <f t="shared" si="49"/>
        <v>ON1</v>
      </c>
      <c r="H1539" s="12" t="s">
        <v>20</v>
      </c>
      <c r="I1539" s="12" t="s">
        <v>213</v>
      </c>
      <c r="J1539" s="12" t="str">
        <f>""</f>
        <v/>
      </c>
      <c r="K1539" s="12" t="str">
        <f>"PFES1162672626_0001"</f>
        <v>PFES1162672626_0001</v>
      </c>
      <c r="L1539" s="12">
        <v>1</v>
      </c>
      <c r="M1539" s="12">
        <v>1</v>
      </c>
    </row>
    <row r="1540" spans="1:13">
      <c r="A1540" s="6">
        <v>43508</v>
      </c>
      <c r="B1540" s="7">
        <v>0.59236111111111112</v>
      </c>
      <c r="C1540" s="12" t="str">
        <f>"FES1162672586"</f>
        <v>FES1162672586</v>
      </c>
      <c r="D1540" s="12" t="s">
        <v>18</v>
      </c>
      <c r="E1540" s="12" t="s">
        <v>807</v>
      </c>
      <c r="F1540" s="12" t="str">
        <f>"2170660995 "</f>
        <v xml:space="preserve">2170660995 </v>
      </c>
      <c r="G1540" s="12" t="str">
        <f t="shared" si="49"/>
        <v>ON1</v>
      </c>
      <c r="H1540" s="12" t="s">
        <v>20</v>
      </c>
      <c r="I1540" s="12" t="s">
        <v>808</v>
      </c>
      <c r="J1540" s="12" t="str">
        <f>""</f>
        <v/>
      </c>
      <c r="K1540" s="12" t="str">
        <f>"PFES1162672586_0001"</f>
        <v>PFES1162672586_0001</v>
      </c>
      <c r="L1540" s="12">
        <v>1</v>
      </c>
      <c r="M1540" s="12">
        <v>1</v>
      </c>
    </row>
    <row r="1541" spans="1:13">
      <c r="A1541" s="6">
        <v>43508</v>
      </c>
      <c r="B1541" s="7">
        <v>0.59236111111111112</v>
      </c>
      <c r="C1541" s="12" t="str">
        <f>"FES1162672584"</f>
        <v>FES1162672584</v>
      </c>
      <c r="D1541" s="12" t="s">
        <v>18</v>
      </c>
      <c r="E1541" s="12" t="s">
        <v>807</v>
      </c>
      <c r="F1541" s="12" t="str">
        <f>"2170656785 "</f>
        <v xml:space="preserve">2170656785 </v>
      </c>
      <c r="G1541" s="12" t="str">
        <f t="shared" si="49"/>
        <v>ON1</v>
      </c>
      <c r="H1541" s="12" t="s">
        <v>20</v>
      </c>
      <c r="I1541" s="12" t="s">
        <v>808</v>
      </c>
      <c r="J1541" s="12" t="str">
        <f>""</f>
        <v/>
      </c>
      <c r="K1541" s="12" t="str">
        <f>"PFES1162672584_0001"</f>
        <v>PFES1162672584_0001</v>
      </c>
      <c r="L1541" s="12">
        <v>1</v>
      </c>
      <c r="M1541" s="12">
        <v>1</v>
      </c>
    </row>
    <row r="1542" spans="1:13">
      <c r="A1542" s="6">
        <v>43508</v>
      </c>
      <c r="B1542" s="7">
        <v>0.58958333333333335</v>
      </c>
      <c r="C1542" s="12" t="str">
        <f>"FES1162672556"</f>
        <v>FES1162672556</v>
      </c>
      <c r="D1542" s="12" t="s">
        <v>18</v>
      </c>
      <c r="E1542" s="12" t="s">
        <v>809</v>
      </c>
      <c r="F1542" s="12" t="str">
        <f>"217067706 "</f>
        <v xml:space="preserve">217067706 </v>
      </c>
      <c r="G1542" s="12" t="str">
        <f t="shared" si="49"/>
        <v>ON1</v>
      </c>
      <c r="H1542" s="12" t="s">
        <v>20</v>
      </c>
      <c r="I1542" s="12" t="s">
        <v>810</v>
      </c>
      <c r="J1542" s="12" t="str">
        <f>""</f>
        <v/>
      </c>
      <c r="K1542" s="12" t="str">
        <f>"PFES1162672556_0001"</f>
        <v>PFES1162672556_0001</v>
      </c>
      <c r="L1542" s="12">
        <v>1</v>
      </c>
      <c r="M1542" s="12">
        <v>1</v>
      </c>
    </row>
    <row r="1543" spans="1:13">
      <c r="A1543" s="6">
        <v>43508</v>
      </c>
      <c r="B1543" s="7">
        <v>0.58958333333333335</v>
      </c>
      <c r="C1543" s="12" t="str">
        <f>"FES1162672532"</f>
        <v>FES1162672532</v>
      </c>
      <c r="D1543" s="12" t="s">
        <v>18</v>
      </c>
      <c r="E1543" s="12" t="s">
        <v>811</v>
      </c>
      <c r="F1543" s="12" t="str">
        <f>"2170671886 "</f>
        <v xml:space="preserve">2170671886 </v>
      </c>
      <c r="G1543" s="12" t="str">
        <f t="shared" si="49"/>
        <v>ON1</v>
      </c>
      <c r="H1543" s="12" t="s">
        <v>20</v>
      </c>
      <c r="I1543" s="12" t="s">
        <v>239</v>
      </c>
      <c r="J1543" s="12" t="str">
        <f>""</f>
        <v/>
      </c>
      <c r="K1543" s="12" t="str">
        <f>"PFES1162672532_0001"</f>
        <v>PFES1162672532_0001</v>
      </c>
      <c r="L1543" s="12">
        <v>1</v>
      </c>
      <c r="M1543" s="12">
        <v>1</v>
      </c>
    </row>
    <row r="1544" spans="1:13">
      <c r="A1544" s="6">
        <v>43508</v>
      </c>
      <c r="B1544" s="7">
        <v>0.58888888888888891</v>
      </c>
      <c r="C1544" s="12" t="str">
        <f>"FES1162672453"</f>
        <v>FES1162672453</v>
      </c>
      <c r="D1544" s="12" t="s">
        <v>18</v>
      </c>
      <c r="E1544" s="12" t="s">
        <v>299</v>
      </c>
      <c r="F1544" s="12" t="str">
        <f>"2170668552 "</f>
        <v xml:space="preserve">2170668552 </v>
      </c>
      <c r="G1544" s="12" t="str">
        <f t="shared" si="49"/>
        <v>ON1</v>
      </c>
      <c r="H1544" s="12" t="s">
        <v>20</v>
      </c>
      <c r="I1544" s="12" t="s">
        <v>43</v>
      </c>
      <c r="J1544" s="12" t="str">
        <f>""</f>
        <v/>
      </c>
      <c r="K1544" s="12" t="str">
        <f>"PFES1162672453_0001"</f>
        <v>PFES1162672453_0001</v>
      </c>
      <c r="L1544" s="12">
        <v>1</v>
      </c>
      <c r="M1544" s="12">
        <v>1</v>
      </c>
    </row>
    <row r="1545" spans="1:13">
      <c r="A1545" s="6">
        <v>43508</v>
      </c>
      <c r="B1545" s="7">
        <v>0.58888888888888891</v>
      </c>
      <c r="C1545" s="12" t="str">
        <f>"FES1162672455"</f>
        <v>FES1162672455</v>
      </c>
      <c r="D1545" s="12" t="s">
        <v>18</v>
      </c>
      <c r="E1545" s="12" t="s">
        <v>299</v>
      </c>
      <c r="F1545" s="12" t="str">
        <f>"2170669762 "</f>
        <v xml:space="preserve">2170669762 </v>
      </c>
      <c r="G1545" s="12" t="str">
        <f t="shared" si="49"/>
        <v>ON1</v>
      </c>
      <c r="H1545" s="12" t="s">
        <v>20</v>
      </c>
      <c r="I1545" s="12" t="s">
        <v>43</v>
      </c>
      <c r="J1545" s="12" t="str">
        <f>""</f>
        <v/>
      </c>
      <c r="K1545" s="12" t="str">
        <f>"PFES1162672455_0001"</f>
        <v>PFES1162672455_0001</v>
      </c>
      <c r="L1545" s="12">
        <v>1</v>
      </c>
      <c r="M1545" s="12">
        <v>1</v>
      </c>
    </row>
    <row r="1546" spans="1:13">
      <c r="A1546" s="6">
        <v>43508</v>
      </c>
      <c r="B1546" s="7">
        <v>0.58888888888888891</v>
      </c>
      <c r="C1546" s="12" t="str">
        <f>"FES1162672550"</f>
        <v>FES1162672550</v>
      </c>
      <c r="D1546" s="12" t="s">
        <v>18</v>
      </c>
      <c r="E1546" s="12" t="s">
        <v>150</v>
      </c>
      <c r="F1546" s="12" t="str">
        <f>"2170673726 "</f>
        <v xml:space="preserve">2170673726 </v>
      </c>
      <c r="G1546" s="12" t="str">
        <f t="shared" si="49"/>
        <v>ON1</v>
      </c>
      <c r="H1546" s="12" t="s">
        <v>20</v>
      </c>
      <c r="I1546" s="12" t="s">
        <v>137</v>
      </c>
      <c r="J1546" s="12" t="str">
        <f>""</f>
        <v/>
      </c>
      <c r="K1546" s="12" t="str">
        <f>"PFES1162672550_0001"</f>
        <v>PFES1162672550_0001</v>
      </c>
      <c r="L1546" s="12">
        <v>1</v>
      </c>
      <c r="M1546" s="12">
        <v>3</v>
      </c>
    </row>
    <row r="1547" spans="1:13">
      <c r="A1547" s="6">
        <v>43508</v>
      </c>
      <c r="B1547" s="7">
        <v>0.58819444444444446</v>
      </c>
      <c r="C1547" s="12" t="str">
        <f>"FES1162672483"</f>
        <v>FES1162672483</v>
      </c>
      <c r="D1547" s="12" t="s">
        <v>18</v>
      </c>
      <c r="E1547" s="12" t="s">
        <v>58</v>
      </c>
      <c r="F1547" s="12" t="str">
        <f>"2170672864 "</f>
        <v xml:space="preserve">2170672864 </v>
      </c>
      <c r="G1547" s="12" t="str">
        <f t="shared" si="49"/>
        <v>ON1</v>
      </c>
      <c r="H1547" s="12" t="s">
        <v>20</v>
      </c>
      <c r="I1547" s="12" t="s">
        <v>59</v>
      </c>
      <c r="J1547" s="12" t="str">
        <f>""</f>
        <v/>
      </c>
      <c r="K1547" s="12" t="str">
        <f>"PFES1162672483_0001"</f>
        <v>PFES1162672483_0001</v>
      </c>
      <c r="L1547" s="12">
        <v>1</v>
      </c>
      <c r="M1547" s="12">
        <v>1</v>
      </c>
    </row>
    <row r="1548" spans="1:13">
      <c r="A1548" s="6">
        <v>43508</v>
      </c>
      <c r="B1548" s="7">
        <v>0.58819444444444446</v>
      </c>
      <c r="C1548" s="12" t="str">
        <f>"FES1162672490"</f>
        <v>FES1162672490</v>
      </c>
      <c r="D1548" s="12" t="s">
        <v>18</v>
      </c>
      <c r="E1548" s="12" t="s">
        <v>812</v>
      </c>
      <c r="F1548" s="12" t="str">
        <f>"2170673324 "</f>
        <v xml:space="preserve">2170673324 </v>
      </c>
      <c r="G1548" s="12" t="str">
        <f t="shared" si="49"/>
        <v>ON1</v>
      </c>
      <c r="H1548" s="12" t="s">
        <v>20</v>
      </c>
      <c r="I1548" s="12" t="s">
        <v>63</v>
      </c>
      <c r="J1548" s="12" t="str">
        <f>""</f>
        <v/>
      </c>
      <c r="K1548" s="12" t="str">
        <f>"PFES1162672490_0001"</f>
        <v>PFES1162672490_0001</v>
      </c>
      <c r="L1548" s="12">
        <v>1</v>
      </c>
      <c r="M1548" s="12">
        <v>1</v>
      </c>
    </row>
    <row r="1549" spans="1:13">
      <c r="A1549" s="6">
        <v>43508</v>
      </c>
      <c r="B1549" s="7">
        <v>0.58819444444444446</v>
      </c>
      <c r="C1549" s="12" t="str">
        <f>"FES1162672441"</f>
        <v>FES1162672441</v>
      </c>
      <c r="D1549" s="12" t="s">
        <v>18</v>
      </c>
      <c r="E1549" s="12" t="s">
        <v>140</v>
      </c>
      <c r="F1549" s="12" t="str">
        <f>"2170671283 "</f>
        <v xml:space="preserve">2170671283 </v>
      </c>
      <c r="G1549" s="12" t="str">
        <f t="shared" si="49"/>
        <v>ON1</v>
      </c>
      <c r="H1549" s="12" t="s">
        <v>20</v>
      </c>
      <c r="I1549" s="12" t="s">
        <v>141</v>
      </c>
      <c r="J1549" s="12" t="str">
        <f>""</f>
        <v/>
      </c>
      <c r="K1549" s="12" t="str">
        <f>"PFES1162672441_0001"</f>
        <v>PFES1162672441_0001</v>
      </c>
      <c r="L1549" s="12">
        <v>1</v>
      </c>
      <c r="M1549" s="12">
        <v>3</v>
      </c>
    </row>
    <row r="1550" spans="1:13">
      <c r="A1550" s="6">
        <v>43508</v>
      </c>
      <c r="B1550" s="7">
        <v>0.58750000000000002</v>
      </c>
      <c r="C1550" s="12" t="str">
        <f>"FES1162672565"</f>
        <v>FES1162672565</v>
      </c>
      <c r="D1550" s="12" t="s">
        <v>18</v>
      </c>
      <c r="E1550" s="12" t="s">
        <v>813</v>
      </c>
      <c r="F1550" s="12" t="str">
        <f>"2170673832 "</f>
        <v xml:space="preserve">2170673832 </v>
      </c>
      <c r="G1550" s="12" t="str">
        <f t="shared" si="49"/>
        <v>ON1</v>
      </c>
      <c r="H1550" s="12" t="s">
        <v>20</v>
      </c>
      <c r="I1550" s="12" t="s">
        <v>33</v>
      </c>
      <c r="J1550" s="12" t="str">
        <f>""</f>
        <v/>
      </c>
      <c r="K1550" s="12" t="str">
        <f>"PFES1162672565_0001"</f>
        <v>PFES1162672565_0001</v>
      </c>
      <c r="L1550" s="12">
        <v>1</v>
      </c>
      <c r="M1550" s="12">
        <v>1</v>
      </c>
    </row>
    <row r="1551" spans="1:13">
      <c r="A1551" s="6">
        <v>43508</v>
      </c>
      <c r="B1551" s="7">
        <v>0.58680555555555558</v>
      </c>
      <c r="C1551" s="12" t="str">
        <f>"FES1162672599"</f>
        <v>FES1162672599</v>
      </c>
      <c r="D1551" s="12" t="s">
        <v>18</v>
      </c>
      <c r="E1551" s="12" t="s">
        <v>140</v>
      </c>
      <c r="F1551" s="12" t="str">
        <f>"2170673864 "</f>
        <v xml:space="preserve">2170673864 </v>
      </c>
      <c r="G1551" s="12" t="str">
        <f t="shared" si="49"/>
        <v>ON1</v>
      </c>
      <c r="H1551" s="12" t="s">
        <v>20</v>
      </c>
      <c r="I1551" s="12" t="s">
        <v>141</v>
      </c>
      <c r="J1551" s="12" t="str">
        <f>""</f>
        <v/>
      </c>
      <c r="K1551" s="12" t="str">
        <f>"PFES1162672599_0001"</f>
        <v>PFES1162672599_0001</v>
      </c>
      <c r="L1551" s="12">
        <v>1</v>
      </c>
      <c r="M1551" s="12">
        <v>4</v>
      </c>
    </row>
    <row r="1552" spans="1:13">
      <c r="A1552" s="6">
        <v>43508</v>
      </c>
      <c r="B1552" s="7">
        <v>0.58680555555555558</v>
      </c>
      <c r="C1552" s="12" t="str">
        <f>"FES1162672510"</f>
        <v>FES1162672510</v>
      </c>
      <c r="D1552" s="12" t="s">
        <v>18</v>
      </c>
      <c r="E1552" s="12" t="s">
        <v>154</v>
      </c>
      <c r="F1552" s="12" t="str">
        <f>"2170673785 "</f>
        <v xml:space="preserve">2170673785 </v>
      </c>
      <c r="G1552" s="12" t="str">
        <f t="shared" si="49"/>
        <v>ON1</v>
      </c>
      <c r="H1552" s="12" t="s">
        <v>20</v>
      </c>
      <c r="I1552" s="12" t="s">
        <v>67</v>
      </c>
      <c r="J1552" s="12" t="str">
        <f>""</f>
        <v/>
      </c>
      <c r="K1552" s="12" t="str">
        <f>"PFES1162672510_0001"</f>
        <v>PFES1162672510_0001</v>
      </c>
      <c r="L1552" s="12">
        <v>1</v>
      </c>
      <c r="M1552" s="12">
        <v>1</v>
      </c>
    </row>
    <row r="1553" spans="1:13">
      <c r="A1553" s="6">
        <v>43508</v>
      </c>
      <c r="B1553" s="7">
        <v>0.58680555555555558</v>
      </c>
      <c r="C1553" s="12" t="str">
        <f>"FES1162672507"</f>
        <v>FES1162672507</v>
      </c>
      <c r="D1553" s="12" t="s">
        <v>18</v>
      </c>
      <c r="E1553" s="12" t="s">
        <v>814</v>
      </c>
      <c r="F1553" s="12" t="str">
        <f>"2170673781 "</f>
        <v xml:space="preserve">2170673781 </v>
      </c>
      <c r="G1553" s="12" t="str">
        <f t="shared" si="49"/>
        <v>ON1</v>
      </c>
      <c r="H1553" s="12" t="s">
        <v>20</v>
      </c>
      <c r="I1553" s="12" t="s">
        <v>769</v>
      </c>
      <c r="J1553" s="12" t="str">
        <f>""</f>
        <v/>
      </c>
      <c r="K1553" s="12" t="str">
        <f>"PFES1162672507_0001"</f>
        <v>PFES1162672507_0001</v>
      </c>
      <c r="L1553" s="12">
        <v>1</v>
      </c>
      <c r="M1553" s="12">
        <v>1</v>
      </c>
    </row>
    <row r="1554" spans="1:13">
      <c r="A1554" s="6">
        <v>43508</v>
      </c>
      <c r="B1554" s="7">
        <v>0.58611111111111114</v>
      </c>
      <c r="C1554" s="12" t="str">
        <f>"FES1162672429"</f>
        <v>FES1162672429</v>
      </c>
      <c r="D1554" s="12" t="s">
        <v>18</v>
      </c>
      <c r="E1554" s="12" t="s">
        <v>772</v>
      </c>
      <c r="F1554" s="12" t="str">
        <f>"2170668463 "</f>
        <v xml:space="preserve">2170668463 </v>
      </c>
      <c r="G1554" s="12" t="str">
        <f t="shared" si="49"/>
        <v>ON1</v>
      </c>
      <c r="H1554" s="12" t="s">
        <v>20</v>
      </c>
      <c r="I1554" s="12" t="s">
        <v>773</v>
      </c>
      <c r="J1554" s="12" t="str">
        <f>""</f>
        <v/>
      </c>
      <c r="K1554" s="12" t="str">
        <f>"PFES1162672429_0001"</f>
        <v>PFES1162672429_0001</v>
      </c>
      <c r="L1554" s="12">
        <v>1</v>
      </c>
      <c r="M1554" s="12">
        <v>3</v>
      </c>
    </row>
    <row r="1555" spans="1:13">
      <c r="A1555" s="6">
        <v>43508</v>
      </c>
      <c r="B1555" s="7">
        <v>0.58611111111111114</v>
      </c>
      <c r="C1555" s="12" t="str">
        <f>"FES1162672637"</f>
        <v>FES1162672637</v>
      </c>
      <c r="D1555" s="12" t="s">
        <v>18</v>
      </c>
      <c r="E1555" s="12" t="s">
        <v>801</v>
      </c>
      <c r="F1555" s="12" t="str">
        <f>"2170673908 "</f>
        <v xml:space="preserve">2170673908 </v>
      </c>
      <c r="G1555" s="12" t="str">
        <f t="shared" si="49"/>
        <v>ON1</v>
      </c>
      <c r="H1555" s="12" t="s">
        <v>20</v>
      </c>
      <c r="I1555" s="12" t="s">
        <v>653</v>
      </c>
      <c r="J1555" s="12" t="str">
        <f>""</f>
        <v/>
      </c>
      <c r="K1555" s="12" t="str">
        <f>"PFES1162672637_0001"</f>
        <v>PFES1162672637_0001</v>
      </c>
      <c r="L1555" s="12">
        <v>1</v>
      </c>
      <c r="M1555" s="12">
        <v>1</v>
      </c>
    </row>
    <row r="1556" spans="1:13">
      <c r="A1556" s="6">
        <v>43508</v>
      </c>
      <c r="B1556" s="7">
        <v>0.58611111111111114</v>
      </c>
      <c r="C1556" s="12" t="str">
        <f>"FES1162672543"</f>
        <v>FES1162672543</v>
      </c>
      <c r="D1556" s="12" t="s">
        <v>18</v>
      </c>
      <c r="E1556" s="12" t="s">
        <v>312</v>
      </c>
      <c r="F1556" s="12" t="str">
        <f>"2170673801 "</f>
        <v xml:space="preserve">2170673801 </v>
      </c>
      <c r="G1556" s="12" t="str">
        <f t="shared" si="49"/>
        <v>ON1</v>
      </c>
      <c r="H1556" s="12" t="s">
        <v>20</v>
      </c>
      <c r="I1556" s="12" t="s">
        <v>70</v>
      </c>
      <c r="J1556" s="12" t="str">
        <f>""</f>
        <v/>
      </c>
      <c r="K1556" s="12" t="str">
        <f>"PFES1162672543_0001"</f>
        <v>PFES1162672543_0001</v>
      </c>
      <c r="L1556" s="12">
        <v>1</v>
      </c>
      <c r="M1556" s="12">
        <v>1</v>
      </c>
    </row>
    <row r="1557" spans="1:13">
      <c r="A1557" s="6">
        <v>43508</v>
      </c>
      <c r="B1557" s="7">
        <v>0.5854166666666667</v>
      </c>
      <c r="C1557" s="12" t="str">
        <f>"FES1162672578"</f>
        <v>FES1162672578</v>
      </c>
      <c r="D1557" s="12" t="s">
        <v>18</v>
      </c>
      <c r="E1557" s="12" t="s">
        <v>69</v>
      </c>
      <c r="F1557" s="12" t="str">
        <f>"2170673851 "</f>
        <v xml:space="preserve">2170673851 </v>
      </c>
      <c r="G1557" s="12" t="str">
        <f t="shared" si="49"/>
        <v>ON1</v>
      </c>
      <c r="H1557" s="12" t="s">
        <v>20</v>
      </c>
      <c r="I1557" s="12" t="s">
        <v>70</v>
      </c>
      <c r="J1557" s="12" t="str">
        <f>""</f>
        <v/>
      </c>
      <c r="K1557" s="12" t="str">
        <f>"PFES1162672578_0001"</f>
        <v>PFES1162672578_0001</v>
      </c>
      <c r="L1557" s="12">
        <v>1</v>
      </c>
      <c r="M1557" s="12">
        <v>1</v>
      </c>
    </row>
    <row r="1558" spans="1:13">
      <c r="A1558" s="6">
        <v>43508</v>
      </c>
      <c r="B1558" s="7">
        <v>0.5854166666666667</v>
      </c>
      <c r="C1558" s="12" t="str">
        <f>"FES1162672551"</f>
        <v>FES1162672551</v>
      </c>
      <c r="D1558" s="12" t="s">
        <v>18</v>
      </c>
      <c r="E1558" s="12" t="s">
        <v>815</v>
      </c>
      <c r="F1558" s="12" t="str">
        <f>"2170673817 "</f>
        <v xml:space="preserve">2170673817 </v>
      </c>
      <c r="G1558" s="12" t="str">
        <f>"ON2"</f>
        <v>ON2</v>
      </c>
      <c r="H1558" s="12" t="s">
        <v>20</v>
      </c>
      <c r="I1558" s="12" t="s">
        <v>429</v>
      </c>
      <c r="J1558" s="12" t="str">
        <f>"FRAGILE OIL"</f>
        <v>FRAGILE OIL</v>
      </c>
      <c r="K1558" s="12" t="str">
        <f>"PFES1162672551_0001"</f>
        <v>PFES1162672551_0001</v>
      </c>
      <c r="L1558" s="12">
        <v>1</v>
      </c>
      <c r="M1558" s="12">
        <v>6</v>
      </c>
    </row>
    <row r="1559" spans="1:13">
      <c r="A1559" s="6">
        <v>43508</v>
      </c>
      <c r="B1559" s="7">
        <v>0.5854166666666667</v>
      </c>
      <c r="C1559" s="12" t="str">
        <f>"FES1162672569"</f>
        <v>FES1162672569</v>
      </c>
      <c r="D1559" s="12" t="s">
        <v>18</v>
      </c>
      <c r="E1559" s="12" t="s">
        <v>816</v>
      </c>
      <c r="F1559" s="12" t="str">
        <f>"2170673838 "</f>
        <v xml:space="preserve">2170673838 </v>
      </c>
      <c r="G1559" s="12" t="str">
        <f t="shared" ref="G1559:G1569" si="50">"ON1"</f>
        <v>ON1</v>
      </c>
      <c r="H1559" s="12" t="s">
        <v>20</v>
      </c>
      <c r="I1559" s="12" t="s">
        <v>359</v>
      </c>
      <c r="J1559" s="12" t="str">
        <f>""</f>
        <v/>
      </c>
      <c r="K1559" s="12" t="str">
        <f>"PFES1162672569_0001"</f>
        <v>PFES1162672569_0001</v>
      </c>
      <c r="L1559" s="12">
        <v>1</v>
      </c>
      <c r="M1559" s="12">
        <v>1</v>
      </c>
    </row>
    <row r="1560" spans="1:13">
      <c r="A1560" s="6">
        <v>43508</v>
      </c>
      <c r="B1560" s="7">
        <v>0.58402777777777781</v>
      </c>
      <c r="C1560" s="12" t="str">
        <f>"FES1162672511"</f>
        <v>FES1162672511</v>
      </c>
      <c r="D1560" s="12" t="s">
        <v>18</v>
      </c>
      <c r="E1560" s="12" t="s">
        <v>817</v>
      </c>
      <c r="F1560" s="12" t="str">
        <f>"2170673786 "</f>
        <v xml:space="preserve">2170673786 </v>
      </c>
      <c r="G1560" s="12" t="str">
        <f t="shared" si="50"/>
        <v>ON1</v>
      </c>
      <c r="H1560" s="12" t="s">
        <v>20</v>
      </c>
      <c r="I1560" s="12" t="s">
        <v>584</v>
      </c>
      <c r="J1560" s="12" t="str">
        <f>""</f>
        <v/>
      </c>
      <c r="K1560" s="12" t="str">
        <f>"PFES1162672511_0001"</f>
        <v>PFES1162672511_0001</v>
      </c>
      <c r="L1560" s="12">
        <v>1</v>
      </c>
      <c r="M1560" s="12">
        <v>3</v>
      </c>
    </row>
    <row r="1561" spans="1:13">
      <c r="A1561" s="6">
        <v>43508</v>
      </c>
      <c r="B1561" s="7">
        <v>0.58194444444444449</v>
      </c>
      <c r="C1561" s="12" t="str">
        <f>"FES1162672482"</f>
        <v>FES1162672482</v>
      </c>
      <c r="D1561" s="12" t="s">
        <v>18</v>
      </c>
      <c r="E1561" s="12" t="s">
        <v>634</v>
      </c>
      <c r="F1561" s="12" t="str">
        <f>"2170672826 "</f>
        <v xml:space="preserve">2170672826 </v>
      </c>
      <c r="G1561" s="12" t="str">
        <f t="shared" si="50"/>
        <v>ON1</v>
      </c>
      <c r="H1561" s="12" t="s">
        <v>20</v>
      </c>
      <c r="I1561" s="12" t="s">
        <v>635</v>
      </c>
      <c r="J1561" s="12" t="str">
        <f>""</f>
        <v/>
      </c>
      <c r="K1561" s="12" t="str">
        <f>"PFES1162672482_0001"</f>
        <v>PFES1162672482_0001</v>
      </c>
      <c r="L1561" s="12">
        <v>1</v>
      </c>
      <c r="M1561" s="12">
        <v>4</v>
      </c>
    </row>
    <row r="1562" spans="1:13">
      <c r="A1562" s="6">
        <v>43508</v>
      </c>
      <c r="B1562" s="7">
        <v>0.5805555555555556</v>
      </c>
      <c r="C1562" s="12" t="str">
        <f>"FES1162672496"</f>
        <v>FES1162672496</v>
      </c>
      <c r="D1562" s="12" t="s">
        <v>18</v>
      </c>
      <c r="E1562" s="12" t="s">
        <v>818</v>
      </c>
      <c r="F1562" s="12" t="str">
        <f>"2170673687 "</f>
        <v xml:space="preserve">2170673687 </v>
      </c>
      <c r="G1562" s="12" t="str">
        <f t="shared" si="50"/>
        <v>ON1</v>
      </c>
      <c r="H1562" s="12" t="s">
        <v>20</v>
      </c>
      <c r="I1562" s="12" t="s">
        <v>81</v>
      </c>
      <c r="J1562" s="12" t="str">
        <f>""</f>
        <v/>
      </c>
      <c r="K1562" s="12" t="str">
        <f>"PFES1162672496_0001"</f>
        <v>PFES1162672496_0001</v>
      </c>
      <c r="L1562" s="12">
        <v>1</v>
      </c>
      <c r="M1562" s="12">
        <v>3</v>
      </c>
    </row>
    <row r="1563" spans="1:13">
      <c r="A1563" s="6">
        <v>43508</v>
      </c>
      <c r="B1563" s="7">
        <v>0.57847222222222217</v>
      </c>
      <c r="C1563" s="12" t="str">
        <f>"FES1162672446"</f>
        <v>FES1162672446</v>
      </c>
      <c r="D1563" s="12" t="s">
        <v>18</v>
      </c>
      <c r="E1563" s="12" t="s">
        <v>601</v>
      </c>
      <c r="F1563" s="12" t="str">
        <f>"2170673761 "</f>
        <v xml:space="preserve">2170673761 </v>
      </c>
      <c r="G1563" s="12" t="str">
        <f t="shared" si="50"/>
        <v>ON1</v>
      </c>
      <c r="H1563" s="12" t="s">
        <v>20</v>
      </c>
      <c r="I1563" s="12" t="s">
        <v>602</v>
      </c>
      <c r="J1563" s="12" t="str">
        <f>""</f>
        <v/>
      </c>
      <c r="K1563" s="12" t="str">
        <f>"PFES1162672446_0001"</f>
        <v>PFES1162672446_0001</v>
      </c>
      <c r="L1563" s="12">
        <v>1</v>
      </c>
      <c r="M1563" s="12">
        <v>5</v>
      </c>
    </row>
    <row r="1564" spans="1:13">
      <c r="A1564" s="6">
        <v>43508</v>
      </c>
      <c r="B1564" s="7">
        <v>0.57777777777777783</v>
      </c>
      <c r="C1564" s="12" t="str">
        <f>"FES1162672452"</f>
        <v>FES1162672452</v>
      </c>
      <c r="D1564" s="12" t="s">
        <v>18</v>
      </c>
      <c r="E1564" s="12" t="s">
        <v>350</v>
      </c>
      <c r="F1564" s="12" t="str">
        <f>"2170668469 "</f>
        <v xml:space="preserve">2170668469 </v>
      </c>
      <c r="G1564" s="12" t="str">
        <f t="shared" si="50"/>
        <v>ON1</v>
      </c>
      <c r="H1564" s="12" t="s">
        <v>20</v>
      </c>
      <c r="I1564" s="12" t="s">
        <v>351</v>
      </c>
      <c r="J1564" s="12" t="str">
        <f>""</f>
        <v/>
      </c>
      <c r="K1564" s="12" t="str">
        <f>"PFES1162672452_0001"</f>
        <v>PFES1162672452_0001</v>
      </c>
      <c r="L1564" s="12">
        <v>1</v>
      </c>
      <c r="M1564" s="12">
        <v>4</v>
      </c>
    </row>
    <row r="1565" spans="1:13">
      <c r="A1565" s="6">
        <v>43508</v>
      </c>
      <c r="B1565" s="7">
        <v>0.57638888888888895</v>
      </c>
      <c r="C1565" s="12" t="str">
        <f>"FES1162672461"</f>
        <v>FES1162672461</v>
      </c>
      <c r="D1565" s="12" t="s">
        <v>18</v>
      </c>
      <c r="E1565" s="12" t="s">
        <v>634</v>
      </c>
      <c r="F1565" s="12" t="str">
        <f>"2170670873 "</f>
        <v xml:space="preserve">2170670873 </v>
      </c>
      <c r="G1565" s="12" t="str">
        <f t="shared" si="50"/>
        <v>ON1</v>
      </c>
      <c r="H1565" s="12" t="s">
        <v>20</v>
      </c>
      <c r="I1565" s="12" t="s">
        <v>635</v>
      </c>
      <c r="J1565" s="12" t="str">
        <f>""</f>
        <v/>
      </c>
      <c r="K1565" s="12" t="str">
        <f>"PFES1162672461_0001"</f>
        <v>PFES1162672461_0001</v>
      </c>
      <c r="L1565" s="12">
        <v>1</v>
      </c>
      <c r="M1565" s="12">
        <v>10</v>
      </c>
    </row>
    <row r="1566" spans="1:13">
      <c r="A1566" s="6">
        <v>43508</v>
      </c>
      <c r="B1566" s="7">
        <v>0.5756944444444444</v>
      </c>
      <c r="C1566" s="12" t="str">
        <f>"FES1162672442"</f>
        <v>FES1162672442</v>
      </c>
      <c r="D1566" s="12" t="s">
        <v>18</v>
      </c>
      <c r="E1566" s="12" t="s">
        <v>151</v>
      </c>
      <c r="F1566" s="12" t="str">
        <f>"2170671515 "</f>
        <v xml:space="preserve">2170671515 </v>
      </c>
      <c r="G1566" s="12" t="str">
        <f t="shared" si="50"/>
        <v>ON1</v>
      </c>
      <c r="H1566" s="12" t="s">
        <v>20</v>
      </c>
      <c r="I1566" s="12" t="s">
        <v>63</v>
      </c>
      <c r="J1566" s="12" t="str">
        <f>""</f>
        <v/>
      </c>
      <c r="K1566" s="12" t="str">
        <f>"PFES1162672442_0001"</f>
        <v>PFES1162672442_0001</v>
      </c>
      <c r="L1566" s="12">
        <v>1</v>
      </c>
      <c r="M1566" s="12">
        <v>10</v>
      </c>
    </row>
    <row r="1567" spans="1:13">
      <c r="A1567" s="6">
        <v>43508</v>
      </c>
      <c r="B1567" s="7">
        <v>0.57500000000000007</v>
      </c>
      <c r="C1567" s="12" t="str">
        <f>"FES1162672465"</f>
        <v>FES1162672465</v>
      </c>
      <c r="D1567" s="12" t="s">
        <v>18</v>
      </c>
      <c r="E1567" s="12" t="s">
        <v>372</v>
      </c>
      <c r="F1567" s="12" t="str">
        <f>"2170671638 "</f>
        <v xml:space="preserve">2170671638 </v>
      </c>
      <c r="G1567" s="12" t="str">
        <f t="shared" si="50"/>
        <v>ON1</v>
      </c>
      <c r="H1567" s="12" t="s">
        <v>20</v>
      </c>
      <c r="I1567" s="12" t="s">
        <v>143</v>
      </c>
      <c r="J1567" s="12" t="str">
        <f>""</f>
        <v/>
      </c>
      <c r="K1567" s="12" t="str">
        <f>"PFES1162672465_0001"</f>
        <v>PFES1162672465_0001</v>
      </c>
      <c r="L1567" s="12">
        <v>1</v>
      </c>
      <c r="M1567" s="12">
        <v>5</v>
      </c>
    </row>
    <row r="1568" spans="1:13">
      <c r="A1568" s="6">
        <v>43508</v>
      </c>
      <c r="B1568" s="7">
        <v>0.57361111111111118</v>
      </c>
      <c r="C1568" s="12" t="str">
        <f>"FES1162672537"</f>
        <v>FES1162672537</v>
      </c>
      <c r="D1568" s="12" t="s">
        <v>18</v>
      </c>
      <c r="E1568" s="12" t="s">
        <v>307</v>
      </c>
      <c r="F1568" s="12" t="str">
        <f>"2170672952 "</f>
        <v xml:space="preserve">2170672952 </v>
      </c>
      <c r="G1568" s="12" t="str">
        <f t="shared" si="50"/>
        <v>ON1</v>
      </c>
      <c r="H1568" s="12" t="s">
        <v>20</v>
      </c>
      <c r="I1568" s="12" t="s">
        <v>41</v>
      </c>
      <c r="J1568" s="12" t="str">
        <f>""</f>
        <v/>
      </c>
      <c r="K1568" s="12" t="str">
        <f>"PFES1162672537_0001"</f>
        <v>PFES1162672537_0001</v>
      </c>
      <c r="L1568" s="12">
        <v>1</v>
      </c>
      <c r="M1568" s="12">
        <v>3</v>
      </c>
    </row>
    <row r="1569" spans="1:13">
      <c r="A1569" s="6">
        <v>43508</v>
      </c>
      <c r="B1569" s="7">
        <v>0.57291666666666663</v>
      </c>
      <c r="C1569" s="12" t="str">
        <f>"FES1162672440"</f>
        <v>FES1162672440</v>
      </c>
      <c r="D1569" s="12" t="s">
        <v>18</v>
      </c>
      <c r="E1569" s="12" t="s">
        <v>819</v>
      </c>
      <c r="F1569" s="12" t="str">
        <f>"2170671148 "</f>
        <v xml:space="preserve">2170671148 </v>
      </c>
      <c r="G1569" s="12" t="str">
        <f t="shared" si="50"/>
        <v>ON1</v>
      </c>
      <c r="H1569" s="12" t="s">
        <v>20</v>
      </c>
      <c r="I1569" s="12" t="s">
        <v>747</v>
      </c>
      <c r="J1569" s="12" t="str">
        <f>""</f>
        <v/>
      </c>
      <c r="K1569" s="12" t="str">
        <f>"PFES1162672440_0001"</f>
        <v>PFES1162672440_0001</v>
      </c>
      <c r="L1569" s="12">
        <v>1</v>
      </c>
      <c r="M1569" s="12">
        <v>19</v>
      </c>
    </row>
    <row r="1570" spans="1:13">
      <c r="A1570" s="6">
        <v>43508</v>
      </c>
      <c r="B1570" s="7">
        <v>0.5708333333333333</v>
      </c>
      <c r="C1570" s="12" t="str">
        <f>"FES1162672585"</f>
        <v>FES1162672585</v>
      </c>
      <c r="D1570" s="12" t="s">
        <v>18</v>
      </c>
      <c r="E1570" s="12" t="s">
        <v>807</v>
      </c>
      <c r="F1570" s="12" t="str">
        <f>"2170660927 "</f>
        <v xml:space="preserve">2170660927 </v>
      </c>
      <c r="G1570" s="12" t="str">
        <f>"ON2"</f>
        <v>ON2</v>
      </c>
      <c r="H1570" s="12" t="s">
        <v>20</v>
      </c>
      <c r="I1570" s="12" t="s">
        <v>808</v>
      </c>
      <c r="J1570" s="12" t="str">
        <f>"FRAGILE OIL"</f>
        <v>FRAGILE OIL</v>
      </c>
      <c r="K1570" s="12" t="str">
        <f>"PFES1162672585_0001"</f>
        <v>PFES1162672585_0001</v>
      </c>
      <c r="L1570" s="12">
        <v>2</v>
      </c>
      <c r="M1570" s="12">
        <v>16</v>
      </c>
    </row>
    <row r="1571" spans="1:13">
      <c r="A1571" s="6">
        <v>43508</v>
      </c>
      <c r="B1571" s="7">
        <v>0.5708333333333333</v>
      </c>
      <c r="C1571" s="12" t="str">
        <f>"FES1162672585"</f>
        <v>FES1162672585</v>
      </c>
      <c r="D1571" s="12" t="s">
        <v>18</v>
      </c>
      <c r="E1571" s="12" t="s">
        <v>807</v>
      </c>
      <c r="F1571" s="12" t="str">
        <f>"2170660927 "</f>
        <v xml:space="preserve">2170660927 </v>
      </c>
      <c r="G1571" s="12" t="str">
        <f>"ON2"</f>
        <v>ON2</v>
      </c>
      <c r="H1571" s="12" t="s">
        <v>20</v>
      </c>
      <c r="I1571" s="12" t="s">
        <v>808</v>
      </c>
      <c r="J1571" s="12" t="str">
        <f>"FRAGILE OIL"</f>
        <v>FRAGILE OIL</v>
      </c>
      <c r="K1571" s="12" t="str">
        <f>"PFES1162672585_0002"</f>
        <v>PFES1162672585_0002</v>
      </c>
      <c r="L1571" s="12">
        <v>2</v>
      </c>
      <c r="M1571" s="12">
        <v>16</v>
      </c>
    </row>
    <row r="1572" spans="1:13">
      <c r="A1572" s="6">
        <v>43508</v>
      </c>
      <c r="B1572" s="7">
        <v>0.57013888888888886</v>
      </c>
      <c r="C1572" s="12" t="str">
        <f>"FES1162672588"</f>
        <v>FES1162672588</v>
      </c>
      <c r="D1572" s="12" t="s">
        <v>18</v>
      </c>
      <c r="E1572" s="12" t="s">
        <v>807</v>
      </c>
      <c r="F1572" s="12" t="str">
        <f>"2170665073 "</f>
        <v xml:space="preserve">2170665073 </v>
      </c>
      <c r="G1572" s="12" t="str">
        <f>"ON1"</f>
        <v>ON1</v>
      </c>
      <c r="H1572" s="12" t="s">
        <v>20</v>
      </c>
      <c r="I1572" s="12" t="s">
        <v>808</v>
      </c>
      <c r="J1572" s="12" t="str">
        <f>""</f>
        <v/>
      </c>
      <c r="K1572" s="12" t="str">
        <f>"PFES1162672588_0001"</f>
        <v>PFES1162672588_0001</v>
      </c>
      <c r="L1572" s="12">
        <v>1</v>
      </c>
      <c r="M1572" s="12">
        <v>15</v>
      </c>
    </row>
    <row r="1573" spans="1:13">
      <c r="A1573" s="6">
        <v>43508</v>
      </c>
      <c r="B1573" s="7">
        <v>0.56874999999999998</v>
      </c>
      <c r="C1573" s="12" t="str">
        <f>"FES1162672587"</f>
        <v>FES1162672587</v>
      </c>
      <c r="D1573" s="12" t="s">
        <v>18</v>
      </c>
      <c r="E1573" s="12" t="s">
        <v>807</v>
      </c>
      <c r="F1573" s="12" t="str">
        <f>"2170662873 "</f>
        <v xml:space="preserve">2170662873 </v>
      </c>
      <c r="G1573" s="12" t="str">
        <f>"ON2"</f>
        <v>ON2</v>
      </c>
      <c r="H1573" s="12" t="s">
        <v>20</v>
      </c>
      <c r="I1573" s="12" t="s">
        <v>808</v>
      </c>
      <c r="J1573" s="12" t="str">
        <f>"FRAGILE OIL"</f>
        <v>FRAGILE OIL</v>
      </c>
      <c r="K1573" s="12" t="str">
        <f>"PFES1162672587_0001"</f>
        <v>PFES1162672587_0001</v>
      </c>
      <c r="L1573" s="12">
        <v>1</v>
      </c>
      <c r="M1573" s="12">
        <v>13</v>
      </c>
    </row>
    <row r="1574" spans="1:13">
      <c r="A1574" s="6">
        <v>43508</v>
      </c>
      <c r="B1574" s="7">
        <v>0.56458333333333333</v>
      </c>
      <c r="C1574" s="12" t="str">
        <f>"FES1162672598"</f>
        <v>FES1162672598</v>
      </c>
      <c r="D1574" s="12" t="s">
        <v>18</v>
      </c>
      <c r="E1574" s="12" t="s">
        <v>508</v>
      </c>
      <c r="F1574" s="12" t="str">
        <f>"2170673575 "</f>
        <v xml:space="preserve">2170673575 </v>
      </c>
      <c r="G1574" s="12" t="str">
        <f t="shared" ref="G1574:G1637" si="51">"ON1"</f>
        <v>ON1</v>
      </c>
      <c r="H1574" s="12" t="s">
        <v>20</v>
      </c>
      <c r="I1574" s="12" t="s">
        <v>509</v>
      </c>
      <c r="J1574" s="12" t="str">
        <f>""</f>
        <v/>
      </c>
      <c r="K1574" s="12" t="str">
        <f>"PFES1162672598_0001"</f>
        <v>PFES1162672598_0001</v>
      </c>
      <c r="L1574" s="12">
        <v>1</v>
      </c>
      <c r="M1574" s="12">
        <v>4</v>
      </c>
    </row>
    <row r="1575" spans="1:13">
      <c r="A1575" s="6">
        <v>43508</v>
      </c>
      <c r="B1575" s="7">
        <v>0.56388888888888888</v>
      </c>
      <c r="C1575" s="12" t="str">
        <f>"FES1162672605"</f>
        <v>FES1162672605</v>
      </c>
      <c r="D1575" s="12" t="s">
        <v>18</v>
      </c>
      <c r="E1575" s="12" t="s">
        <v>807</v>
      </c>
      <c r="F1575" s="12" t="str">
        <f>"2170673835 "</f>
        <v xml:space="preserve">2170673835 </v>
      </c>
      <c r="G1575" s="12" t="str">
        <f t="shared" si="51"/>
        <v>ON1</v>
      </c>
      <c r="H1575" s="12" t="s">
        <v>20</v>
      </c>
      <c r="I1575" s="12" t="s">
        <v>808</v>
      </c>
      <c r="J1575" s="12" t="str">
        <f>""</f>
        <v/>
      </c>
      <c r="K1575" s="12" t="str">
        <f>"PFES1162672605_0001"</f>
        <v>PFES1162672605_0001</v>
      </c>
      <c r="L1575" s="12">
        <v>1</v>
      </c>
      <c r="M1575" s="12">
        <v>4</v>
      </c>
    </row>
    <row r="1576" spans="1:13">
      <c r="A1576" s="6">
        <v>43508</v>
      </c>
      <c r="B1576" s="7">
        <v>0.5625</v>
      </c>
      <c r="C1576" s="12" t="str">
        <f>"FES1162672583"</f>
        <v>FES1162672583</v>
      </c>
      <c r="D1576" s="12" t="s">
        <v>18</v>
      </c>
      <c r="E1576" s="12" t="s">
        <v>807</v>
      </c>
      <c r="F1576" s="12" t="str">
        <f>"2170656631 "</f>
        <v xml:space="preserve">2170656631 </v>
      </c>
      <c r="G1576" s="12" t="str">
        <f t="shared" si="51"/>
        <v>ON1</v>
      </c>
      <c r="H1576" s="12" t="s">
        <v>20</v>
      </c>
      <c r="I1576" s="12" t="s">
        <v>808</v>
      </c>
      <c r="J1576" s="12" t="str">
        <f>""</f>
        <v/>
      </c>
      <c r="K1576" s="12" t="str">
        <f>"PFES1162672583_0001"</f>
        <v>PFES1162672583_0001</v>
      </c>
      <c r="L1576" s="12">
        <v>1</v>
      </c>
      <c r="M1576" s="12">
        <v>3</v>
      </c>
    </row>
    <row r="1577" spans="1:13">
      <c r="A1577" s="6">
        <v>43508</v>
      </c>
      <c r="B1577" s="7">
        <v>0.56111111111111112</v>
      </c>
      <c r="C1577" s="12" t="str">
        <f>"FES1162672582"</f>
        <v>FES1162672582</v>
      </c>
      <c r="D1577" s="12" t="s">
        <v>18</v>
      </c>
      <c r="E1577" s="12" t="s">
        <v>807</v>
      </c>
      <c r="F1577" s="12" t="str">
        <f>"2170648293 "</f>
        <v xml:space="preserve">2170648293 </v>
      </c>
      <c r="G1577" s="12" t="str">
        <f t="shared" si="51"/>
        <v>ON1</v>
      </c>
      <c r="H1577" s="12" t="s">
        <v>20</v>
      </c>
      <c r="I1577" s="12" t="s">
        <v>808</v>
      </c>
      <c r="J1577" s="12" t="str">
        <f>""</f>
        <v/>
      </c>
      <c r="K1577" s="12" t="str">
        <f>"PFES1162672582_0001"</f>
        <v>PFES1162672582_0001</v>
      </c>
      <c r="L1577" s="12">
        <v>1</v>
      </c>
      <c r="M1577" s="12">
        <v>10</v>
      </c>
    </row>
    <row r="1578" spans="1:13">
      <c r="A1578" s="6">
        <v>43508</v>
      </c>
      <c r="B1578" s="7">
        <v>0.55069444444444449</v>
      </c>
      <c r="C1578" s="12" t="str">
        <f>"FES1162672431"</f>
        <v>FES1162672431</v>
      </c>
      <c r="D1578" s="12" t="s">
        <v>18</v>
      </c>
      <c r="E1578" s="12" t="s">
        <v>32</v>
      </c>
      <c r="F1578" s="12" t="str">
        <f>"2170668871 "</f>
        <v xml:space="preserve">2170668871 </v>
      </c>
      <c r="G1578" s="12" t="str">
        <f t="shared" si="51"/>
        <v>ON1</v>
      </c>
      <c r="H1578" s="12" t="s">
        <v>20</v>
      </c>
      <c r="I1578" s="12" t="s">
        <v>33</v>
      </c>
      <c r="J1578" s="12" t="str">
        <f>""</f>
        <v/>
      </c>
      <c r="K1578" s="12" t="str">
        <f>"PFES1162672431_0001"</f>
        <v>PFES1162672431_0001</v>
      </c>
      <c r="L1578" s="12">
        <v>1</v>
      </c>
      <c r="M1578" s="12">
        <v>7</v>
      </c>
    </row>
    <row r="1579" spans="1:13">
      <c r="A1579" s="6">
        <v>43508</v>
      </c>
      <c r="B1579" s="7">
        <v>0.5493055555555556</v>
      </c>
      <c r="C1579" s="12" t="str">
        <f>"FES1162672443"</f>
        <v>FES1162672443</v>
      </c>
      <c r="D1579" s="12" t="s">
        <v>18</v>
      </c>
      <c r="E1579" s="12" t="s">
        <v>820</v>
      </c>
      <c r="F1579" s="12" t="str">
        <f>"2170671628 "</f>
        <v xml:space="preserve">2170671628 </v>
      </c>
      <c r="G1579" s="12" t="str">
        <f t="shared" si="51"/>
        <v>ON1</v>
      </c>
      <c r="H1579" s="12" t="s">
        <v>20</v>
      </c>
      <c r="I1579" s="12" t="s">
        <v>821</v>
      </c>
      <c r="J1579" s="12" t="str">
        <f>""</f>
        <v/>
      </c>
      <c r="K1579" s="12" t="str">
        <f>"PFES1162672443_0001"</f>
        <v>PFES1162672443_0001</v>
      </c>
      <c r="L1579" s="12">
        <v>1</v>
      </c>
      <c r="M1579" s="12">
        <v>13</v>
      </c>
    </row>
    <row r="1580" spans="1:13">
      <c r="A1580" s="6">
        <v>43508</v>
      </c>
      <c r="B1580" s="7">
        <v>0.54861111111111105</v>
      </c>
      <c r="C1580" s="12" t="str">
        <f>"FES1162672433"</f>
        <v>FES1162672433</v>
      </c>
      <c r="D1580" s="12" t="s">
        <v>18</v>
      </c>
      <c r="E1580" s="12" t="s">
        <v>537</v>
      </c>
      <c r="F1580" s="12" t="str">
        <f>"2170669188 "</f>
        <v xml:space="preserve">2170669188 </v>
      </c>
      <c r="G1580" s="12" t="str">
        <f t="shared" si="51"/>
        <v>ON1</v>
      </c>
      <c r="H1580" s="12" t="s">
        <v>20</v>
      </c>
      <c r="I1580" s="12" t="s">
        <v>93</v>
      </c>
      <c r="J1580" s="12" t="str">
        <f>""</f>
        <v/>
      </c>
      <c r="K1580" s="12" t="str">
        <f>"PFES1162672433_0001"</f>
        <v>PFES1162672433_0001</v>
      </c>
      <c r="L1580" s="12">
        <v>1</v>
      </c>
      <c r="M1580" s="12">
        <v>1</v>
      </c>
    </row>
    <row r="1581" spans="1:13">
      <c r="A1581" s="6">
        <v>43508</v>
      </c>
      <c r="B1581" s="7">
        <v>0.54791666666666672</v>
      </c>
      <c r="C1581" s="12" t="str">
        <f>"FES1162672495"</f>
        <v>FES1162672495</v>
      </c>
      <c r="D1581" s="12" t="s">
        <v>18</v>
      </c>
      <c r="E1581" s="12" t="s">
        <v>822</v>
      </c>
      <c r="F1581" s="12" t="str">
        <f>"2170673686 "</f>
        <v xml:space="preserve">2170673686 </v>
      </c>
      <c r="G1581" s="12" t="str">
        <f t="shared" si="51"/>
        <v>ON1</v>
      </c>
      <c r="H1581" s="12" t="s">
        <v>20</v>
      </c>
      <c r="I1581" s="12" t="s">
        <v>48</v>
      </c>
      <c r="J1581" s="12" t="str">
        <f>""</f>
        <v/>
      </c>
      <c r="K1581" s="12" t="str">
        <f>"PFES1162672495_0001"</f>
        <v>PFES1162672495_0001</v>
      </c>
      <c r="L1581" s="12">
        <v>2</v>
      </c>
      <c r="M1581" s="12">
        <v>6</v>
      </c>
    </row>
    <row r="1582" spans="1:13">
      <c r="A1582" s="6">
        <v>43508</v>
      </c>
      <c r="B1582" s="7">
        <v>0.54791666666666672</v>
      </c>
      <c r="C1582" s="12" t="str">
        <f>"FES1162672495"</f>
        <v>FES1162672495</v>
      </c>
      <c r="D1582" s="12" t="s">
        <v>18</v>
      </c>
      <c r="E1582" s="12" t="s">
        <v>822</v>
      </c>
      <c r="F1582" s="12" t="str">
        <f>"2170673686 "</f>
        <v xml:space="preserve">2170673686 </v>
      </c>
      <c r="G1582" s="12" t="str">
        <f t="shared" si="51"/>
        <v>ON1</v>
      </c>
      <c r="H1582" s="12" t="s">
        <v>20</v>
      </c>
      <c r="I1582" s="12" t="s">
        <v>48</v>
      </c>
      <c r="J1582" s="12"/>
      <c r="K1582" s="12" t="str">
        <f>"PFES1162672495_0002"</f>
        <v>PFES1162672495_0002</v>
      </c>
      <c r="L1582" s="12">
        <v>2</v>
      </c>
      <c r="M1582" s="12">
        <v>6</v>
      </c>
    </row>
    <row r="1583" spans="1:13">
      <c r="A1583" s="6">
        <v>43508</v>
      </c>
      <c r="B1583" s="7">
        <v>0.54722222222222217</v>
      </c>
      <c r="C1583" s="12" t="str">
        <f>"FES1162672566"</f>
        <v>FES1162672566</v>
      </c>
      <c r="D1583" s="12" t="s">
        <v>18</v>
      </c>
      <c r="E1583" s="12" t="s">
        <v>212</v>
      </c>
      <c r="F1583" s="12" t="str">
        <f>"2170673833 "</f>
        <v xml:space="preserve">2170673833 </v>
      </c>
      <c r="G1583" s="12" t="str">
        <f t="shared" si="51"/>
        <v>ON1</v>
      </c>
      <c r="H1583" s="12" t="s">
        <v>20</v>
      </c>
      <c r="I1583" s="12" t="s">
        <v>213</v>
      </c>
      <c r="J1583" s="12" t="str">
        <f>""</f>
        <v/>
      </c>
      <c r="K1583" s="12" t="str">
        <f>"PFES1162672566_0001"</f>
        <v>PFES1162672566_0001</v>
      </c>
      <c r="L1583" s="12">
        <v>1</v>
      </c>
      <c r="M1583" s="12">
        <v>9</v>
      </c>
    </row>
    <row r="1584" spans="1:13">
      <c r="A1584" s="6">
        <v>43508</v>
      </c>
      <c r="B1584" s="7">
        <v>0.54652777777777783</v>
      </c>
      <c r="C1584" s="12" t="str">
        <f>"FES1162672535"</f>
        <v>FES1162672535</v>
      </c>
      <c r="D1584" s="12" t="s">
        <v>18</v>
      </c>
      <c r="E1584" s="12" t="s">
        <v>212</v>
      </c>
      <c r="F1584" s="12" t="str">
        <f>"2170672306 "</f>
        <v xml:space="preserve">2170672306 </v>
      </c>
      <c r="G1584" s="12" t="str">
        <f t="shared" si="51"/>
        <v>ON1</v>
      </c>
      <c r="H1584" s="12" t="s">
        <v>20</v>
      </c>
      <c r="I1584" s="12" t="s">
        <v>213</v>
      </c>
      <c r="J1584" s="12" t="str">
        <f>""</f>
        <v/>
      </c>
      <c r="K1584" s="12" t="str">
        <f>"PFES1162672535_0001"</f>
        <v>PFES1162672535_0001</v>
      </c>
      <c r="L1584" s="12">
        <v>1</v>
      </c>
      <c r="M1584" s="12">
        <v>2</v>
      </c>
    </row>
    <row r="1585" spans="1:13">
      <c r="A1585" s="6">
        <v>43508</v>
      </c>
      <c r="B1585" s="7">
        <v>0.54513888888888895</v>
      </c>
      <c r="C1585" s="12" t="str">
        <f>"FES1162672568"</f>
        <v>FES1162672568</v>
      </c>
      <c r="D1585" s="12" t="s">
        <v>18</v>
      </c>
      <c r="E1585" s="12" t="s">
        <v>823</v>
      </c>
      <c r="F1585" s="12" t="str">
        <f>"2170673836 "</f>
        <v xml:space="preserve">2170673836 </v>
      </c>
      <c r="G1585" s="12" t="str">
        <f t="shared" si="51"/>
        <v>ON1</v>
      </c>
      <c r="H1585" s="12" t="s">
        <v>20</v>
      </c>
      <c r="I1585" s="12" t="s">
        <v>99</v>
      </c>
      <c r="J1585" s="12" t="str">
        <f>""</f>
        <v/>
      </c>
      <c r="K1585" s="12" t="str">
        <f>"PFES1162672568_0001"</f>
        <v>PFES1162672568_0001</v>
      </c>
      <c r="L1585" s="12">
        <v>1</v>
      </c>
      <c r="M1585" s="12">
        <v>9</v>
      </c>
    </row>
    <row r="1586" spans="1:13">
      <c r="A1586" s="6">
        <v>43508</v>
      </c>
      <c r="B1586" s="7">
        <v>0.5444444444444444</v>
      </c>
      <c r="C1586" s="12" t="str">
        <f>"FES1162672572"</f>
        <v>FES1162672572</v>
      </c>
      <c r="D1586" s="12" t="s">
        <v>18</v>
      </c>
      <c r="E1586" s="12" t="s">
        <v>138</v>
      </c>
      <c r="F1586" s="12" t="str">
        <f>"2170673843 "</f>
        <v xml:space="preserve">2170673843 </v>
      </c>
      <c r="G1586" s="12" t="str">
        <f t="shared" si="51"/>
        <v>ON1</v>
      </c>
      <c r="H1586" s="12" t="s">
        <v>20</v>
      </c>
      <c r="I1586" s="12" t="s">
        <v>139</v>
      </c>
      <c r="J1586" s="12" t="str">
        <f>""</f>
        <v/>
      </c>
      <c r="K1586" s="12" t="str">
        <f>"PFES1162672572_0001"</f>
        <v>PFES1162672572_0001</v>
      </c>
      <c r="L1586" s="12">
        <v>1</v>
      </c>
      <c r="M1586" s="12">
        <v>2</v>
      </c>
    </row>
    <row r="1587" spans="1:13">
      <c r="A1587" s="6">
        <v>43508</v>
      </c>
      <c r="B1587" s="7">
        <v>0.54375000000000007</v>
      </c>
      <c r="C1587" s="12" t="str">
        <f>"FES1162672466"</f>
        <v>FES1162672466</v>
      </c>
      <c r="D1587" s="12" t="s">
        <v>18</v>
      </c>
      <c r="E1587" s="12" t="s">
        <v>162</v>
      </c>
      <c r="F1587" s="12" t="str">
        <f>"2170671681 "</f>
        <v xml:space="preserve">2170671681 </v>
      </c>
      <c r="G1587" s="12" t="str">
        <f t="shared" si="51"/>
        <v>ON1</v>
      </c>
      <c r="H1587" s="12" t="s">
        <v>20</v>
      </c>
      <c r="I1587" s="12" t="s">
        <v>163</v>
      </c>
      <c r="J1587" s="12" t="str">
        <f>""</f>
        <v/>
      </c>
      <c r="K1587" s="12" t="str">
        <f>"PFES1162672466_0001"</f>
        <v>PFES1162672466_0001</v>
      </c>
      <c r="L1587" s="12">
        <v>1</v>
      </c>
      <c r="M1587" s="12">
        <v>3</v>
      </c>
    </row>
    <row r="1588" spans="1:13">
      <c r="A1588" s="6">
        <v>43508</v>
      </c>
      <c r="B1588" s="7">
        <v>0.54305555555555551</v>
      </c>
      <c r="C1588" s="12" t="str">
        <f>"FES1162672608"</f>
        <v>FES1162672608</v>
      </c>
      <c r="D1588" s="12" t="s">
        <v>18</v>
      </c>
      <c r="E1588" s="12" t="s">
        <v>138</v>
      </c>
      <c r="F1588" s="12" t="str">
        <f>"2170673879 "</f>
        <v xml:space="preserve">2170673879 </v>
      </c>
      <c r="G1588" s="12" t="str">
        <f t="shared" si="51"/>
        <v>ON1</v>
      </c>
      <c r="H1588" s="12" t="s">
        <v>20</v>
      </c>
      <c r="I1588" s="12" t="s">
        <v>139</v>
      </c>
      <c r="J1588" s="12" t="str">
        <f>""</f>
        <v/>
      </c>
      <c r="K1588" s="12" t="str">
        <f>"PFES1162672608_0001"</f>
        <v>PFES1162672608_0001</v>
      </c>
      <c r="L1588" s="12">
        <v>2</v>
      </c>
      <c r="M1588" s="12">
        <v>7</v>
      </c>
    </row>
    <row r="1589" spans="1:13">
      <c r="A1589" s="6">
        <v>43508</v>
      </c>
      <c r="B1589" s="7">
        <v>0.54305555555555551</v>
      </c>
      <c r="C1589" s="12" t="str">
        <f>"FES1162672608"</f>
        <v>FES1162672608</v>
      </c>
      <c r="D1589" s="12" t="s">
        <v>18</v>
      </c>
      <c r="E1589" s="12" t="s">
        <v>138</v>
      </c>
      <c r="F1589" s="12" t="str">
        <f>"2170673879 "</f>
        <v xml:space="preserve">2170673879 </v>
      </c>
      <c r="G1589" s="12" t="str">
        <f t="shared" si="51"/>
        <v>ON1</v>
      </c>
      <c r="H1589" s="12" t="s">
        <v>20</v>
      </c>
      <c r="I1589" s="12" t="s">
        <v>139</v>
      </c>
      <c r="J1589" s="12"/>
      <c r="K1589" s="12" t="str">
        <f>"PFES1162672608_0002"</f>
        <v>PFES1162672608_0002</v>
      </c>
      <c r="L1589" s="12">
        <v>2</v>
      </c>
      <c r="M1589" s="12">
        <v>7</v>
      </c>
    </row>
    <row r="1590" spans="1:13">
      <c r="A1590" s="6">
        <v>43508</v>
      </c>
      <c r="B1590" s="7">
        <v>0.54166666666666663</v>
      </c>
      <c r="C1590" s="12" t="str">
        <f>"FES1162672512"</f>
        <v>FES1162672512</v>
      </c>
      <c r="D1590" s="12" t="s">
        <v>18</v>
      </c>
      <c r="E1590" s="12" t="s">
        <v>824</v>
      </c>
      <c r="F1590" s="12" t="str">
        <f>"2170673791 "</f>
        <v xml:space="preserve">2170673791 </v>
      </c>
      <c r="G1590" s="12" t="str">
        <f t="shared" si="51"/>
        <v>ON1</v>
      </c>
      <c r="H1590" s="12" t="s">
        <v>20</v>
      </c>
      <c r="I1590" s="12" t="s">
        <v>825</v>
      </c>
      <c r="J1590" s="12" t="str">
        <f>""</f>
        <v/>
      </c>
      <c r="K1590" s="12" t="str">
        <f>"PFES1162672512_0001"</f>
        <v>PFES1162672512_0001</v>
      </c>
      <c r="L1590" s="12">
        <v>1</v>
      </c>
      <c r="M1590" s="12">
        <v>2</v>
      </c>
    </row>
    <row r="1591" spans="1:13">
      <c r="A1591" s="6">
        <v>43508</v>
      </c>
      <c r="B1591" s="7">
        <v>0.54097222222222219</v>
      </c>
      <c r="C1591" s="12" t="str">
        <f>"FES1162672573"</f>
        <v>FES1162672573</v>
      </c>
      <c r="D1591" s="12" t="s">
        <v>18</v>
      </c>
      <c r="E1591" s="12" t="s">
        <v>826</v>
      </c>
      <c r="F1591" s="12" t="str">
        <f>"2170673790 "</f>
        <v xml:space="preserve">2170673790 </v>
      </c>
      <c r="G1591" s="12" t="str">
        <f t="shared" si="51"/>
        <v>ON1</v>
      </c>
      <c r="H1591" s="12" t="s">
        <v>20</v>
      </c>
      <c r="I1591" s="12" t="s">
        <v>827</v>
      </c>
      <c r="J1591" s="12" t="str">
        <f>""</f>
        <v/>
      </c>
      <c r="K1591" s="12" t="str">
        <f>"PFES1162672573_0001"</f>
        <v>PFES1162672573_0001</v>
      </c>
      <c r="L1591" s="12">
        <v>1</v>
      </c>
      <c r="M1591" s="12">
        <v>1</v>
      </c>
    </row>
    <row r="1592" spans="1:13">
      <c r="A1592" s="6">
        <v>43508</v>
      </c>
      <c r="B1592" s="7">
        <v>0.54097222222222219</v>
      </c>
      <c r="C1592" s="12" t="str">
        <f>"FES1162672488"</f>
        <v>FES1162672488</v>
      </c>
      <c r="D1592" s="12" t="s">
        <v>18</v>
      </c>
      <c r="E1592" s="12" t="s">
        <v>774</v>
      </c>
      <c r="F1592" s="12" t="str">
        <f>"2170673023 "</f>
        <v xml:space="preserve">2170673023 </v>
      </c>
      <c r="G1592" s="12" t="str">
        <f t="shared" si="51"/>
        <v>ON1</v>
      </c>
      <c r="H1592" s="12" t="s">
        <v>20</v>
      </c>
      <c r="I1592" s="12" t="s">
        <v>775</v>
      </c>
      <c r="J1592" s="12" t="str">
        <f>""</f>
        <v/>
      </c>
      <c r="K1592" s="12" t="str">
        <f>"PFES1162672488_0001"</f>
        <v>PFES1162672488_0001</v>
      </c>
      <c r="L1592" s="12">
        <v>1</v>
      </c>
      <c r="M1592" s="12">
        <v>2</v>
      </c>
    </row>
    <row r="1593" spans="1:13">
      <c r="A1593" s="6">
        <v>43508</v>
      </c>
      <c r="B1593" s="7">
        <v>0.54097222222222219</v>
      </c>
      <c r="C1593" s="12" t="str">
        <f>"FES1162672581"</f>
        <v>FES1162672581</v>
      </c>
      <c r="D1593" s="12" t="s">
        <v>18</v>
      </c>
      <c r="E1593" s="12" t="s">
        <v>88</v>
      </c>
      <c r="F1593" s="12" t="str">
        <f>"2170673854 "</f>
        <v xml:space="preserve">2170673854 </v>
      </c>
      <c r="G1593" s="12" t="str">
        <f t="shared" si="51"/>
        <v>ON1</v>
      </c>
      <c r="H1593" s="12" t="s">
        <v>20</v>
      </c>
      <c r="I1593" s="12" t="s">
        <v>89</v>
      </c>
      <c r="J1593" s="12" t="str">
        <f>""</f>
        <v/>
      </c>
      <c r="K1593" s="12" t="str">
        <f>"PFES1162672581_0001"</f>
        <v>PFES1162672581_0001</v>
      </c>
      <c r="L1593" s="12">
        <v>1</v>
      </c>
      <c r="M1593" s="12">
        <v>1</v>
      </c>
    </row>
    <row r="1594" spans="1:13">
      <c r="A1594" s="6">
        <v>43508</v>
      </c>
      <c r="B1594" s="7">
        <v>0.54097222222222219</v>
      </c>
      <c r="C1594" s="12" t="str">
        <f>"FES1162672595"</f>
        <v>FES1162672595</v>
      </c>
      <c r="D1594" s="12" t="s">
        <v>18</v>
      </c>
      <c r="E1594" s="12" t="s">
        <v>568</v>
      </c>
      <c r="F1594" s="12" t="str">
        <f>"217063860 "</f>
        <v xml:space="preserve">217063860 </v>
      </c>
      <c r="G1594" s="12" t="str">
        <f t="shared" si="51"/>
        <v>ON1</v>
      </c>
      <c r="H1594" s="12" t="s">
        <v>20</v>
      </c>
      <c r="I1594" s="12" t="s">
        <v>569</v>
      </c>
      <c r="J1594" s="12" t="str">
        <f>""</f>
        <v/>
      </c>
      <c r="K1594" s="12" t="str">
        <f>"PFES1162672595_0001"</f>
        <v>PFES1162672595_0001</v>
      </c>
      <c r="L1594" s="12">
        <v>1</v>
      </c>
      <c r="M1594" s="12">
        <v>1</v>
      </c>
    </row>
    <row r="1595" spans="1:13">
      <c r="A1595" s="6">
        <v>43508</v>
      </c>
      <c r="B1595" s="7">
        <v>0.54027777777777775</v>
      </c>
      <c r="C1595" s="12" t="str">
        <f>"FES1162672509"</f>
        <v>FES1162672509</v>
      </c>
      <c r="D1595" s="12" t="s">
        <v>18</v>
      </c>
      <c r="E1595" s="12" t="s">
        <v>493</v>
      </c>
      <c r="F1595" s="12" t="str">
        <f>"2170673784 "</f>
        <v xml:space="preserve">2170673784 </v>
      </c>
      <c r="G1595" s="12" t="str">
        <f t="shared" si="51"/>
        <v>ON1</v>
      </c>
      <c r="H1595" s="12" t="s">
        <v>20</v>
      </c>
      <c r="I1595" s="12" t="s">
        <v>111</v>
      </c>
      <c r="J1595" s="12" t="str">
        <f>""</f>
        <v/>
      </c>
      <c r="K1595" s="12" t="str">
        <f>"PFES1162672509_0001"</f>
        <v>PFES1162672509_0001</v>
      </c>
      <c r="L1595" s="12">
        <v>1</v>
      </c>
      <c r="M1595" s="12">
        <v>1</v>
      </c>
    </row>
    <row r="1596" spans="1:13">
      <c r="A1596" s="6">
        <v>43508</v>
      </c>
      <c r="B1596" s="7">
        <v>0.5395833333333333</v>
      </c>
      <c r="C1596" s="12" t="str">
        <f>"FES1162672503"</f>
        <v>FES1162672503</v>
      </c>
      <c r="D1596" s="12" t="s">
        <v>18</v>
      </c>
      <c r="E1596" s="12" t="s">
        <v>828</v>
      </c>
      <c r="F1596" s="12" t="str">
        <f>"2170673773 "</f>
        <v xml:space="preserve">2170673773 </v>
      </c>
      <c r="G1596" s="12" t="str">
        <f t="shared" si="51"/>
        <v>ON1</v>
      </c>
      <c r="H1596" s="12" t="s">
        <v>20</v>
      </c>
      <c r="I1596" s="12" t="s">
        <v>242</v>
      </c>
      <c r="J1596" s="12" t="str">
        <f>""</f>
        <v/>
      </c>
      <c r="K1596" s="12" t="str">
        <f>"PFES1162672503_0001"</f>
        <v>PFES1162672503_0001</v>
      </c>
      <c r="L1596" s="12">
        <v>1</v>
      </c>
      <c r="M1596" s="12">
        <v>1</v>
      </c>
    </row>
    <row r="1597" spans="1:13">
      <c r="A1597" s="6">
        <v>43508</v>
      </c>
      <c r="B1597" s="7">
        <v>0.5395833333333333</v>
      </c>
      <c r="C1597" s="12" t="str">
        <f>"FES1162672611"</f>
        <v>FES1162672611</v>
      </c>
      <c r="D1597" s="12" t="s">
        <v>18</v>
      </c>
      <c r="E1597" s="12" t="s">
        <v>88</v>
      </c>
      <c r="F1597" s="12" t="str">
        <f>"2170673882 "</f>
        <v xml:space="preserve">2170673882 </v>
      </c>
      <c r="G1597" s="12" t="str">
        <f t="shared" si="51"/>
        <v>ON1</v>
      </c>
      <c r="H1597" s="12" t="s">
        <v>20</v>
      </c>
      <c r="I1597" s="12" t="s">
        <v>89</v>
      </c>
      <c r="J1597" s="12" t="str">
        <f>""</f>
        <v/>
      </c>
      <c r="K1597" s="12" t="str">
        <f>"PFES1162672611_0001"</f>
        <v>PFES1162672611_0001</v>
      </c>
      <c r="L1597" s="12">
        <v>1</v>
      </c>
      <c r="M1597" s="12">
        <v>1</v>
      </c>
    </row>
    <row r="1598" spans="1:13">
      <c r="A1598" s="6">
        <v>43508</v>
      </c>
      <c r="B1598" s="7">
        <v>0.5395833333333333</v>
      </c>
      <c r="C1598" s="12" t="str">
        <f>"FES1162672462"</f>
        <v>FES1162672462</v>
      </c>
      <c r="D1598" s="12" t="s">
        <v>18</v>
      </c>
      <c r="E1598" s="12" t="s">
        <v>162</v>
      </c>
      <c r="F1598" s="12" t="str">
        <f>"2170671111 "</f>
        <v xml:space="preserve">2170671111 </v>
      </c>
      <c r="G1598" s="12" t="str">
        <f t="shared" si="51"/>
        <v>ON1</v>
      </c>
      <c r="H1598" s="12" t="s">
        <v>20</v>
      </c>
      <c r="I1598" s="12" t="s">
        <v>163</v>
      </c>
      <c r="J1598" s="12" t="str">
        <f>""</f>
        <v/>
      </c>
      <c r="K1598" s="12" t="str">
        <f>"PFES1162672462_0001"</f>
        <v>PFES1162672462_0001</v>
      </c>
      <c r="L1598" s="12">
        <v>1</v>
      </c>
      <c r="M1598" s="12">
        <v>1</v>
      </c>
    </row>
    <row r="1599" spans="1:13">
      <c r="A1599" s="6">
        <v>43508</v>
      </c>
      <c r="B1599" s="7">
        <v>0.53888888888888886</v>
      </c>
      <c r="C1599" s="12" t="str">
        <f>"FES1162672590"</f>
        <v>FES1162672590</v>
      </c>
      <c r="D1599" s="12" t="s">
        <v>18</v>
      </c>
      <c r="E1599" s="12" t="s">
        <v>234</v>
      </c>
      <c r="F1599" s="12" t="str">
        <f>"2170673811 "</f>
        <v xml:space="preserve">2170673811 </v>
      </c>
      <c r="G1599" s="12" t="str">
        <f t="shared" si="51"/>
        <v>ON1</v>
      </c>
      <c r="H1599" s="12" t="s">
        <v>20</v>
      </c>
      <c r="I1599" s="12" t="s">
        <v>233</v>
      </c>
      <c r="J1599" s="12" t="str">
        <f>""</f>
        <v/>
      </c>
      <c r="K1599" s="12" t="str">
        <f>"PFES1162672590_0001"</f>
        <v>PFES1162672590_0001</v>
      </c>
      <c r="L1599" s="12">
        <v>1</v>
      </c>
      <c r="M1599" s="12">
        <v>1</v>
      </c>
    </row>
    <row r="1600" spans="1:13">
      <c r="A1600" s="6">
        <v>43508</v>
      </c>
      <c r="B1600" s="7">
        <v>0.53888888888888886</v>
      </c>
      <c r="C1600" s="12" t="str">
        <f>"FES1162672539"</f>
        <v>FES1162672539</v>
      </c>
      <c r="D1600" s="12" t="s">
        <v>18</v>
      </c>
      <c r="E1600" s="12" t="s">
        <v>82</v>
      </c>
      <c r="F1600" s="12" t="str">
        <f>"2170673796 "</f>
        <v xml:space="preserve">2170673796 </v>
      </c>
      <c r="G1600" s="12" t="str">
        <f t="shared" si="51"/>
        <v>ON1</v>
      </c>
      <c r="H1600" s="12" t="s">
        <v>20</v>
      </c>
      <c r="I1600" s="12" t="s">
        <v>83</v>
      </c>
      <c r="J1600" s="12" t="str">
        <f>""</f>
        <v/>
      </c>
      <c r="K1600" s="12" t="str">
        <f>"PFES1162672539_0001"</f>
        <v>PFES1162672539_0001</v>
      </c>
      <c r="L1600" s="12">
        <v>1</v>
      </c>
      <c r="M1600" s="12">
        <v>1</v>
      </c>
    </row>
    <row r="1601" spans="1:13">
      <c r="A1601" s="6">
        <v>43508</v>
      </c>
      <c r="B1601" s="7">
        <v>0.53819444444444442</v>
      </c>
      <c r="C1601" s="12" t="str">
        <f>"FES1162672457"</f>
        <v>FES1162672457</v>
      </c>
      <c r="D1601" s="12" t="s">
        <v>18</v>
      </c>
      <c r="E1601" s="12" t="s">
        <v>301</v>
      </c>
      <c r="F1601" s="12" t="str">
        <f>"2170670704 "</f>
        <v xml:space="preserve">2170670704 </v>
      </c>
      <c r="G1601" s="12" t="str">
        <f t="shared" si="51"/>
        <v>ON1</v>
      </c>
      <c r="H1601" s="12" t="s">
        <v>20</v>
      </c>
      <c r="I1601" s="12" t="s">
        <v>302</v>
      </c>
      <c r="J1601" s="12" t="str">
        <f>""</f>
        <v/>
      </c>
      <c r="K1601" s="12" t="str">
        <f>"PFES1162672457_0001"</f>
        <v>PFES1162672457_0001</v>
      </c>
      <c r="L1601" s="12">
        <v>1</v>
      </c>
      <c r="M1601" s="12">
        <v>1</v>
      </c>
    </row>
    <row r="1602" spans="1:13">
      <c r="A1602" s="6">
        <v>43508</v>
      </c>
      <c r="B1602" s="7">
        <v>0.53819444444444442</v>
      </c>
      <c r="C1602" s="12" t="str">
        <f>"FES1162672525"</f>
        <v>FES1162672525</v>
      </c>
      <c r="D1602" s="12" t="s">
        <v>18</v>
      </c>
      <c r="E1602" s="12" t="s">
        <v>214</v>
      </c>
      <c r="F1602" s="12" t="str">
        <f>"2170670841 "</f>
        <v xml:space="preserve">2170670841 </v>
      </c>
      <c r="G1602" s="12" t="str">
        <f t="shared" si="51"/>
        <v>ON1</v>
      </c>
      <c r="H1602" s="12" t="s">
        <v>20</v>
      </c>
      <c r="I1602" s="12" t="s">
        <v>215</v>
      </c>
      <c r="J1602" s="12" t="str">
        <f>""</f>
        <v/>
      </c>
      <c r="K1602" s="12" t="str">
        <f>"PFES1162672525_0001"</f>
        <v>PFES1162672525_0001</v>
      </c>
      <c r="L1602" s="12">
        <v>1</v>
      </c>
      <c r="M1602" s="12">
        <v>8</v>
      </c>
    </row>
    <row r="1603" spans="1:13">
      <c r="A1603" s="6">
        <v>43508</v>
      </c>
      <c r="B1603" s="7">
        <v>0.53819444444444442</v>
      </c>
      <c r="C1603" s="12" t="str">
        <f>"FES1162672478"</f>
        <v>FES1162672478</v>
      </c>
      <c r="D1603" s="12" t="s">
        <v>18</v>
      </c>
      <c r="E1603" s="12" t="s">
        <v>88</v>
      </c>
      <c r="F1603" s="12" t="str">
        <f>"2170672687 "</f>
        <v xml:space="preserve">2170672687 </v>
      </c>
      <c r="G1603" s="12" t="str">
        <f t="shared" si="51"/>
        <v>ON1</v>
      </c>
      <c r="H1603" s="12" t="s">
        <v>20</v>
      </c>
      <c r="I1603" s="12" t="s">
        <v>89</v>
      </c>
      <c r="J1603" s="12" t="str">
        <f>""</f>
        <v/>
      </c>
      <c r="K1603" s="12" t="str">
        <f>"PFES1162672478_0001"</f>
        <v>PFES1162672478_0001</v>
      </c>
      <c r="L1603" s="12">
        <v>1</v>
      </c>
      <c r="M1603" s="12">
        <v>1</v>
      </c>
    </row>
    <row r="1604" spans="1:13">
      <c r="A1604" s="6">
        <v>43508</v>
      </c>
      <c r="B1604" s="7">
        <v>0.53749999999999998</v>
      </c>
      <c r="C1604" s="12" t="str">
        <f>"FES1162672494"</f>
        <v>FES1162672494</v>
      </c>
      <c r="D1604" s="12" t="s">
        <v>18</v>
      </c>
      <c r="E1604" s="12" t="s">
        <v>157</v>
      </c>
      <c r="F1604" s="12" t="str">
        <f>"2170673680 "</f>
        <v xml:space="preserve">2170673680 </v>
      </c>
      <c r="G1604" s="12" t="str">
        <f t="shared" si="51"/>
        <v>ON1</v>
      </c>
      <c r="H1604" s="12" t="s">
        <v>20</v>
      </c>
      <c r="I1604" s="12" t="s">
        <v>333</v>
      </c>
      <c r="J1604" s="12" t="str">
        <f>""</f>
        <v/>
      </c>
      <c r="K1604" s="12" t="str">
        <f>"PFES1162672494_0001"</f>
        <v>PFES1162672494_0001</v>
      </c>
      <c r="L1604" s="12">
        <v>1</v>
      </c>
      <c r="M1604" s="12">
        <v>1</v>
      </c>
    </row>
    <row r="1605" spans="1:13">
      <c r="A1605" s="6">
        <v>43508</v>
      </c>
      <c r="B1605" s="7">
        <v>0.53749999999999998</v>
      </c>
      <c r="C1605" s="12" t="str">
        <f>"FES1162672597"</f>
        <v>FES1162672597</v>
      </c>
      <c r="D1605" s="12" t="s">
        <v>18</v>
      </c>
      <c r="E1605" s="12" t="s">
        <v>47</v>
      </c>
      <c r="F1605" s="12" t="str">
        <f>"2170666269 "</f>
        <v xml:space="preserve">2170666269 </v>
      </c>
      <c r="G1605" s="12" t="str">
        <f t="shared" si="51"/>
        <v>ON1</v>
      </c>
      <c r="H1605" s="12" t="s">
        <v>20</v>
      </c>
      <c r="I1605" s="12" t="s">
        <v>48</v>
      </c>
      <c r="J1605" s="12" t="str">
        <f>""</f>
        <v/>
      </c>
      <c r="K1605" s="12" t="str">
        <f>"PFES1162672597_0001"</f>
        <v>PFES1162672597_0001</v>
      </c>
      <c r="L1605" s="12">
        <v>1</v>
      </c>
      <c r="M1605" s="12">
        <v>5</v>
      </c>
    </row>
    <row r="1606" spans="1:13">
      <c r="A1606" s="6">
        <v>43508</v>
      </c>
      <c r="B1606" s="7">
        <v>0.53749999999999998</v>
      </c>
      <c r="C1606" s="12" t="str">
        <f>"FES1162672484"</f>
        <v>FES1162672484</v>
      </c>
      <c r="D1606" s="12" t="s">
        <v>18</v>
      </c>
      <c r="E1606" s="12" t="s">
        <v>521</v>
      </c>
      <c r="F1606" s="12" t="str">
        <f>"2170672879 "</f>
        <v xml:space="preserve">2170672879 </v>
      </c>
      <c r="G1606" s="12" t="str">
        <f t="shared" si="51"/>
        <v>ON1</v>
      </c>
      <c r="H1606" s="12" t="s">
        <v>20</v>
      </c>
      <c r="I1606" s="12" t="s">
        <v>445</v>
      </c>
      <c r="J1606" s="12" t="str">
        <f>""</f>
        <v/>
      </c>
      <c r="K1606" s="12" t="str">
        <f>"PFES1162672484_0001"</f>
        <v>PFES1162672484_0001</v>
      </c>
      <c r="L1606" s="12">
        <v>1</v>
      </c>
      <c r="M1606" s="12">
        <v>1</v>
      </c>
    </row>
    <row r="1607" spans="1:13">
      <c r="A1607" s="6">
        <v>43508</v>
      </c>
      <c r="B1607" s="7">
        <v>0.53611111111111109</v>
      </c>
      <c r="C1607" s="12" t="str">
        <f>"FES1162672475"</f>
        <v>FES1162672475</v>
      </c>
      <c r="D1607" s="12" t="s">
        <v>18</v>
      </c>
      <c r="E1607" s="12" t="s">
        <v>829</v>
      </c>
      <c r="F1607" s="12" t="str">
        <f>"2170672488 "</f>
        <v xml:space="preserve">2170672488 </v>
      </c>
      <c r="G1607" s="12" t="str">
        <f t="shared" si="51"/>
        <v>ON1</v>
      </c>
      <c r="H1607" s="12" t="s">
        <v>20</v>
      </c>
      <c r="I1607" s="12" t="s">
        <v>830</v>
      </c>
      <c r="J1607" s="12" t="str">
        <f>""</f>
        <v/>
      </c>
      <c r="K1607" s="12" t="str">
        <f>"PFES1162672475_0001"</f>
        <v>PFES1162672475_0001</v>
      </c>
      <c r="L1607" s="12">
        <v>1</v>
      </c>
      <c r="M1607" s="12">
        <v>1</v>
      </c>
    </row>
    <row r="1608" spans="1:13">
      <c r="A1608" s="6">
        <v>43508</v>
      </c>
      <c r="B1608" s="7">
        <v>0.53611111111111109</v>
      </c>
      <c r="C1608" s="12" t="str">
        <f>"FES1162672458"</f>
        <v>FES1162672458</v>
      </c>
      <c r="D1608" s="12" t="s">
        <v>18</v>
      </c>
      <c r="E1608" s="12" t="s">
        <v>339</v>
      </c>
      <c r="F1608" s="12" t="str">
        <f>"2170670721 "</f>
        <v xml:space="preserve">2170670721 </v>
      </c>
      <c r="G1608" s="12" t="str">
        <f t="shared" si="51"/>
        <v>ON1</v>
      </c>
      <c r="H1608" s="12" t="s">
        <v>20</v>
      </c>
      <c r="I1608" s="12" t="s">
        <v>37</v>
      </c>
      <c r="J1608" s="12" t="str">
        <f>""</f>
        <v/>
      </c>
      <c r="K1608" s="12" t="str">
        <f>"PFES1162672458_0001"</f>
        <v>PFES1162672458_0001</v>
      </c>
      <c r="L1608" s="12">
        <v>1</v>
      </c>
      <c r="M1608" s="12">
        <v>14</v>
      </c>
    </row>
    <row r="1609" spans="1:13">
      <c r="A1609" s="6">
        <v>43508</v>
      </c>
      <c r="B1609" s="7">
        <v>0.53611111111111109</v>
      </c>
      <c r="C1609" s="12" t="str">
        <f>"FES1162672485"</f>
        <v>FES1162672485</v>
      </c>
      <c r="D1609" s="12" t="s">
        <v>18</v>
      </c>
      <c r="E1609" s="12" t="s">
        <v>92</v>
      </c>
      <c r="F1609" s="12" t="str">
        <f>"2170672885 "</f>
        <v xml:space="preserve">2170672885 </v>
      </c>
      <c r="G1609" s="12" t="str">
        <f t="shared" si="51"/>
        <v>ON1</v>
      </c>
      <c r="H1609" s="12" t="s">
        <v>20</v>
      </c>
      <c r="I1609" s="12" t="s">
        <v>93</v>
      </c>
      <c r="J1609" s="12" t="str">
        <f>""</f>
        <v/>
      </c>
      <c r="K1609" s="12" t="str">
        <f>"PFES1162672485_0001"</f>
        <v>PFES1162672485_0001</v>
      </c>
      <c r="L1609" s="12">
        <v>1</v>
      </c>
      <c r="M1609" s="12">
        <v>1</v>
      </c>
    </row>
    <row r="1610" spans="1:13">
      <c r="A1610" s="6">
        <v>43508</v>
      </c>
      <c r="B1610" s="7">
        <v>0.53541666666666665</v>
      </c>
      <c r="C1610" s="12" t="str">
        <f>"FES1162672619"</f>
        <v>FES1162672619</v>
      </c>
      <c r="D1610" s="12" t="s">
        <v>18</v>
      </c>
      <c r="E1610" s="12" t="s">
        <v>421</v>
      </c>
      <c r="F1610" s="12" t="str">
        <f>"2170673893 "</f>
        <v xml:space="preserve">2170673893 </v>
      </c>
      <c r="G1610" s="12" t="str">
        <f t="shared" si="51"/>
        <v>ON1</v>
      </c>
      <c r="H1610" s="12" t="s">
        <v>20</v>
      </c>
      <c r="I1610" s="12" t="s">
        <v>99</v>
      </c>
      <c r="J1610" s="12" t="str">
        <f>""</f>
        <v/>
      </c>
      <c r="K1610" s="12" t="str">
        <f>"PFES1162672619_0001"</f>
        <v>PFES1162672619_0001</v>
      </c>
      <c r="L1610" s="12">
        <v>1</v>
      </c>
      <c r="M1610" s="12">
        <v>1</v>
      </c>
    </row>
    <row r="1611" spans="1:13">
      <c r="A1611" s="6">
        <v>43508</v>
      </c>
      <c r="B1611" s="7">
        <v>0.53541666666666665</v>
      </c>
      <c r="C1611" s="12" t="str">
        <f>"FES1162672492"</f>
        <v>FES1162672492</v>
      </c>
      <c r="D1611" s="12" t="s">
        <v>18</v>
      </c>
      <c r="E1611" s="12" t="s">
        <v>831</v>
      </c>
      <c r="F1611" s="12" t="str">
        <f>"2170673610 "</f>
        <v xml:space="preserve">2170673610 </v>
      </c>
      <c r="G1611" s="12" t="str">
        <f t="shared" si="51"/>
        <v>ON1</v>
      </c>
      <c r="H1611" s="12" t="s">
        <v>20</v>
      </c>
      <c r="I1611" s="12" t="s">
        <v>242</v>
      </c>
      <c r="J1611" s="12" t="str">
        <f>""</f>
        <v/>
      </c>
      <c r="K1611" s="12" t="str">
        <f>"PFES1162672492_0001"</f>
        <v>PFES1162672492_0001</v>
      </c>
      <c r="L1611" s="12">
        <v>1</v>
      </c>
      <c r="M1611" s="12">
        <v>1</v>
      </c>
    </row>
    <row r="1612" spans="1:13">
      <c r="A1612" s="6">
        <v>43508</v>
      </c>
      <c r="B1612" s="7">
        <v>0.53472222222222221</v>
      </c>
      <c r="C1612" s="12" t="str">
        <f>"FES1162672567"</f>
        <v>FES1162672567</v>
      </c>
      <c r="D1612" s="12" t="s">
        <v>18</v>
      </c>
      <c r="E1612" s="12" t="s">
        <v>160</v>
      </c>
      <c r="F1612" s="12" t="str">
        <f>"2170673834 "</f>
        <v xml:space="preserve">2170673834 </v>
      </c>
      <c r="G1612" s="12" t="str">
        <f t="shared" si="51"/>
        <v>ON1</v>
      </c>
      <c r="H1612" s="12" t="s">
        <v>20</v>
      </c>
      <c r="I1612" s="12" t="s">
        <v>161</v>
      </c>
      <c r="J1612" s="12" t="str">
        <f>""</f>
        <v/>
      </c>
      <c r="K1612" s="12" t="str">
        <f>"PFES1162672567_0001"</f>
        <v>PFES1162672567_0001</v>
      </c>
      <c r="L1612" s="12">
        <v>1</v>
      </c>
      <c r="M1612" s="12">
        <v>1</v>
      </c>
    </row>
    <row r="1613" spans="1:13">
      <c r="A1613" s="6">
        <v>43508</v>
      </c>
      <c r="B1613" s="7">
        <v>0.53472222222222221</v>
      </c>
      <c r="C1613" s="12" t="str">
        <f>"FES1162672460"</f>
        <v>FES1162672460</v>
      </c>
      <c r="D1613" s="12" t="s">
        <v>18</v>
      </c>
      <c r="E1613" s="12" t="s">
        <v>214</v>
      </c>
      <c r="F1613" s="12" t="str">
        <f>"2170670841 "</f>
        <v xml:space="preserve">2170670841 </v>
      </c>
      <c r="G1613" s="12" t="str">
        <f t="shared" si="51"/>
        <v>ON1</v>
      </c>
      <c r="H1613" s="12" t="s">
        <v>20</v>
      </c>
      <c r="I1613" s="12" t="s">
        <v>215</v>
      </c>
      <c r="J1613" s="12" t="str">
        <f>""</f>
        <v/>
      </c>
      <c r="K1613" s="12" t="str">
        <f>"PFES1162672460_0001"</f>
        <v>PFES1162672460_0001</v>
      </c>
      <c r="L1613" s="12">
        <v>2</v>
      </c>
      <c r="M1613" s="12">
        <v>7</v>
      </c>
    </row>
    <row r="1614" spans="1:13">
      <c r="A1614" s="6">
        <v>43508</v>
      </c>
      <c r="B1614" s="7">
        <v>0.53472222222222221</v>
      </c>
      <c r="C1614" s="12" t="str">
        <f>"FES1162672460"</f>
        <v>FES1162672460</v>
      </c>
      <c r="D1614" s="12" t="s">
        <v>18</v>
      </c>
      <c r="E1614" s="12" t="s">
        <v>214</v>
      </c>
      <c r="F1614" s="12" t="str">
        <f>"2170670841 "</f>
        <v xml:space="preserve">2170670841 </v>
      </c>
      <c r="G1614" s="12" t="str">
        <f t="shared" si="51"/>
        <v>ON1</v>
      </c>
      <c r="H1614" s="12" t="s">
        <v>20</v>
      </c>
      <c r="I1614" s="12" t="s">
        <v>215</v>
      </c>
      <c r="J1614" s="12"/>
      <c r="K1614" s="12" t="str">
        <f>"PFES1162672460_0002"</f>
        <v>PFES1162672460_0002</v>
      </c>
      <c r="L1614" s="12">
        <v>2</v>
      </c>
      <c r="M1614" s="12">
        <v>7</v>
      </c>
    </row>
    <row r="1615" spans="1:13">
      <c r="A1615" s="6">
        <v>43508</v>
      </c>
      <c r="B1615" s="7">
        <v>0.53472222222222221</v>
      </c>
      <c r="C1615" s="12" t="str">
        <f>"FES1162672445"</f>
        <v>FES1162672445</v>
      </c>
      <c r="D1615" s="12" t="s">
        <v>18</v>
      </c>
      <c r="E1615" s="12" t="s">
        <v>300</v>
      </c>
      <c r="F1615" s="12" t="str">
        <f>"2170673707 "</f>
        <v xml:space="preserve">2170673707 </v>
      </c>
      <c r="G1615" s="12" t="str">
        <f t="shared" si="51"/>
        <v>ON1</v>
      </c>
      <c r="H1615" s="12" t="s">
        <v>20</v>
      </c>
      <c r="I1615" s="12" t="s">
        <v>276</v>
      </c>
      <c r="J1615" s="12" t="str">
        <f>""</f>
        <v/>
      </c>
      <c r="K1615" s="12" t="str">
        <f>"PFES1162672445_0001"</f>
        <v>PFES1162672445_0001</v>
      </c>
      <c r="L1615" s="12">
        <v>1</v>
      </c>
      <c r="M1615" s="12">
        <v>1</v>
      </c>
    </row>
    <row r="1616" spans="1:13">
      <c r="A1616" s="6">
        <v>43508</v>
      </c>
      <c r="B1616" s="7">
        <v>0.53402777777777777</v>
      </c>
      <c r="C1616" s="12" t="str">
        <f>"FES1162672450"</f>
        <v>FES1162672450</v>
      </c>
      <c r="D1616" s="12" t="s">
        <v>18</v>
      </c>
      <c r="E1616" s="12" t="s">
        <v>832</v>
      </c>
      <c r="F1616" s="12" t="str">
        <f>"2170673772 "</f>
        <v xml:space="preserve">2170673772 </v>
      </c>
      <c r="G1616" s="12" t="str">
        <f t="shared" si="51"/>
        <v>ON1</v>
      </c>
      <c r="H1616" s="12" t="s">
        <v>20</v>
      </c>
      <c r="I1616" s="12" t="s">
        <v>833</v>
      </c>
      <c r="J1616" s="12" t="str">
        <f>""</f>
        <v/>
      </c>
      <c r="K1616" s="12" t="str">
        <f>"PFES1162672450_0001"</f>
        <v>PFES1162672450_0001</v>
      </c>
      <c r="L1616" s="12">
        <v>1</v>
      </c>
      <c r="M1616" s="12">
        <v>1</v>
      </c>
    </row>
    <row r="1617" spans="1:13">
      <c r="A1617" s="6">
        <v>43508</v>
      </c>
      <c r="B1617" s="7">
        <v>0.53333333333333333</v>
      </c>
      <c r="C1617" s="12" t="str">
        <f>"FES1162672523"</f>
        <v>FES1162672523</v>
      </c>
      <c r="D1617" s="12" t="s">
        <v>18</v>
      </c>
      <c r="E1617" s="12" t="s">
        <v>19</v>
      </c>
      <c r="F1617" s="12" t="str">
        <f>"2170670643 "</f>
        <v xml:space="preserve">2170670643 </v>
      </c>
      <c r="G1617" s="12" t="str">
        <f t="shared" si="51"/>
        <v>ON1</v>
      </c>
      <c r="H1617" s="12" t="s">
        <v>20</v>
      </c>
      <c r="I1617" s="12" t="s">
        <v>21</v>
      </c>
      <c r="J1617" s="12" t="str">
        <f>""</f>
        <v/>
      </c>
      <c r="K1617" s="12" t="str">
        <f>"PFES1162672523_0001"</f>
        <v>PFES1162672523_0001</v>
      </c>
      <c r="L1617" s="12">
        <v>1</v>
      </c>
      <c r="M1617" s="12">
        <v>1</v>
      </c>
    </row>
    <row r="1618" spans="1:13">
      <c r="A1618" s="6">
        <v>43508</v>
      </c>
      <c r="B1618" s="7">
        <v>0.53333333333333333</v>
      </c>
      <c r="C1618" s="12" t="str">
        <f>"FES1162672547"</f>
        <v>FES1162672547</v>
      </c>
      <c r="D1618" s="12" t="s">
        <v>18</v>
      </c>
      <c r="E1618" s="12" t="s">
        <v>834</v>
      </c>
      <c r="F1618" s="12" t="str">
        <f>"2170673814 "</f>
        <v xml:space="preserve">2170673814 </v>
      </c>
      <c r="G1618" s="12" t="str">
        <f t="shared" si="51"/>
        <v>ON1</v>
      </c>
      <c r="H1618" s="12" t="s">
        <v>20</v>
      </c>
      <c r="I1618" s="12" t="s">
        <v>708</v>
      </c>
      <c r="J1618" s="12" t="str">
        <f>""</f>
        <v/>
      </c>
      <c r="K1618" s="12" t="str">
        <f>"PFES1162672547_0001"</f>
        <v>PFES1162672547_0001</v>
      </c>
      <c r="L1618" s="12">
        <v>1</v>
      </c>
      <c r="M1618" s="12">
        <v>1</v>
      </c>
    </row>
    <row r="1619" spans="1:13">
      <c r="A1619" s="6">
        <v>43508</v>
      </c>
      <c r="B1619" s="7">
        <v>0.53263888888888888</v>
      </c>
      <c r="C1619" s="12" t="str">
        <f>"FES1162672479"</f>
        <v>FES1162672479</v>
      </c>
      <c r="D1619" s="12" t="s">
        <v>18</v>
      </c>
      <c r="E1619" s="12" t="s">
        <v>19</v>
      </c>
      <c r="F1619" s="12" t="str">
        <f>"2170672763 "</f>
        <v xml:space="preserve">2170672763 </v>
      </c>
      <c r="G1619" s="12" t="str">
        <f t="shared" si="51"/>
        <v>ON1</v>
      </c>
      <c r="H1619" s="12" t="s">
        <v>20</v>
      </c>
      <c r="I1619" s="12" t="s">
        <v>21</v>
      </c>
      <c r="J1619" s="12" t="str">
        <f>""</f>
        <v/>
      </c>
      <c r="K1619" s="12" t="str">
        <f>"PFES1162672479_0001"</f>
        <v>PFES1162672479_0001</v>
      </c>
      <c r="L1619" s="12">
        <v>1</v>
      </c>
      <c r="M1619" s="12">
        <v>1</v>
      </c>
    </row>
    <row r="1620" spans="1:13">
      <c r="A1620" s="6">
        <v>43508</v>
      </c>
      <c r="B1620" s="7">
        <v>0.53263888888888888</v>
      </c>
      <c r="C1620" s="12" t="str">
        <f>"FES1162672536"</f>
        <v>FES1162672536</v>
      </c>
      <c r="D1620" s="12" t="s">
        <v>18</v>
      </c>
      <c r="E1620" s="12" t="s">
        <v>195</v>
      </c>
      <c r="F1620" s="12" t="str">
        <f>"2170672697 "</f>
        <v xml:space="preserve">2170672697 </v>
      </c>
      <c r="G1620" s="12" t="str">
        <f t="shared" si="51"/>
        <v>ON1</v>
      </c>
      <c r="H1620" s="12" t="s">
        <v>20</v>
      </c>
      <c r="I1620" s="12" t="s">
        <v>96</v>
      </c>
      <c r="J1620" s="12" t="str">
        <f>""</f>
        <v/>
      </c>
      <c r="K1620" s="12" t="str">
        <f>"PFES1162672536_0001"</f>
        <v>PFES1162672536_0001</v>
      </c>
      <c r="L1620" s="12">
        <v>1</v>
      </c>
      <c r="M1620" s="12">
        <v>1</v>
      </c>
    </row>
    <row r="1621" spans="1:13">
      <c r="A1621" s="6">
        <v>43508</v>
      </c>
      <c r="B1621" s="7">
        <v>0.53194444444444444</v>
      </c>
      <c r="C1621" s="12" t="str">
        <f>"FES1162672529"</f>
        <v>FES1162672529</v>
      </c>
      <c r="D1621" s="12" t="s">
        <v>18</v>
      </c>
      <c r="E1621" s="12" t="s">
        <v>19</v>
      </c>
      <c r="F1621" s="12" t="str">
        <f>"2170671297 "</f>
        <v xml:space="preserve">2170671297 </v>
      </c>
      <c r="G1621" s="12" t="str">
        <f t="shared" si="51"/>
        <v>ON1</v>
      </c>
      <c r="H1621" s="12" t="s">
        <v>20</v>
      </c>
      <c r="I1621" s="12" t="s">
        <v>21</v>
      </c>
      <c r="J1621" s="12" t="str">
        <f>""</f>
        <v/>
      </c>
      <c r="K1621" s="12" t="str">
        <f>"PFES1162672529_0001"</f>
        <v>PFES1162672529_0001</v>
      </c>
      <c r="L1621" s="12">
        <v>1</v>
      </c>
      <c r="M1621" s="12">
        <v>1</v>
      </c>
    </row>
    <row r="1622" spans="1:13">
      <c r="A1622" s="6">
        <v>43508</v>
      </c>
      <c r="B1622" s="7">
        <v>0.53194444444444444</v>
      </c>
      <c r="C1622" s="12" t="str">
        <f>"FES1162672470"</f>
        <v>FES1162672470</v>
      </c>
      <c r="D1622" s="12" t="s">
        <v>18</v>
      </c>
      <c r="E1622" s="12" t="s">
        <v>350</v>
      </c>
      <c r="F1622" s="12" t="str">
        <f>"2170672279 "</f>
        <v xml:space="preserve">2170672279 </v>
      </c>
      <c r="G1622" s="12" t="str">
        <f t="shared" si="51"/>
        <v>ON1</v>
      </c>
      <c r="H1622" s="12" t="s">
        <v>20</v>
      </c>
      <c r="I1622" s="12" t="s">
        <v>351</v>
      </c>
      <c r="J1622" s="12" t="str">
        <f>""</f>
        <v/>
      </c>
      <c r="K1622" s="12" t="str">
        <f>"PFES1162672470_0001"</f>
        <v>PFES1162672470_0001</v>
      </c>
      <c r="L1622" s="12">
        <v>1</v>
      </c>
      <c r="M1622" s="12">
        <v>1</v>
      </c>
    </row>
    <row r="1623" spans="1:13">
      <c r="A1623" s="6">
        <v>43508</v>
      </c>
      <c r="B1623" s="7">
        <v>0.53125</v>
      </c>
      <c r="C1623" s="12" t="str">
        <f>"FES1162672604"</f>
        <v>FES1162672604</v>
      </c>
      <c r="D1623" s="12" t="s">
        <v>18</v>
      </c>
      <c r="E1623" s="12" t="s">
        <v>414</v>
      </c>
      <c r="F1623" s="12" t="str">
        <f>"2170673875 "</f>
        <v xml:space="preserve">2170673875 </v>
      </c>
      <c r="G1623" s="12" t="str">
        <f t="shared" si="51"/>
        <v>ON1</v>
      </c>
      <c r="H1623" s="12" t="s">
        <v>20</v>
      </c>
      <c r="I1623" s="12" t="s">
        <v>99</v>
      </c>
      <c r="J1623" s="12" t="str">
        <f>""</f>
        <v/>
      </c>
      <c r="K1623" s="12" t="str">
        <f>"PFES1162672604_0001"</f>
        <v>PFES1162672604_0001</v>
      </c>
      <c r="L1623" s="12">
        <v>1</v>
      </c>
      <c r="M1623" s="12">
        <v>1</v>
      </c>
    </row>
    <row r="1624" spans="1:13">
      <c r="A1624" s="6">
        <v>43508</v>
      </c>
      <c r="B1624" s="7">
        <v>0.52361111111111114</v>
      </c>
      <c r="C1624" s="12" t="str">
        <f>"FES1162672430"</f>
        <v>FES1162672430</v>
      </c>
      <c r="D1624" s="12" t="s">
        <v>18</v>
      </c>
      <c r="E1624" s="12" t="s">
        <v>615</v>
      </c>
      <c r="F1624" s="12" t="str">
        <f>"217067668533 "</f>
        <v xml:space="preserve">217067668533 </v>
      </c>
      <c r="G1624" s="12" t="str">
        <f t="shared" si="51"/>
        <v>ON1</v>
      </c>
      <c r="H1624" s="12" t="s">
        <v>20</v>
      </c>
      <c r="I1624" s="12" t="s">
        <v>616</v>
      </c>
      <c r="J1624" s="12" t="str">
        <f>""</f>
        <v/>
      </c>
      <c r="K1624" s="12" t="str">
        <f>"PFES1162672430_0001"</f>
        <v>PFES1162672430_0001</v>
      </c>
      <c r="L1624" s="12">
        <v>1</v>
      </c>
      <c r="M1624" s="12">
        <v>1</v>
      </c>
    </row>
    <row r="1625" spans="1:13">
      <c r="A1625" s="6">
        <v>43508</v>
      </c>
      <c r="B1625" s="7">
        <v>0.5229166666666667</v>
      </c>
      <c r="C1625" s="12" t="str">
        <f>"FES1162671626"</f>
        <v>FES1162671626</v>
      </c>
      <c r="D1625" s="12" t="s">
        <v>18</v>
      </c>
      <c r="E1625" s="12" t="s">
        <v>835</v>
      </c>
      <c r="F1625" s="12" t="str">
        <f>"2170671739 "</f>
        <v xml:space="preserve">2170671739 </v>
      </c>
      <c r="G1625" s="12" t="str">
        <f t="shared" si="51"/>
        <v>ON1</v>
      </c>
      <c r="H1625" s="12" t="s">
        <v>20</v>
      </c>
      <c r="I1625" s="12" t="s">
        <v>836</v>
      </c>
      <c r="J1625" s="12" t="str">
        <f>""</f>
        <v/>
      </c>
      <c r="K1625" s="12" t="str">
        <f>"PFES1162671626_0001"</f>
        <v>PFES1162671626_0001</v>
      </c>
      <c r="L1625" s="12">
        <v>1</v>
      </c>
      <c r="M1625" s="12">
        <v>1</v>
      </c>
    </row>
    <row r="1626" spans="1:13">
      <c r="A1626" s="6">
        <v>43508</v>
      </c>
      <c r="B1626" s="7">
        <v>0.52152777777777781</v>
      </c>
      <c r="C1626" s="12" t="str">
        <f>"FES1162672419"</f>
        <v>FES1162672419</v>
      </c>
      <c r="D1626" s="12" t="s">
        <v>18</v>
      </c>
      <c r="E1626" s="12" t="s">
        <v>200</v>
      </c>
      <c r="F1626" s="12" t="str">
        <f>"2170673754 "</f>
        <v xml:space="preserve">2170673754 </v>
      </c>
      <c r="G1626" s="12" t="str">
        <f t="shared" si="51"/>
        <v>ON1</v>
      </c>
      <c r="H1626" s="12" t="s">
        <v>20</v>
      </c>
      <c r="I1626" s="12" t="s">
        <v>201</v>
      </c>
      <c r="J1626" s="12" t="str">
        <f>""</f>
        <v/>
      </c>
      <c r="K1626" s="12" t="str">
        <f>"PFES1162672419_0001"</f>
        <v>PFES1162672419_0001</v>
      </c>
      <c r="L1626" s="12">
        <v>1</v>
      </c>
      <c r="M1626" s="12">
        <v>1</v>
      </c>
    </row>
    <row r="1627" spans="1:13">
      <c r="A1627" s="6">
        <v>43508</v>
      </c>
      <c r="B1627" s="7">
        <v>0.52083333333333337</v>
      </c>
      <c r="C1627" s="12" t="str">
        <f>"FES1162672339"</f>
        <v>FES1162672339</v>
      </c>
      <c r="D1627" s="12" t="s">
        <v>18</v>
      </c>
      <c r="E1627" s="12" t="s">
        <v>837</v>
      </c>
      <c r="F1627" s="12" t="str">
        <f>"2170673655 "</f>
        <v xml:space="preserve">2170673655 </v>
      </c>
      <c r="G1627" s="12" t="str">
        <f t="shared" si="51"/>
        <v>ON1</v>
      </c>
      <c r="H1627" s="12" t="s">
        <v>20</v>
      </c>
      <c r="I1627" s="12" t="s">
        <v>838</v>
      </c>
      <c r="J1627" s="12" t="str">
        <f>""</f>
        <v/>
      </c>
      <c r="K1627" s="12" t="str">
        <f>"PFES1162672339_0001"</f>
        <v>PFES1162672339_0001</v>
      </c>
      <c r="L1627" s="12">
        <v>1</v>
      </c>
      <c r="M1627" s="12">
        <v>1</v>
      </c>
    </row>
    <row r="1628" spans="1:13">
      <c r="A1628" s="6">
        <v>43508</v>
      </c>
      <c r="B1628" s="7">
        <v>0.52083333333333337</v>
      </c>
      <c r="C1628" s="12" t="str">
        <f>"FES1162672480"</f>
        <v>FES1162672480</v>
      </c>
      <c r="D1628" s="12" t="s">
        <v>18</v>
      </c>
      <c r="E1628" s="12" t="s">
        <v>839</v>
      </c>
      <c r="F1628" s="12" t="str">
        <f>"2170672788 "</f>
        <v xml:space="preserve">2170672788 </v>
      </c>
      <c r="G1628" s="12" t="str">
        <f t="shared" si="51"/>
        <v>ON1</v>
      </c>
      <c r="H1628" s="12" t="s">
        <v>20</v>
      </c>
      <c r="I1628" s="12" t="s">
        <v>260</v>
      </c>
      <c r="J1628" s="12" t="str">
        <f>""</f>
        <v/>
      </c>
      <c r="K1628" s="12" t="str">
        <f>"PFES1162672480_0001"</f>
        <v>PFES1162672480_0001</v>
      </c>
      <c r="L1628" s="12">
        <v>1</v>
      </c>
      <c r="M1628" s="12">
        <v>1</v>
      </c>
    </row>
    <row r="1629" spans="1:13">
      <c r="A1629" s="6">
        <v>43508</v>
      </c>
      <c r="B1629" s="7">
        <v>0.52083333333333337</v>
      </c>
      <c r="C1629" s="12" t="str">
        <f>"FES1162672489"</f>
        <v>FES1162672489</v>
      </c>
      <c r="D1629" s="12" t="s">
        <v>18</v>
      </c>
      <c r="E1629" s="12" t="s">
        <v>840</v>
      </c>
      <c r="F1629" s="12" t="str">
        <f>"2170673256 "</f>
        <v xml:space="preserve">2170673256 </v>
      </c>
      <c r="G1629" s="12" t="str">
        <f t="shared" si="51"/>
        <v>ON1</v>
      </c>
      <c r="H1629" s="12" t="s">
        <v>20</v>
      </c>
      <c r="I1629" s="12" t="s">
        <v>412</v>
      </c>
      <c r="J1629" s="12" t="str">
        <f>""</f>
        <v/>
      </c>
      <c r="K1629" s="12" t="str">
        <f>"PFES1162672489_0001"</f>
        <v>PFES1162672489_0001</v>
      </c>
      <c r="L1629" s="12">
        <v>1</v>
      </c>
      <c r="M1629" s="12">
        <v>1</v>
      </c>
    </row>
    <row r="1630" spans="1:13">
      <c r="A1630" s="6">
        <v>43508</v>
      </c>
      <c r="B1630" s="7">
        <v>0.52013888888888882</v>
      </c>
      <c r="C1630" s="12" t="str">
        <f>"FES1162672447"</f>
        <v>FES1162672447</v>
      </c>
      <c r="D1630" s="12" t="s">
        <v>18</v>
      </c>
      <c r="E1630" s="12" t="s">
        <v>841</v>
      </c>
      <c r="F1630" s="12" t="str">
        <f>"2170673674 "</f>
        <v xml:space="preserve">2170673674 </v>
      </c>
      <c r="G1630" s="12" t="str">
        <f t="shared" si="51"/>
        <v>ON1</v>
      </c>
      <c r="H1630" s="12" t="s">
        <v>20</v>
      </c>
      <c r="I1630" s="12" t="s">
        <v>842</v>
      </c>
      <c r="J1630" s="12" t="str">
        <f>""</f>
        <v/>
      </c>
      <c r="K1630" s="12" t="str">
        <f>"PFES1162672447_0001"</f>
        <v>PFES1162672447_0001</v>
      </c>
      <c r="L1630" s="12">
        <v>1</v>
      </c>
      <c r="M1630" s="12">
        <v>1</v>
      </c>
    </row>
    <row r="1631" spans="1:13">
      <c r="A1631" s="6">
        <v>43508</v>
      </c>
      <c r="B1631" s="7">
        <v>0.68125000000000002</v>
      </c>
      <c r="C1631" s="12" t="str">
        <f>"FES1162672678"</f>
        <v>FES1162672678</v>
      </c>
      <c r="D1631" s="12" t="s">
        <v>18</v>
      </c>
      <c r="E1631" s="12" t="s">
        <v>47</v>
      </c>
      <c r="F1631" s="12" t="str">
        <f>"2170667792 "</f>
        <v xml:space="preserve">2170667792 </v>
      </c>
      <c r="G1631" s="12" t="str">
        <f t="shared" si="51"/>
        <v>ON1</v>
      </c>
      <c r="H1631" s="12" t="s">
        <v>20</v>
      </c>
      <c r="I1631" s="12" t="s">
        <v>48</v>
      </c>
      <c r="J1631" s="12" t="str">
        <f>""</f>
        <v/>
      </c>
      <c r="K1631" s="12" t="str">
        <f>"PFES1162672678_0001"</f>
        <v>PFES1162672678_0001</v>
      </c>
      <c r="L1631" s="12">
        <v>2</v>
      </c>
      <c r="M1631" s="12">
        <v>8</v>
      </c>
    </row>
    <row r="1632" spans="1:13">
      <c r="A1632" s="6">
        <v>43508</v>
      </c>
      <c r="B1632" s="7">
        <v>0.68125000000000002</v>
      </c>
      <c r="C1632" s="12" t="str">
        <f>"FES1162672678"</f>
        <v>FES1162672678</v>
      </c>
      <c r="D1632" s="12" t="s">
        <v>18</v>
      </c>
      <c r="E1632" s="12" t="s">
        <v>47</v>
      </c>
      <c r="F1632" s="12" t="str">
        <f>"2170667792 "</f>
        <v xml:space="preserve">2170667792 </v>
      </c>
      <c r="G1632" s="12" t="str">
        <f t="shared" si="51"/>
        <v>ON1</v>
      </c>
      <c r="H1632" s="12" t="s">
        <v>20</v>
      </c>
      <c r="I1632" s="12" t="s">
        <v>48</v>
      </c>
      <c r="J1632" s="12"/>
      <c r="K1632" s="12" t="str">
        <f>"PFES1162672678_0002"</f>
        <v>PFES1162672678_0002</v>
      </c>
      <c r="L1632" s="12">
        <v>2</v>
      </c>
      <c r="M1632" s="12">
        <v>8</v>
      </c>
    </row>
    <row r="1633" spans="1:13">
      <c r="A1633" s="6">
        <v>43508</v>
      </c>
      <c r="B1633" s="7">
        <v>0.67847222222222225</v>
      </c>
      <c r="C1633" s="12" t="str">
        <f>"FES1162672676"</f>
        <v>FES1162672676</v>
      </c>
      <c r="D1633" s="12" t="s">
        <v>18</v>
      </c>
      <c r="E1633" s="12" t="s">
        <v>218</v>
      </c>
      <c r="F1633" s="12" t="str">
        <f>"2170671019 "</f>
        <v xml:space="preserve">2170671019 </v>
      </c>
      <c r="G1633" s="12" t="str">
        <f t="shared" si="51"/>
        <v>ON1</v>
      </c>
      <c r="H1633" s="12" t="s">
        <v>20</v>
      </c>
      <c r="I1633" s="12" t="s">
        <v>219</v>
      </c>
      <c r="J1633" s="12" t="str">
        <f>""</f>
        <v/>
      </c>
      <c r="K1633" s="12" t="str">
        <f>"PFES1162672676_0001"</f>
        <v>PFES1162672676_0001</v>
      </c>
      <c r="L1633" s="12">
        <v>1</v>
      </c>
      <c r="M1633" s="12">
        <v>11</v>
      </c>
    </row>
    <row r="1634" spans="1:13">
      <c r="A1634" s="6">
        <v>43508</v>
      </c>
      <c r="B1634" s="7">
        <v>0.6777777777777777</v>
      </c>
      <c r="C1634" s="12" t="str">
        <f>"FES1162672688"</f>
        <v>FES1162672688</v>
      </c>
      <c r="D1634" s="12" t="s">
        <v>18</v>
      </c>
      <c r="E1634" s="12" t="s">
        <v>47</v>
      </c>
      <c r="F1634" s="12" t="str">
        <f>"2170671818 "</f>
        <v xml:space="preserve">2170671818 </v>
      </c>
      <c r="G1634" s="12" t="str">
        <f t="shared" si="51"/>
        <v>ON1</v>
      </c>
      <c r="H1634" s="12" t="s">
        <v>20</v>
      </c>
      <c r="I1634" s="12" t="s">
        <v>48</v>
      </c>
      <c r="J1634" s="12" t="str">
        <f>""</f>
        <v/>
      </c>
      <c r="K1634" s="12" t="str">
        <f>"PFES1162672688_0001"</f>
        <v>PFES1162672688_0001</v>
      </c>
      <c r="L1634" s="12">
        <v>1</v>
      </c>
      <c r="M1634" s="12">
        <v>4</v>
      </c>
    </row>
    <row r="1635" spans="1:13">
      <c r="A1635" s="6">
        <v>43508</v>
      </c>
      <c r="B1635" s="7">
        <v>0.67708333333333337</v>
      </c>
      <c r="C1635" s="12" t="str">
        <f>"FES1162672694"</f>
        <v>FES1162672694</v>
      </c>
      <c r="D1635" s="12" t="s">
        <v>18</v>
      </c>
      <c r="E1635" s="12" t="s">
        <v>47</v>
      </c>
      <c r="F1635" s="12" t="str">
        <f>"217037532 "</f>
        <v xml:space="preserve">217037532 </v>
      </c>
      <c r="G1635" s="12" t="str">
        <f t="shared" si="51"/>
        <v>ON1</v>
      </c>
      <c r="H1635" s="12" t="s">
        <v>20</v>
      </c>
      <c r="I1635" s="12" t="s">
        <v>48</v>
      </c>
      <c r="J1635" s="12" t="str">
        <f>""</f>
        <v/>
      </c>
      <c r="K1635" s="12" t="str">
        <f>"PFES1162672694_0001"</f>
        <v>PFES1162672694_0001</v>
      </c>
      <c r="L1635" s="12">
        <v>1</v>
      </c>
      <c r="M1635" s="12">
        <v>1</v>
      </c>
    </row>
    <row r="1636" spans="1:13">
      <c r="A1636" s="6">
        <v>43508</v>
      </c>
      <c r="B1636" s="7">
        <v>0.67708333333333337</v>
      </c>
      <c r="C1636" s="12" t="str">
        <f>"FES1162672653"</f>
        <v>FES1162672653</v>
      </c>
      <c r="D1636" s="12" t="s">
        <v>18</v>
      </c>
      <c r="E1636" s="12" t="s">
        <v>339</v>
      </c>
      <c r="F1636" s="12" t="str">
        <f>"2170671393 "</f>
        <v xml:space="preserve">2170671393 </v>
      </c>
      <c r="G1636" s="12" t="str">
        <f t="shared" si="51"/>
        <v>ON1</v>
      </c>
      <c r="H1636" s="12" t="s">
        <v>20</v>
      </c>
      <c r="I1636" s="12" t="s">
        <v>37</v>
      </c>
      <c r="J1636" s="12" t="str">
        <f>""</f>
        <v/>
      </c>
      <c r="K1636" s="12" t="str">
        <f>"PFES1162672653_0001"</f>
        <v>PFES1162672653_0001</v>
      </c>
      <c r="L1636" s="12">
        <v>1</v>
      </c>
      <c r="M1636" s="12">
        <v>6</v>
      </c>
    </row>
    <row r="1637" spans="1:13">
      <c r="A1637" s="6">
        <v>43508</v>
      </c>
      <c r="B1637" s="7">
        <v>0.67708333333333337</v>
      </c>
      <c r="C1637" s="12" t="str">
        <f>"FES1162672683"</f>
        <v>FES1162672683</v>
      </c>
      <c r="D1637" s="12" t="s">
        <v>18</v>
      </c>
      <c r="E1637" s="12" t="s">
        <v>422</v>
      </c>
      <c r="F1637" s="12" t="str">
        <f>"2170373958 "</f>
        <v xml:space="preserve">2170373958 </v>
      </c>
      <c r="G1637" s="12" t="str">
        <f t="shared" si="51"/>
        <v>ON1</v>
      </c>
      <c r="H1637" s="12" t="s">
        <v>20</v>
      </c>
      <c r="I1637" s="12" t="s">
        <v>130</v>
      </c>
      <c r="J1637" s="12" t="str">
        <f>""</f>
        <v/>
      </c>
      <c r="K1637" s="12" t="str">
        <f>"PFES1162672683_0001"</f>
        <v>PFES1162672683_0001</v>
      </c>
      <c r="L1637" s="12">
        <v>1</v>
      </c>
      <c r="M1637" s="12">
        <v>1</v>
      </c>
    </row>
    <row r="1638" spans="1:13">
      <c r="A1638" s="6">
        <v>43508</v>
      </c>
      <c r="B1638" s="7">
        <v>0.67638888888888893</v>
      </c>
      <c r="C1638" s="12" t="str">
        <f>"FES1162672652"</f>
        <v>FES1162672652</v>
      </c>
      <c r="D1638" s="12" t="s">
        <v>18</v>
      </c>
      <c r="E1638" s="12" t="s">
        <v>339</v>
      </c>
      <c r="F1638" s="12" t="str">
        <f>"2170670863 "</f>
        <v xml:space="preserve">2170670863 </v>
      </c>
      <c r="G1638" s="12" t="str">
        <f t="shared" ref="G1638:G1692" si="52">"ON1"</f>
        <v>ON1</v>
      </c>
      <c r="H1638" s="12" t="s">
        <v>20</v>
      </c>
      <c r="I1638" s="12" t="s">
        <v>37</v>
      </c>
      <c r="J1638" s="12" t="str">
        <f>""</f>
        <v/>
      </c>
      <c r="K1638" s="12" t="str">
        <f>"PFES1162672652_0001"</f>
        <v>PFES1162672652_0001</v>
      </c>
      <c r="L1638" s="12">
        <v>1</v>
      </c>
      <c r="M1638" s="12">
        <v>2</v>
      </c>
    </row>
    <row r="1639" spans="1:13">
      <c r="A1639" s="6">
        <v>43508</v>
      </c>
      <c r="B1639" s="7">
        <v>0.66805555555555562</v>
      </c>
      <c r="C1639" s="12" t="str">
        <f>"FES1162672685"</f>
        <v>FES1162672685</v>
      </c>
      <c r="D1639" s="12" t="s">
        <v>18</v>
      </c>
      <c r="E1639" s="12" t="s">
        <v>157</v>
      </c>
      <c r="F1639" s="12" t="str">
        <f>"2170673962 "</f>
        <v xml:space="preserve">2170673962 </v>
      </c>
      <c r="G1639" s="12" t="str">
        <f t="shared" si="52"/>
        <v>ON1</v>
      </c>
      <c r="H1639" s="12" t="s">
        <v>20</v>
      </c>
      <c r="I1639" s="12" t="s">
        <v>158</v>
      </c>
      <c r="J1639" s="12" t="str">
        <f>""</f>
        <v/>
      </c>
      <c r="K1639" s="12" t="str">
        <f>"PFES1162672685_0001"</f>
        <v>PFES1162672685_0001</v>
      </c>
      <c r="L1639" s="12">
        <v>1</v>
      </c>
      <c r="M1639" s="12">
        <v>1</v>
      </c>
    </row>
    <row r="1640" spans="1:13">
      <c r="A1640" s="6">
        <v>43508</v>
      </c>
      <c r="B1640" s="7">
        <v>0.66319444444444442</v>
      </c>
      <c r="C1640" s="12" t="str">
        <f>"FES1162672638"</f>
        <v>FES1162672638</v>
      </c>
      <c r="D1640" s="12" t="s">
        <v>18</v>
      </c>
      <c r="E1640" s="12" t="s">
        <v>843</v>
      </c>
      <c r="F1640" s="12" t="str">
        <f>"2170673909 "</f>
        <v xml:space="preserve">2170673909 </v>
      </c>
      <c r="G1640" s="12" t="str">
        <f t="shared" si="52"/>
        <v>ON1</v>
      </c>
      <c r="H1640" s="12" t="s">
        <v>20</v>
      </c>
      <c r="I1640" s="12" t="s">
        <v>43</v>
      </c>
      <c r="J1640" s="12" t="str">
        <f>""</f>
        <v/>
      </c>
      <c r="K1640" s="12" t="str">
        <f>"PFES1162672638_0001"</f>
        <v>PFES1162672638_0001</v>
      </c>
      <c r="L1640" s="12">
        <v>1</v>
      </c>
      <c r="M1640" s="12">
        <v>3</v>
      </c>
    </row>
    <row r="1641" spans="1:13">
      <c r="A1641" s="6">
        <v>43508</v>
      </c>
      <c r="B1641" s="7">
        <v>0.66111111111111109</v>
      </c>
      <c r="C1641" s="12" t="str">
        <f>"FES1162672639"</f>
        <v>FES1162672639</v>
      </c>
      <c r="D1641" s="12" t="s">
        <v>18</v>
      </c>
      <c r="E1641" s="12" t="s">
        <v>299</v>
      </c>
      <c r="F1641" s="12" t="str">
        <f>"2170673915 "</f>
        <v xml:space="preserve">2170673915 </v>
      </c>
      <c r="G1641" s="12" t="str">
        <f t="shared" si="52"/>
        <v>ON1</v>
      </c>
      <c r="H1641" s="12" t="s">
        <v>20</v>
      </c>
      <c r="I1641" s="12" t="s">
        <v>43</v>
      </c>
      <c r="J1641" s="12" t="str">
        <f>""</f>
        <v/>
      </c>
      <c r="K1641" s="12" t="str">
        <f>"PFES1162672639_0001"</f>
        <v>PFES1162672639_0001</v>
      </c>
      <c r="L1641" s="12">
        <v>1</v>
      </c>
      <c r="M1641" s="12">
        <v>3</v>
      </c>
    </row>
    <row r="1642" spans="1:13">
      <c r="A1642" s="6">
        <v>43508</v>
      </c>
      <c r="B1642" s="7">
        <v>0.66041666666666665</v>
      </c>
      <c r="C1642" s="12" t="str">
        <f>"FES1162672675"</f>
        <v>FES1162672675</v>
      </c>
      <c r="D1642" s="12" t="s">
        <v>18</v>
      </c>
      <c r="E1642" s="12" t="s">
        <v>47</v>
      </c>
      <c r="F1642" s="12" t="str">
        <f>"2170671820 "</f>
        <v xml:space="preserve">2170671820 </v>
      </c>
      <c r="G1642" s="12" t="str">
        <f t="shared" si="52"/>
        <v>ON1</v>
      </c>
      <c r="H1642" s="12" t="s">
        <v>20</v>
      </c>
      <c r="I1642" s="12" t="s">
        <v>48</v>
      </c>
      <c r="J1642" s="12" t="str">
        <f>""</f>
        <v/>
      </c>
      <c r="K1642" s="12" t="str">
        <f>"PFES1162672675_0001"</f>
        <v>PFES1162672675_0001</v>
      </c>
      <c r="L1642" s="12">
        <v>1</v>
      </c>
      <c r="M1642" s="12">
        <v>10</v>
      </c>
    </row>
    <row r="1643" spans="1:13">
      <c r="A1643" s="6">
        <v>43508</v>
      </c>
      <c r="B1643" s="7">
        <v>0.65902777777777777</v>
      </c>
      <c r="C1643" s="12" t="str">
        <f>"FES1162672668"</f>
        <v>FES1162672668</v>
      </c>
      <c r="D1643" s="12" t="s">
        <v>18</v>
      </c>
      <c r="E1643" s="12" t="s">
        <v>58</v>
      </c>
      <c r="F1643" s="12" t="str">
        <f>"2170673954 "</f>
        <v xml:space="preserve">2170673954 </v>
      </c>
      <c r="G1643" s="12" t="str">
        <f t="shared" si="52"/>
        <v>ON1</v>
      </c>
      <c r="H1643" s="12" t="s">
        <v>20</v>
      </c>
      <c r="I1643" s="12" t="s">
        <v>59</v>
      </c>
      <c r="J1643" s="12" t="str">
        <f>""</f>
        <v/>
      </c>
      <c r="K1643" s="12" t="str">
        <f>"PFES1162672668_0001"</f>
        <v>PFES1162672668_0001</v>
      </c>
      <c r="L1643" s="12">
        <v>1</v>
      </c>
      <c r="M1643" s="12">
        <v>1</v>
      </c>
    </row>
    <row r="1644" spans="1:13">
      <c r="A1644" s="6">
        <v>43508</v>
      </c>
      <c r="B1644" s="7">
        <v>0.65833333333333333</v>
      </c>
      <c r="C1644" s="12" t="str">
        <f>"FES1162672686"</f>
        <v>FES1162672686</v>
      </c>
      <c r="D1644" s="12" t="s">
        <v>18</v>
      </c>
      <c r="E1644" s="12" t="s">
        <v>772</v>
      </c>
      <c r="F1644" s="12" t="str">
        <f>"2170676965 "</f>
        <v xml:space="preserve">2170676965 </v>
      </c>
      <c r="G1644" s="12" t="str">
        <f t="shared" si="52"/>
        <v>ON1</v>
      </c>
      <c r="H1644" s="12" t="s">
        <v>20</v>
      </c>
      <c r="I1644" s="12" t="s">
        <v>773</v>
      </c>
      <c r="J1644" s="12" t="str">
        <f>""</f>
        <v/>
      </c>
      <c r="K1644" s="12" t="str">
        <f>"PFES1162672686_0001"</f>
        <v>PFES1162672686_0001</v>
      </c>
      <c r="L1644" s="12">
        <v>1</v>
      </c>
      <c r="M1644" s="12">
        <v>1</v>
      </c>
    </row>
    <row r="1645" spans="1:13">
      <c r="A1645" s="6">
        <v>43508</v>
      </c>
      <c r="B1645" s="7">
        <v>0.65833333333333333</v>
      </c>
      <c r="C1645" s="12" t="str">
        <f>"FES1162672674"</f>
        <v>FES1162672674</v>
      </c>
      <c r="D1645" s="12" t="s">
        <v>18</v>
      </c>
      <c r="E1645" s="12" t="s">
        <v>47</v>
      </c>
      <c r="F1645" s="12" t="str">
        <f>"2170673283 "</f>
        <v xml:space="preserve">2170673283 </v>
      </c>
      <c r="G1645" s="12" t="str">
        <f t="shared" si="52"/>
        <v>ON1</v>
      </c>
      <c r="H1645" s="12" t="s">
        <v>20</v>
      </c>
      <c r="I1645" s="12" t="s">
        <v>48</v>
      </c>
      <c r="J1645" s="12" t="str">
        <f>""</f>
        <v/>
      </c>
      <c r="K1645" s="12" t="str">
        <f>"PFES1162672674_0001"</f>
        <v>PFES1162672674_0001</v>
      </c>
      <c r="L1645" s="12">
        <v>1</v>
      </c>
      <c r="M1645" s="12">
        <v>1</v>
      </c>
    </row>
    <row r="1646" spans="1:13">
      <c r="A1646" s="6">
        <v>43508</v>
      </c>
      <c r="B1646" s="7">
        <v>0.65833333333333333</v>
      </c>
      <c r="C1646" s="12" t="str">
        <f>"FES1162672681"</f>
        <v>FES1162672681</v>
      </c>
      <c r="D1646" s="12" t="s">
        <v>18</v>
      </c>
      <c r="E1646" s="12" t="s">
        <v>482</v>
      </c>
      <c r="F1646" s="12" t="str">
        <f>"2170673948 "</f>
        <v xml:space="preserve">2170673948 </v>
      </c>
      <c r="G1646" s="12" t="str">
        <f t="shared" si="52"/>
        <v>ON1</v>
      </c>
      <c r="H1646" s="12" t="s">
        <v>20</v>
      </c>
      <c r="I1646" s="12" t="s">
        <v>272</v>
      </c>
      <c r="J1646" s="12" t="str">
        <f>""</f>
        <v/>
      </c>
      <c r="K1646" s="12" t="str">
        <f>"PFES1162672681_0001"</f>
        <v>PFES1162672681_0001</v>
      </c>
      <c r="L1646" s="12">
        <v>1</v>
      </c>
      <c r="M1646" s="12">
        <v>1</v>
      </c>
    </row>
    <row r="1647" spans="1:13">
      <c r="A1647" s="6">
        <v>43508</v>
      </c>
      <c r="B1647" s="7">
        <v>0.65763888888888888</v>
      </c>
      <c r="C1647" s="12" t="str">
        <f>"FES1162672679"</f>
        <v>FES1162672679</v>
      </c>
      <c r="D1647" s="12" t="s">
        <v>18</v>
      </c>
      <c r="E1647" s="12" t="s">
        <v>47</v>
      </c>
      <c r="F1647" s="12" t="str">
        <f>"217067054 "</f>
        <v xml:space="preserve">217067054 </v>
      </c>
      <c r="G1647" s="12" t="str">
        <f t="shared" si="52"/>
        <v>ON1</v>
      </c>
      <c r="H1647" s="12" t="s">
        <v>20</v>
      </c>
      <c r="I1647" s="12" t="s">
        <v>48</v>
      </c>
      <c r="J1647" s="12" t="str">
        <f>""</f>
        <v/>
      </c>
      <c r="K1647" s="12" t="str">
        <f>"PFES1162672679_0001"</f>
        <v>PFES1162672679_0001</v>
      </c>
      <c r="L1647" s="12">
        <v>1</v>
      </c>
      <c r="M1647" s="12">
        <v>1</v>
      </c>
    </row>
    <row r="1648" spans="1:13">
      <c r="A1648" s="6">
        <v>43508</v>
      </c>
      <c r="B1648" s="7">
        <v>0.65277777777777779</v>
      </c>
      <c r="C1648" s="12" t="str">
        <f>"FES1162672684"</f>
        <v>FES1162672684</v>
      </c>
      <c r="D1648" s="12" t="s">
        <v>18</v>
      </c>
      <c r="E1648" s="12" t="s">
        <v>527</v>
      </c>
      <c r="F1648" s="12" t="str">
        <f>"2170673960 "</f>
        <v xml:space="preserve">2170673960 </v>
      </c>
      <c r="G1648" s="12" t="str">
        <f t="shared" si="52"/>
        <v>ON1</v>
      </c>
      <c r="H1648" s="12" t="s">
        <v>20</v>
      </c>
      <c r="I1648" s="12" t="s">
        <v>276</v>
      </c>
      <c r="J1648" s="12" t="str">
        <f>""</f>
        <v/>
      </c>
      <c r="K1648" s="12" t="str">
        <f>"PFES1162672684_0001"</f>
        <v>PFES1162672684_0001</v>
      </c>
      <c r="L1648" s="12">
        <v>1</v>
      </c>
      <c r="M1648" s="12">
        <v>1</v>
      </c>
    </row>
    <row r="1649" spans="1:13">
      <c r="A1649" s="6">
        <v>43508</v>
      </c>
      <c r="B1649" s="7">
        <v>0.65277777777777779</v>
      </c>
      <c r="C1649" s="12" t="str">
        <f>"FES1162672682"</f>
        <v>FES1162672682</v>
      </c>
      <c r="D1649" s="12" t="s">
        <v>18</v>
      </c>
      <c r="E1649" s="12" t="s">
        <v>527</v>
      </c>
      <c r="F1649" s="12" t="str">
        <f>"2170375951 "</f>
        <v xml:space="preserve">2170375951 </v>
      </c>
      <c r="G1649" s="12" t="str">
        <f t="shared" si="52"/>
        <v>ON1</v>
      </c>
      <c r="H1649" s="12" t="s">
        <v>20</v>
      </c>
      <c r="I1649" s="12" t="s">
        <v>276</v>
      </c>
      <c r="J1649" s="12" t="str">
        <f>""</f>
        <v/>
      </c>
      <c r="K1649" s="12" t="str">
        <f>"PFES1162672682_0001"</f>
        <v>PFES1162672682_0001</v>
      </c>
      <c r="L1649" s="12">
        <v>1</v>
      </c>
      <c r="M1649" s="12">
        <v>1</v>
      </c>
    </row>
    <row r="1650" spans="1:13">
      <c r="A1650" s="6">
        <v>43508</v>
      </c>
      <c r="B1650" s="7">
        <v>0.65208333333333335</v>
      </c>
      <c r="C1650" s="12" t="str">
        <f>"FES1162672673"</f>
        <v>FES1162672673</v>
      </c>
      <c r="D1650" s="12" t="s">
        <v>18</v>
      </c>
      <c r="E1650" s="12" t="s">
        <v>88</v>
      </c>
      <c r="F1650" s="12" t="str">
        <f>"2170673963 "</f>
        <v xml:space="preserve">2170673963 </v>
      </c>
      <c r="G1650" s="12" t="str">
        <f t="shared" si="52"/>
        <v>ON1</v>
      </c>
      <c r="H1650" s="12" t="s">
        <v>20</v>
      </c>
      <c r="I1650" s="12" t="s">
        <v>89</v>
      </c>
      <c r="J1650" s="12" t="str">
        <f>""</f>
        <v/>
      </c>
      <c r="K1650" s="12" t="str">
        <f>"PFES1162672673_0001"</f>
        <v>PFES1162672673_0001</v>
      </c>
      <c r="L1650" s="12">
        <v>1</v>
      </c>
      <c r="M1650" s="12">
        <v>1</v>
      </c>
    </row>
    <row r="1651" spans="1:13">
      <c r="A1651" s="6">
        <v>43508</v>
      </c>
      <c r="B1651" s="7">
        <v>0.64861111111111114</v>
      </c>
      <c r="C1651" s="12" t="str">
        <f>"FES1162672661"</f>
        <v>FES1162672661</v>
      </c>
      <c r="D1651" s="12" t="s">
        <v>18</v>
      </c>
      <c r="E1651" s="12" t="s">
        <v>844</v>
      </c>
      <c r="F1651" s="12" t="str">
        <f>"2170673771 "</f>
        <v xml:space="preserve">2170673771 </v>
      </c>
      <c r="G1651" s="12" t="str">
        <f t="shared" si="52"/>
        <v>ON1</v>
      </c>
      <c r="H1651" s="12" t="s">
        <v>20</v>
      </c>
      <c r="I1651" s="12" t="s">
        <v>845</v>
      </c>
      <c r="J1651" s="12" t="str">
        <f>""</f>
        <v/>
      </c>
      <c r="K1651" s="12" t="str">
        <f>"PFES1162672661_0001"</f>
        <v>PFES1162672661_0001</v>
      </c>
      <c r="L1651" s="12">
        <v>1</v>
      </c>
      <c r="M1651" s="12">
        <v>3</v>
      </c>
    </row>
    <row r="1652" spans="1:13">
      <c r="A1652" s="6">
        <v>43508</v>
      </c>
      <c r="B1652" s="7">
        <v>0.64722222222222225</v>
      </c>
      <c r="C1652" s="12" t="str">
        <f>"FES1162672657"</f>
        <v>FES1162672657</v>
      </c>
      <c r="D1652" s="12" t="s">
        <v>18</v>
      </c>
      <c r="E1652" s="12" t="s">
        <v>195</v>
      </c>
      <c r="F1652" s="12" t="str">
        <f>"2170673942 "</f>
        <v xml:space="preserve">2170673942 </v>
      </c>
      <c r="G1652" s="12" t="str">
        <f t="shared" si="52"/>
        <v>ON1</v>
      </c>
      <c r="H1652" s="12" t="s">
        <v>20</v>
      </c>
      <c r="I1652" s="12" t="s">
        <v>96</v>
      </c>
      <c r="J1652" s="12" t="str">
        <f>""</f>
        <v/>
      </c>
      <c r="K1652" s="12" t="str">
        <f>"PFES1162672657_0001"</f>
        <v>PFES1162672657_0001</v>
      </c>
      <c r="L1652" s="12">
        <v>1</v>
      </c>
      <c r="M1652" s="12">
        <v>3</v>
      </c>
    </row>
    <row r="1653" spans="1:13">
      <c r="A1653" s="6">
        <v>43508</v>
      </c>
      <c r="B1653" s="7">
        <v>0.64652777777777781</v>
      </c>
      <c r="C1653" s="12" t="str">
        <f>"FES1162672669"</f>
        <v>FES1162672669</v>
      </c>
      <c r="D1653" s="12" t="s">
        <v>18</v>
      </c>
      <c r="E1653" s="12" t="s">
        <v>114</v>
      </c>
      <c r="F1653" s="12" t="str">
        <f>"2170673959 "</f>
        <v xml:space="preserve">2170673959 </v>
      </c>
      <c r="G1653" s="12" t="str">
        <f t="shared" si="52"/>
        <v>ON1</v>
      </c>
      <c r="H1653" s="12" t="s">
        <v>20</v>
      </c>
      <c r="I1653" s="12" t="s">
        <v>111</v>
      </c>
      <c r="J1653" s="12" t="str">
        <f>""</f>
        <v/>
      </c>
      <c r="K1653" s="12" t="str">
        <f>"PFES1162672669_0001"</f>
        <v>PFES1162672669_0001</v>
      </c>
      <c r="L1653" s="12">
        <v>1</v>
      </c>
      <c r="M1653" s="12">
        <v>3</v>
      </c>
    </row>
    <row r="1654" spans="1:13">
      <c r="A1654" s="6">
        <v>43508</v>
      </c>
      <c r="B1654" s="7">
        <v>0.64583333333333337</v>
      </c>
      <c r="C1654" s="12" t="str">
        <f>"FES1162672658"</f>
        <v>FES1162672658</v>
      </c>
      <c r="D1654" s="12" t="s">
        <v>18</v>
      </c>
      <c r="E1654" s="12" t="s">
        <v>451</v>
      </c>
      <c r="F1654" s="12" t="str">
        <f>"2170673943 "</f>
        <v xml:space="preserve">2170673943 </v>
      </c>
      <c r="G1654" s="12" t="str">
        <f t="shared" si="52"/>
        <v>ON1</v>
      </c>
      <c r="H1654" s="12" t="s">
        <v>20</v>
      </c>
      <c r="I1654" s="12" t="s">
        <v>149</v>
      </c>
      <c r="J1654" s="12" t="str">
        <f>""</f>
        <v/>
      </c>
      <c r="K1654" s="12" t="str">
        <f>"PFES1162672658_0001"</f>
        <v>PFES1162672658_0001</v>
      </c>
      <c r="L1654" s="12">
        <v>1</v>
      </c>
      <c r="M1654" s="12">
        <v>4</v>
      </c>
    </row>
    <row r="1655" spans="1:13">
      <c r="A1655" s="6">
        <v>43508</v>
      </c>
      <c r="B1655" s="7">
        <v>0.64513888888888882</v>
      </c>
      <c r="C1655" s="12" t="str">
        <f>"FES1162672625"</f>
        <v>FES1162672625</v>
      </c>
      <c r="D1655" s="12" t="s">
        <v>18</v>
      </c>
      <c r="E1655" s="12" t="s">
        <v>798</v>
      </c>
      <c r="F1655" s="12" t="str">
        <f>"2170673855 "</f>
        <v xml:space="preserve">2170673855 </v>
      </c>
      <c r="G1655" s="12" t="str">
        <f t="shared" si="52"/>
        <v>ON1</v>
      </c>
      <c r="H1655" s="12" t="s">
        <v>20</v>
      </c>
      <c r="I1655" s="12" t="s">
        <v>708</v>
      </c>
      <c r="J1655" s="12" t="str">
        <f>""</f>
        <v/>
      </c>
      <c r="K1655" s="12" t="str">
        <f>"PFES1162672625_0001"</f>
        <v>PFES1162672625_0001</v>
      </c>
      <c r="L1655" s="12">
        <v>1</v>
      </c>
      <c r="M1655" s="12">
        <v>1</v>
      </c>
    </row>
    <row r="1656" spans="1:13">
      <c r="A1656" s="6">
        <v>43508</v>
      </c>
      <c r="B1656" s="7">
        <v>0.52013888888888882</v>
      </c>
      <c r="C1656" s="12" t="str">
        <f>"FES1162672439"</f>
        <v>FES1162672439</v>
      </c>
      <c r="D1656" s="12" t="s">
        <v>18</v>
      </c>
      <c r="E1656" s="12" t="s">
        <v>136</v>
      </c>
      <c r="F1656" s="12" t="str">
        <f>"2170671141 "</f>
        <v xml:space="preserve">2170671141 </v>
      </c>
      <c r="G1656" s="12" t="str">
        <f t="shared" si="52"/>
        <v>ON1</v>
      </c>
      <c r="H1656" s="12" t="s">
        <v>20</v>
      </c>
      <c r="I1656" s="12" t="s">
        <v>137</v>
      </c>
      <c r="J1656" s="12" t="str">
        <f>""</f>
        <v/>
      </c>
      <c r="K1656" s="12" t="str">
        <f>"PFES1162672439_0001"</f>
        <v>PFES1162672439_0001</v>
      </c>
      <c r="L1656" s="12">
        <v>1</v>
      </c>
      <c r="M1656" s="12">
        <v>2</v>
      </c>
    </row>
    <row r="1657" spans="1:13">
      <c r="A1657" s="6">
        <v>43508</v>
      </c>
      <c r="B1657" s="7">
        <v>0.52013888888888882</v>
      </c>
      <c r="C1657" s="12" t="str">
        <f>"FES1162672493"</f>
        <v>FES1162672493</v>
      </c>
      <c r="D1657" s="12" t="s">
        <v>18</v>
      </c>
      <c r="E1657" s="12" t="s">
        <v>306</v>
      </c>
      <c r="F1657" s="12" t="str">
        <f>"2170673665 "</f>
        <v xml:space="preserve">2170673665 </v>
      </c>
      <c r="G1657" s="12" t="str">
        <f t="shared" si="52"/>
        <v>ON1</v>
      </c>
      <c r="H1657" s="12" t="s">
        <v>20</v>
      </c>
      <c r="I1657" s="12" t="s">
        <v>228</v>
      </c>
      <c r="J1657" s="12" t="str">
        <f>""</f>
        <v/>
      </c>
      <c r="K1657" s="12" t="str">
        <f>"PFES1162672493_0001"</f>
        <v>PFES1162672493_0001</v>
      </c>
      <c r="L1657" s="12">
        <v>1</v>
      </c>
      <c r="M1657" s="12">
        <v>1</v>
      </c>
    </row>
    <row r="1658" spans="1:13">
      <c r="A1658" s="6">
        <v>43508</v>
      </c>
      <c r="B1658" s="7">
        <v>0.52013888888888882</v>
      </c>
      <c r="C1658" s="12" t="str">
        <f>"FES1162672420"</f>
        <v>FES1162672420</v>
      </c>
      <c r="D1658" s="12" t="s">
        <v>18</v>
      </c>
      <c r="E1658" s="12" t="s">
        <v>431</v>
      </c>
      <c r="F1658" s="12" t="str">
        <f>"2170673756 "</f>
        <v xml:space="preserve">2170673756 </v>
      </c>
      <c r="G1658" s="12" t="str">
        <f t="shared" si="52"/>
        <v>ON1</v>
      </c>
      <c r="H1658" s="12" t="s">
        <v>20</v>
      </c>
      <c r="I1658" s="12" t="s">
        <v>25</v>
      </c>
      <c r="J1658" s="12" t="str">
        <f>""</f>
        <v/>
      </c>
      <c r="K1658" s="12" t="str">
        <f>"PFES1162672420_0001"</f>
        <v>PFES1162672420_0001</v>
      </c>
      <c r="L1658" s="12">
        <v>1</v>
      </c>
      <c r="M1658" s="12">
        <v>1</v>
      </c>
    </row>
    <row r="1659" spans="1:13">
      <c r="A1659" s="6">
        <v>43508</v>
      </c>
      <c r="B1659" s="7">
        <v>0.51944444444444449</v>
      </c>
      <c r="C1659" s="12" t="str">
        <f>"FES1162672486"</f>
        <v>FES1162672486</v>
      </c>
      <c r="D1659" s="12" t="s">
        <v>18</v>
      </c>
      <c r="E1659" s="12" t="s">
        <v>846</v>
      </c>
      <c r="F1659" s="12" t="str">
        <f>"217067931 "</f>
        <v xml:space="preserve">217067931 </v>
      </c>
      <c r="G1659" s="12" t="str">
        <f t="shared" si="52"/>
        <v>ON1</v>
      </c>
      <c r="H1659" s="12" t="s">
        <v>20</v>
      </c>
      <c r="I1659" s="12" t="s">
        <v>650</v>
      </c>
      <c r="J1659" s="12" t="str">
        <f>""</f>
        <v/>
      </c>
      <c r="K1659" s="12" t="str">
        <f>"PFES1162672486_0001"</f>
        <v>PFES1162672486_0001</v>
      </c>
      <c r="L1659" s="12">
        <v>1</v>
      </c>
      <c r="M1659" s="12">
        <v>1</v>
      </c>
    </row>
    <row r="1660" spans="1:13">
      <c r="A1660" s="6">
        <v>43508</v>
      </c>
      <c r="B1660" s="7">
        <v>0.51944444444444449</v>
      </c>
      <c r="C1660" s="12" t="str">
        <f>"FES1162672444"</f>
        <v>FES1162672444</v>
      </c>
      <c r="D1660" s="12" t="s">
        <v>18</v>
      </c>
      <c r="E1660" s="12" t="s">
        <v>847</v>
      </c>
      <c r="F1660" s="12" t="str">
        <f>"2170673702 "</f>
        <v xml:space="preserve">2170673702 </v>
      </c>
      <c r="G1660" s="12" t="str">
        <f t="shared" si="52"/>
        <v>ON1</v>
      </c>
      <c r="H1660" s="12" t="s">
        <v>20</v>
      </c>
      <c r="I1660" s="12" t="s">
        <v>228</v>
      </c>
      <c r="J1660" s="12" t="str">
        <f>""</f>
        <v/>
      </c>
      <c r="K1660" s="12" t="str">
        <f>"PFES1162672444_0001"</f>
        <v>PFES1162672444_0001</v>
      </c>
      <c r="L1660" s="12">
        <v>1</v>
      </c>
      <c r="M1660" s="12">
        <v>1</v>
      </c>
    </row>
    <row r="1661" spans="1:13">
      <c r="A1661" s="6">
        <v>43508</v>
      </c>
      <c r="B1661" s="7">
        <v>0.51874999999999993</v>
      </c>
      <c r="C1661" s="12" t="str">
        <f>"FES1162672477"</f>
        <v>FES1162672477</v>
      </c>
      <c r="D1661" s="12" t="s">
        <v>18</v>
      </c>
      <c r="E1661" s="12" t="s">
        <v>399</v>
      </c>
      <c r="F1661" s="12" t="str">
        <f>"21706726362 "</f>
        <v xml:space="preserve">21706726362 </v>
      </c>
      <c r="G1661" s="12" t="str">
        <f t="shared" si="52"/>
        <v>ON1</v>
      </c>
      <c r="H1661" s="12" t="s">
        <v>20</v>
      </c>
      <c r="I1661" s="12" t="s">
        <v>29</v>
      </c>
      <c r="J1661" s="12" t="str">
        <f>""</f>
        <v/>
      </c>
      <c r="K1661" s="12" t="str">
        <f>"PFES1162672477_0001"</f>
        <v>PFES1162672477_0001</v>
      </c>
      <c r="L1661" s="12">
        <v>1</v>
      </c>
      <c r="M1661" s="12">
        <v>1</v>
      </c>
    </row>
    <row r="1662" spans="1:13">
      <c r="A1662" s="6">
        <v>43508</v>
      </c>
      <c r="B1662" s="7">
        <v>0.5180555555555556</v>
      </c>
      <c r="C1662" s="12" t="str">
        <f>"FES1162672459"</f>
        <v>FES1162672459</v>
      </c>
      <c r="D1662" s="12" t="s">
        <v>18</v>
      </c>
      <c r="E1662" s="12" t="s">
        <v>305</v>
      </c>
      <c r="F1662" s="12" t="str">
        <f>"2170670791 "</f>
        <v xml:space="preserve">2170670791 </v>
      </c>
      <c r="G1662" s="12" t="str">
        <f t="shared" si="52"/>
        <v>ON1</v>
      </c>
      <c r="H1662" s="12" t="s">
        <v>20</v>
      </c>
      <c r="I1662" s="12" t="s">
        <v>197</v>
      </c>
      <c r="J1662" s="12" t="str">
        <f>""</f>
        <v/>
      </c>
      <c r="K1662" s="12" t="str">
        <f>"PFES1162672459_0001"</f>
        <v>PFES1162672459_0001</v>
      </c>
      <c r="L1662" s="12">
        <v>1</v>
      </c>
      <c r="M1662" s="12">
        <v>1</v>
      </c>
    </row>
    <row r="1663" spans="1:13">
      <c r="A1663" s="6">
        <v>43508</v>
      </c>
      <c r="B1663" s="7">
        <v>0.51736111111111105</v>
      </c>
      <c r="C1663" s="12" t="str">
        <f>"FES1162672524"</f>
        <v>FES1162672524</v>
      </c>
      <c r="D1663" s="12" t="s">
        <v>18</v>
      </c>
      <c r="E1663" s="12" t="s">
        <v>19</v>
      </c>
      <c r="F1663" s="12" t="str">
        <f>"2170670818 "</f>
        <v xml:space="preserve">2170670818 </v>
      </c>
      <c r="G1663" s="12" t="str">
        <f t="shared" si="52"/>
        <v>ON1</v>
      </c>
      <c r="H1663" s="12" t="s">
        <v>20</v>
      </c>
      <c r="I1663" s="12" t="s">
        <v>21</v>
      </c>
      <c r="J1663" s="12" t="str">
        <f>""</f>
        <v/>
      </c>
      <c r="K1663" s="12" t="str">
        <f>"PFES1162672524_0001"</f>
        <v>PFES1162672524_0001</v>
      </c>
      <c r="L1663" s="12">
        <v>1</v>
      </c>
      <c r="M1663" s="12">
        <v>1</v>
      </c>
    </row>
    <row r="1664" spans="1:13">
      <c r="A1664" s="6">
        <v>43508</v>
      </c>
      <c r="B1664" s="7">
        <v>0.51041666666666663</v>
      </c>
      <c r="C1664" s="12" t="str">
        <f>"FES1162672558"</f>
        <v>FES1162672558</v>
      </c>
      <c r="D1664" s="12" t="s">
        <v>18</v>
      </c>
      <c r="E1664" s="12" t="s">
        <v>176</v>
      </c>
      <c r="F1664" s="12" t="str">
        <f>"2170673824 "</f>
        <v xml:space="preserve">2170673824 </v>
      </c>
      <c r="G1664" s="12" t="str">
        <f t="shared" si="52"/>
        <v>ON1</v>
      </c>
      <c r="H1664" s="12" t="s">
        <v>20</v>
      </c>
      <c r="I1664" s="12" t="s">
        <v>177</v>
      </c>
      <c r="J1664" s="12" t="str">
        <f>""</f>
        <v/>
      </c>
      <c r="K1664" s="12" t="str">
        <f>"PFES1162672558_0001"</f>
        <v>PFES1162672558_0001</v>
      </c>
      <c r="L1664" s="12">
        <v>1</v>
      </c>
      <c r="M1664" s="12">
        <v>1</v>
      </c>
    </row>
    <row r="1665" spans="1:13">
      <c r="A1665" s="6">
        <v>43508</v>
      </c>
      <c r="B1665" s="7">
        <v>0.5083333333333333</v>
      </c>
      <c r="C1665" s="12" t="str">
        <f>"FES1162672501"</f>
        <v>FES1162672501</v>
      </c>
      <c r="D1665" s="12" t="s">
        <v>18</v>
      </c>
      <c r="E1665" s="12" t="s">
        <v>246</v>
      </c>
      <c r="F1665" s="12" t="str">
        <f>"2170673769 "</f>
        <v xml:space="preserve">2170673769 </v>
      </c>
      <c r="G1665" s="12" t="str">
        <f t="shared" si="52"/>
        <v>ON1</v>
      </c>
      <c r="H1665" s="12" t="s">
        <v>20</v>
      </c>
      <c r="I1665" s="12" t="s">
        <v>53</v>
      </c>
      <c r="J1665" s="12" t="str">
        <f>""</f>
        <v/>
      </c>
      <c r="K1665" s="12" t="str">
        <f>"PFES1162672501_0001"</f>
        <v>PFES1162672501_0001</v>
      </c>
      <c r="L1665" s="12">
        <v>1</v>
      </c>
      <c r="M1665" s="12">
        <v>1</v>
      </c>
    </row>
    <row r="1666" spans="1:13">
      <c r="A1666" s="6">
        <v>43508</v>
      </c>
      <c r="B1666" s="7">
        <v>0.50763888888888886</v>
      </c>
      <c r="C1666" s="12" t="str">
        <f>"FES1162672528"</f>
        <v>FES1162672528</v>
      </c>
      <c r="D1666" s="12" t="s">
        <v>18</v>
      </c>
      <c r="E1666" s="12" t="s">
        <v>92</v>
      </c>
      <c r="F1666" s="12" t="str">
        <f>"2170671210 "</f>
        <v xml:space="preserve">2170671210 </v>
      </c>
      <c r="G1666" s="12" t="str">
        <f t="shared" si="52"/>
        <v>ON1</v>
      </c>
      <c r="H1666" s="12" t="s">
        <v>20</v>
      </c>
      <c r="I1666" s="12" t="s">
        <v>93</v>
      </c>
      <c r="J1666" s="12" t="str">
        <f>""</f>
        <v/>
      </c>
      <c r="K1666" s="12" t="str">
        <f>"PFES1162672528_0001"</f>
        <v>PFES1162672528_0001</v>
      </c>
      <c r="L1666" s="12">
        <v>1</v>
      </c>
      <c r="M1666" s="12">
        <v>1</v>
      </c>
    </row>
    <row r="1667" spans="1:13">
      <c r="A1667" s="6">
        <v>43508</v>
      </c>
      <c r="B1667" s="7">
        <v>0.50763888888888886</v>
      </c>
      <c r="C1667" s="12" t="str">
        <f>"FES1162672424"</f>
        <v>FES1162672424</v>
      </c>
      <c r="D1667" s="12" t="s">
        <v>18</v>
      </c>
      <c r="E1667" s="12" t="s">
        <v>229</v>
      </c>
      <c r="F1667" s="12" t="str">
        <f>"2170673760 "</f>
        <v xml:space="preserve">2170673760 </v>
      </c>
      <c r="G1667" s="12" t="str">
        <f t="shared" si="52"/>
        <v>ON1</v>
      </c>
      <c r="H1667" s="12" t="s">
        <v>20</v>
      </c>
      <c r="I1667" s="12" t="s">
        <v>111</v>
      </c>
      <c r="J1667" s="12" t="str">
        <f>""</f>
        <v/>
      </c>
      <c r="K1667" s="12" t="str">
        <f>"PFES1162672424_0001"</f>
        <v>PFES1162672424_0001</v>
      </c>
      <c r="L1667" s="12">
        <v>1</v>
      </c>
      <c r="M1667" s="12">
        <v>1</v>
      </c>
    </row>
    <row r="1668" spans="1:13">
      <c r="A1668" s="6">
        <v>43508</v>
      </c>
      <c r="B1668" s="7">
        <v>0.50763888888888886</v>
      </c>
      <c r="C1668" s="12" t="str">
        <f>"FES1162672526"</f>
        <v>FES1162672526</v>
      </c>
      <c r="D1668" s="12" t="s">
        <v>18</v>
      </c>
      <c r="E1668" s="12" t="s">
        <v>92</v>
      </c>
      <c r="F1668" s="12" t="str">
        <f>"2170671904 "</f>
        <v xml:space="preserve">2170671904 </v>
      </c>
      <c r="G1668" s="12" t="str">
        <f t="shared" si="52"/>
        <v>ON1</v>
      </c>
      <c r="H1668" s="12" t="s">
        <v>20</v>
      </c>
      <c r="I1668" s="12" t="s">
        <v>93</v>
      </c>
      <c r="J1668" s="12" t="str">
        <f>""</f>
        <v/>
      </c>
      <c r="K1668" s="12" t="str">
        <f>"PFES1162672526_0001"</f>
        <v>PFES1162672526_0001</v>
      </c>
      <c r="L1668" s="12">
        <v>1</v>
      </c>
      <c r="M1668" s="12">
        <v>1</v>
      </c>
    </row>
    <row r="1669" spans="1:13">
      <c r="A1669" s="6">
        <v>43508</v>
      </c>
      <c r="B1669" s="7">
        <v>0.50694444444444442</v>
      </c>
      <c r="C1669" s="12" t="str">
        <f>"FES1162672522"</f>
        <v>FES1162672522</v>
      </c>
      <c r="D1669" s="12" t="s">
        <v>18</v>
      </c>
      <c r="E1669" s="12" t="s">
        <v>461</v>
      </c>
      <c r="F1669" s="12" t="str">
        <f>"2170670502 "</f>
        <v xml:space="preserve">2170670502 </v>
      </c>
      <c r="G1669" s="12" t="str">
        <f t="shared" si="52"/>
        <v>ON1</v>
      </c>
      <c r="H1669" s="12" t="s">
        <v>20</v>
      </c>
      <c r="I1669" s="12" t="s">
        <v>406</v>
      </c>
      <c r="J1669" s="12" t="str">
        <f>""</f>
        <v/>
      </c>
      <c r="K1669" s="12" t="str">
        <f>"PFES1162672522_0001"</f>
        <v>PFES1162672522_0001</v>
      </c>
      <c r="L1669" s="12">
        <v>1</v>
      </c>
      <c r="M1669" s="12">
        <v>1</v>
      </c>
    </row>
    <row r="1670" spans="1:13">
      <c r="A1670" s="6">
        <v>43508</v>
      </c>
      <c r="B1670" s="7">
        <v>0.50694444444444442</v>
      </c>
      <c r="C1670" s="12" t="str">
        <f>"FES1162672514"</f>
        <v>FES1162672514</v>
      </c>
      <c r="D1670" s="12" t="s">
        <v>18</v>
      </c>
      <c r="E1670" s="12" t="s">
        <v>301</v>
      </c>
      <c r="F1670" s="12" t="str">
        <f>"2170668190 "</f>
        <v xml:space="preserve">2170668190 </v>
      </c>
      <c r="G1670" s="12" t="str">
        <f t="shared" si="52"/>
        <v>ON1</v>
      </c>
      <c r="H1670" s="12" t="s">
        <v>20</v>
      </c>
      <c r="I1670" s="12" t="s">
        <v>113</v>
      </c>
      <c r="J1670" s="12" t="str">
        <f>""</f>
        <v/>
      </c>
      <c r="K1670" s="12" t="str">
        <f>"PFES1162672514_0001"</f>
        <v>PFES1162672514_0001</v>
      </c>
      <c r="L1670" s="12">
        <v>1</v>
      </c>
      <c r="M1670" s="12">
        <v>1</v>
      </c>
    </row>
    <row r="1671" spans="1:13">
      <c r="A1671" s="6">
        <v>43508</v>
      </c>
      <c r="B1671" s="7">
        <v>0.50694444444444442</v>
      </c>
      <c r="C1671" s="12" t="str">
        <f>"FES1162672451"</f>
        <v>FES1162672451</v>
      </c>
      <c r="D1671" s="12" t="s">
        <v>18</v>
      </c>
      <c r="E1671" s="12" t="s">
        <v>47</v>
      </c>
      <c r="F1671" s="12" t="str">
        <f>"2170666872 "</f>
        <v xml:space="preserve">2170666872 </v>
      </c>
      <c r="G1671" s="12" t="str">
        <f t="shared" si="52"/>
        <v>ON1</v>
      </c>
      <c r="H1671" s="12" t="s">
        <v>20</v>
      </c>
      <c r="I1671" s="12" t="s">
        <v>48</v>
      </c>
      <c r="J1671" s="12" t="str">
        <f>""</f>
        <v/>
      </c>
      <c r="K1671" s="12" t="str">
        <f>"PFES1162672451_0001"</f>
        <v>PFES1162672451_0001</v>
      </c>
      <c r="L1671" s="12">
        <v>1</v>
      </c>
      <c r="M1671" s="12">
        <v>1</v>
      </c>
    </row>
    <row r="1672" spans="1:13">
      <c r="A1672" s="6">
        <v>43508</v>
      </c>
      <c r="B1672" s="7">
        <v>0.50624999999999998</v>
      </c>
      <c r="C1672" s="12" t="str">
        <f>"FES1162672518"</f>
        <v>FES1162672518</v>
      </c>
      <c r="D1672" s="12" t="s">
        <v>18</v>
      </c>
      <c r="E1672" s="12" t="s">
        <v>687</v>
      </c>
      <c r="F1672" s="12" t="str">
        <f>"2170669832 "</f>
        <v xml:space="preserve">2170669832 </v>
      </c>
      <c r="G1672" s="12" t="str">
        <f t="shared" si="52"/>
        <v>ON1</v>
      </c>
      <c r="H1672" s="12" t="s">
        <v>20</v>
      </c>
      <c r="I1672" s="12" t="s">
        <v>688</v>
      </c>
      <c r="J1672" s="12" t="str">
        <f>""</f>
        <v/>
      </c>
      <c r="K1672" s="12" t="str">
        <f>"PFES1162672518_0001"</f>
        <v>PFES1162672518_0001</v>
      </c>
      <c r="L1672" s="12">
        <v>1</v>
      </c>
      <c r="M1672" s="12">
        <v>1</v>
      </c>
    </row>
    <row r="1673" spans="1:13">
      <c r="A1673" s="6">
        <v>43508</v>
      </c>
      <c r="B1673" s="7">
        <v>0.49791666666666662</v>
      </c>
      <c r="C1673" s="12" t="str">
        <f>"FES1162672540"</f>
        <v>FES1162672540</v>
      </c>
      <c r="D1673" s="12" t="s">
        <v>18</v>
      </c>
      <c r="E1673" s="12" t="s">
        <v>160</v>
      </c>
      <c r="F1673" s="12" t="str">
        <f>"2170673798 "</f>
        <v xml:space="preserve">2170673798 </v>
      </c>
      <c r="G1673" s="12" t="str">
        <f t="shared" si="52"/>
        <v>ON1</v>
      </c>
      <c r="H1673" s="12" t="s">
        <v>20</v>
      </c>
      <c r="I1673" s="12" t="s">
        <v>161</v>
      </c>
      <c r="J1673" s="12" t="str">
        <f>""</f>
        <v/>
      </c>
      <c r="K1673" s="12" t="str">
        <f>"PFES1162672540_0001"</f>
        <v>PFES1162672540_0001</v>
      </c>
      <c r="L1673" s="12">
        <v>1</v>
      </c>
      <c r="M1673" s="12">
        <v>1</v>
      </c>
    </row>
    <row r="1674" spans="1:13">
      <c r="A1674" s="6">
        <v>43508</v>
      </c>
      <c r="B1674" s="7">
        <v>0.49722222222222223</v>
      </c>
      <c r="C1674" s="12" t="str">
        <f>"FES1162672464"</f>
        <v>FES1162672464</v>
      </c>
      <c r="D1674" s="12" t="s">
        <v>18</v>
      </c>
      <c r="E1674" s="12" t="s">
        <v>98</v>
      </c>
      <c r="F1674" s="12" t="str">
        <f>"2170671344 "</f>
        <v xml:space="preserve">2170671344 </v>
      </c>
      <c r="G1674" s="12" t="str">
        <f t="shared" si="52"/>
        <v>ON1</v>
      </c>
      <c r="H1674" s="12" t="s">
        <v>20</v>
      </c>
      <c r="I1674" s="12" t="s">
        <v>99</v>
      </c>
      <c r="J1674" s="12" t="str">
        <f>""</f>
        <v/>
      </c>
      <c r="K1674" s="12" t="str">
        <f>"PFES1162672464_0001"</f>
        <v>PFES1162672464_0001</v>
      </c>
      <c r="L1674" s="12">
        <v>1</v>
      </c>
      <c r="M1674" s="12">
        <v>1</v>
      </c>
    </row>
    <row r="1675" spans="1:13">
      <c r="A1675" s="6">
        <v>43508</v>
      </c>
      <c r="B1675" s="7">
        <v>0.49722222222222223</v>
      </c>
      <c r="C1675" s="12" t="str">
        <f>"FES1162672481"</f>
        <v>FES1162672481</v>
      </c>
      <c r="D1675" s="12" t="s">
        <v>18</v>
      </c>
      <c r="E1675" s="12" t="s">
        <v>178</v>
      </c>
      <c r="F1675" s="12" t="str">
        <f>"2170672806 "</f>
        <v xml:space="preserve">2170672806 </v>
      </c>
      <c r="G1675" s="12" t="str">
        <f t="shared" si="52"/>
        <v>ON1</v>
      </c>
      <c r="H1675" s="12" t="s">
        <v>20</v>
      </c>
      <c r="I1675" s="12" t="s">
        <v>31</v>
      </c>
      <c r="J1675" s="12" t="str">
        <f>""</f>
        <v/>
      </c>
      <c r="K1675" s="12" t="str">
        <f>"PFES1162672481_0001"</f>
        <v>PFES1162672481_0001</v>
      </c>
      <c r="L1675" s="12">
        <v>1</v>
      </c>
      <c r="M1675" s="12">
        <v>1</v>
      </c>
    </row>
    <row r="1676" spans="1:13">
      <c r="A1676" s="6">
        <v>43508</v>
      </c>
      <c r="B1676" s="7">
        <v>0.49652777777777773</v>
      </c>
      <c r="C1676" s="12" t="str">
        <f>"FES1162672531"</f>
        <v>FES1162672531</v>
      </c>
      <c r="D1676" s="12" t="s">
        <v>18</v>
      </c>
      <c r="E1676" s="12" t="s">
        <v>162</v>
      </c>
      <c r="F1676" s="12" t="str">
        <f>"2170671681 "</f>
        <v xml:space="preserve">2170671681 </v>
      </c>
      <c r="G1676" s="12" t="str">
        <f t="shared" si="52"/>
        <v>ON1</v>
      </c>
      <c r="H1676" s="12" t="s">
        <v>20</v>
      </c>
      <c r="I1676" s="12" t="s">
        <v>163</v>
      </c>
      <c r="J1676" s="12" t="str">
        <f>""</f>
        <v/>
      </c>
      <c r="K1676" s="12" t="str">
        <f>"PFES1162672531_0001"</f>
        <v>PFES1162672531_0001</v>
      </c>
      <c r="L1676" s="12">
        <v>1</v>
      </c>
      <c r="M1676" s="12">
        <v>1</v>
      </c>
    </row>
    <row r="1677" spans="1:13">
      <c r="A1677" s="6">
        <v>43508</v>
      </c>
      <c r="B1677" s="7">
        <v>0.49652777777777773</v>
      </c>
      <c r="C1677" s="12" t="str">
        <f>"FES1162672491"</f>
        <v>FES1162672491</v>
      </c>
      <c r="D1677" s="12" t="s">
        <v>18</v>
      </c>
      <c r="E1677" s="12" t="s">
        <v>358</v>
      </c>
      <c r="F1677" s="12" t="str">
        <f>"2170673484 "</f>
        <v xml:space="preserve">2170673484 </v>
      </c>
      <c r="G1677" s="12" t="str">
        <f t="shared" si="52"/>
        <v>ON1</v>
      </c>
      <c r="H1677" s="12" t="s">
        <v>20</v>
      </c>
      <c r="I1677" s="12" t="s">
        <v>359</v>
      </c>
      <c r="J1677" s="12" t="str">
        <f>""</f>
        <v/>
      </c>
      <c r="K1677" s="12" t="str">
        <f>"PFES1162672491_0001"</f>
        <v>PFES1162672491_0001</v>
      </c>
      <c r="L1677" s="12">
        <v>1</v>
      </c>
      <c r="M1677" s="12">
        <v>1</v>
      </c>
    </row>
    <row r="1678" spans="1:13">
      <c r="A1678" s="6">
        <v>43508</v>
      </c>
      <c r="B1678" s="7">
        <v>0.49652777777777773</v>
      </c>
      <c r="C1678" s="12" t="str">
        <f>"FES1162672473"</f>
        <v>FES1162672473</v>
      </c>
      <c r="D1678" s="12" t="s">
        <v>18</v>
      </c>
      <c r="E1678" s="12" t="s">
        <v>162</v>
      </c>
      <c r="F1678" s="12" t="str">
        <f>"2170672486 "</f>
        <v xml:space="preserve">2170672486 </v>
      </c>
      <c r="G1678" s="12" t="str">
        <f t="shared" si="52"/>
        <v>ON1</v>
      </c>
      <c r="H1678" s="12" t="s">
        <v>20</v>
      </c>
      <c r="I1678" s="12" t="s">
        <v>163</v>
      </c>
      <c r="J1678" s="12" t="str">
        <f>""</f>
        <v/>
      </c>
      <c r="K1678" s="12" t="str">
        <f>"PFES1162672473_0001"</f>
        <v>PFES1162672473_0001</v>
      </c>
      <c r="L1678" s="12">
        <v>1</v>
      </c>
      <c r="M1678" s="12">
        <v>1</v>
      </c>
    </row>
    <row r="1679" spans="1:13">
      <c r="A1679" s="6">
        <v>43508</v>
      </c>
      <c r="B1679" s="7">
        <v>0.49583333333333335</v>
      </c>
      <c r="C1679" s="12" t="str">
        <f>"FES1162672506"</f>
        <v>FES1162672506</v>
      </c>
      <c r="D1679" s="12" t="s">
        <v>18</v>
      </c>
      <c r="E1679" s="12" t="s">
        <v>848</v>
      </c>
      <c r="F1679" s="12" t="str">
        <f>"2170673780 "</f>
        <v xml:space="preserve">2170673780 </v>
      </c>
      <c r="G1679" s="12" t="str">
        <f t="shared" si="52"/>
        <v>ON1</v>
      </c>
      <c r="H1679" s="12" t="s">
        <v>20</v>
      </c>
      <c r="I1679" s="12" t="s">
        <v>163</v>
      </c>
      <c r="J1679" s="12" t="str">
        <f>""</f>
        <v/>
      </c>
      <c r="K1679" s="12" t="str">
        <f>"PFES1162672506_0001"</f>
        <v>PFES1162672506_0001</v>
      </c>
      <c r="L1679" s="12">
        <v>1</v>
      </c>
      <c r="M1679" s="12">
        <v>1</v>
      </c>
    </row>
    <row r="1680" spans="1:13">
      <c r="A1680" s="6">
        <v>43508</v>
      </c>
      <c r="B1680" s="7">
        <v>0.49583333333333335</v>
      </c>
      <c r="C1680" s="12" t="str">
        <f>"FES1162672426"</f>
        <v>FES1162672426</v>
      </c>
      <c r="D1680" s="12" t="s">
        <v>18</v>
      </c>
      <c r="E1680" s="12" t="s">
        <v>129</v>
      </c>
      <c r="F1680" s="12" t="str">
        <f>"2170661304 "</f>
        <v xml:space="preserve">2170661304 </v>
      </c>
      <c r="G1680" s="12" t="str">
        <f t="shared" si="52"/>
        <v>ON1</v>
      </c>
      <c r="H1680" s="12" t="s">
        <v>20</v>
      </c>
      <c r="I1680" s="12" t="s">
        <v>130</v>
      </c>
      <c r="J1680" s="12" t="str">
        <f>""</f>
        <v/>
      </c>
      <c r="K1680" s="12" t="str">
        <f>"PFES1162672426_0001"</f>
        <v>PFES1162672426_0001</v>
      </c>
      <c r="L1680" s="12">
        <v>1</v>
      </c>
      <c r="M1680" s="12">
        <v>1</v>
      </c>
    </row>
    <row r="1681" spans="1:13">
      <c r="A1681" s="6">
        <v>43508</v>
      </c>
      <c r="B1681" s="7">
        <v>0.49513888888888885</v>
      </c>
      <c r="C1681" s="12" t="str">
        <f>"FES1162672515"</f>
        <v>FES1162672515</v>
      </c>
      <c r="D1681" s="12" t="s">
        <v>18</v>
      </c>
      <c r="E1681" s="12" t="s">
        <v>120</v>
      </c>
      <c r="F1681" s="12" t="str">
        <f>"2170669311 "</f>
        <v xml:space="preserve">2170669311 </v>
      </c>
      <c r="G1681" s="12" t="str">
        <f t="shared" si="52"/>
        <v>ON1</v>
      </c>
      <c r="H1681" s="12" t="s">
        <v>20</v>
      </c>
      <c r="I1681" s="12" t="s">
        <v>121</v>
      </c>
      <c r="J1681" s="12" t="str">
        <f>""</f>
        <v/>
      </c>
      <c r="K1681" s="12" t="str">
        <f>"PFES1162672515_0001"</f>
        <v>PFES1162672515_0001</v>
      </c>
      <c r="L1681" s="12">
        <v>1</v>
      </c>
      <c r="M1681" s="12">
        <v>1</v>
      </c>
    </row>
    <row r="1682" spans="1:13">
      <c r="A1682" s="6">
        <v>43508</v>
      </c>
      <c r="B1682" s="7">
        <v>0.49513888888888885</v>
      </c>
      <c r="C1682" s="12" t="str">
        <f>"FES1162672474"</f>
        <v>FES1162672474</v>
      </c>
      <c r="D1682" s="12" t="s">
        <v>18</v>
      </c>
      <c r="E1682" s="12" t="s">
        <v>162</v>
      </c>
      <c r="F1682" s="12" t="str">
        <f>"2170672487 "</f>
        <v xml:space="preserve">2170672487 </v>
      </c>
      <c r="G1682" s="12" t="str">
        <f t="shared" si="52"/>
        <v>ON1</v>
      </c>
      <c r="H1682" s="12" t="s">
        <v>20</v>
      </c>
      <c r="I1682" s="12" t="s">
        <v>163</v>
      </c>
      <c r="J1682" s="12" t="str">
        <f>""</f>
        <v/>
      </c>
      <c r="K1682" s="12" t="str">
        <f>"PFES1162672474_0001"</f>
        <v>PFES1162672474_0001</v>
      </c>
      <c r="L1682" s="12">
        <v>1</v>
      </c>
      <c r="M1682" s="12">
        <v>1</v>
      </c>
    </row>
    <row r="1683" spans="1:13">
      <c r="A1683" s="6">
        <v>43508</v>
      </c>
      <c r="B1683" s="7">
        <v>0.49513888888888885</v>
      </c>
      <c r="C1683" s="12" t="str">
        <f>"FES1162672487"</f>
        <v>FES1162672487</v>
      </c>
      <c r="D1683" s="12" t="s">
        <v>18</v>
      </c>
      <c r="E1683" s="12" t="s">
        <v>255</v>
      </c>
      <c r="F1683" s="12" t="str">
        <f>"2170673009 "</f>
        <v xml:space="preserve">2170673009 </v>
      </c>
      <c r="G1683" s="12" t="str">
        <f t="shared" si="52"/>
        <v>ON1</v>
      </c>
      <c r="H1683" s="12" t="s">
        <v>20</v>
      </c>
      <c r="I1683" s="12" t="s">
        <v>256</v>
      </c>
      <c r="J1683" s="12" t="str">
        <f>""</f>
        <v/>
      </c>
      <c r="K1683" s="12" t="str">
        <f>"PFES1162672487_0001"</f>
        <v>PFES1162672487_0001</v>
      </c>
      <c r="L1683" s="12">
        <v>1</v>
      </c>
      <c r="M1683" s="12">
        <v>1</v>
      </c>
    </row>
    <row r="1684" spans="1:13">
      <c r="A1684" s="6">
        <v>43508</v>
      </c>
      <c r="B1684" s="7">
        <v>0.49444444444444446</v>
      </c>
      <c r="C1684" s="12" t="str">
        <f>"FES1162672500"</f>
        <v>FES1162672500</v>
      </c>
      <c r="D1684" s="12" t="s">
        <v>18</v>
      </c>
      <c r="E1684" s="12" t="s">
        <v>136</v>
      </c>
      <c r="F1684" s="12" t="str">
        <f>"2170673687 "</f>
        <v xml:space="preserve">2170673687 </v>
      </c>
      <c r="G1684" s="12" t="str">
        <f t="shared" si="52"/>
        <v>ON1</v>
      </c>
      <c r="H1684" s="12" t="s">
        <v>20</v>
      </c>
      <c r="I1684" s="12" t="s">
        <v>137</v>
      </c>
      <c r="J1684" s="12" t="str">
        <f>""</f>
        <v/>
      </c>
      <c r="K1684" s="12" t="str">
        <f>"PFES1162672500_0001"</f>
        <v>PFES1162672500_0001</v>
      </c>
      <c r="L1684" s="12">
        <v>1</v>
      </c>
      <c r="M1684" s="12">
        <v>1</v>
      </c>
    </row>
    <row r="1685" spans="1:13">
      <c r="A1685" s="6">
        <v>43508</v>
      </c>
      <c r="B1685" s="7">
        <v>0.49444444444444446</v>
      </c>
      <c r="C1685" s="12" t="str">
        <f>"FES1162672476"</f>
        <v>FES1162672476</v>
      </c>
      <c r="D1685" s="12" t="s">
        <v>18</v>
      </c>
      <c r="E1685" s="12" t="s">
        <v>501</v>
      </c>
      <c r="F1685" s="12" t="str">
        <f>"2170672583 "</f>
        <v xml:space="preserve">2170672583 </v>
      </c>
      <c r="G1685" s="12" t="str">
        <f t="shared" si="52"/>
        <v>ON1</v>
      </c>
      <c r="H1685" s="12" t="s">
        <v>20</v>
      </c>
      <c r="I1685" s="12" t="s">
        <v>286</v>
      </c>
      <c r="J1685" s="12" t="str">
        <f>""</f>
        <v/>
      </c>
      <c r="K1685" s="12" t="str">
        <f>"PFES1162672476_0001"</f>
        <v>PFES1162672476_0001</v>
      </c>
      <c r="L1685" s="12">
        <v>1</v>
      </c>
      <c r="M1685" s="12">
        <v>1</v>
      </c>
    </row>
    <row r="1686" spans="1:13">
      <c r="A1686" s="6">
        <v>43508</v>
      </c>
      <c r="B1686" s="7">
        <v>0.48749999999999999</v>
      </c>
      <c r="C1686" s="12" t="str">
        <f>"FES1162672498"</f>
        <v>FES1162672498</v>
      </c>
      <c r="D1686" s="12" t="s">
        <v>18</v>
      </c>
      <c r="E1686" s="12" t="s">
        <v>216</v>
      </c>
      <c r="F1686" s="12" t="str">
        <f>"2170673747 "</f>
        <v xml:space="preserve">2170673747 </v>
      </c>
      <c r="G1686" s="12" t="str">
        <f t="shared" si="52"/>
        <v>ON1</v>
      </c>
      <c r="H1686" s="12" t="s">
        <v>20</v>
      </c>
      <c r="I1686" s="12" t="s">
        <v>217</v>
      </c>
      <c r="J1686" s="12" t="str">
        <f>""</f>
        <v/>
      </c>
      <c r="K1686" s="12" t="str">
        <f>"PFES1162672498_0001"</f>
        <v>PFES1162672498_0001</v>
      </c>
      <c r="L1686" s="12">
        <v>1</v>
      </c>
      <c r="M1686" s="12">
        <v>4</v>
      </c>
    </row>
    <row r="1687" spans="1:13">
      <c r="A1687" s="6">
        <v>43508</v>
      </c>
      <c r="B1687" s="7">
        <v>0.48541666666666666</v>
      </c>
      <c r="C1687" s="12" t="str">
        <f>"FES1162672530"</f>
        <v>FES1162672530</v>
      </c>
      <c r="D1687" s="12" t="s">
        <v>18</v>
      </c>
      <c r="E1687" s="12" t="s">
        <v>739</v>
      </c>
      <c r="F1687" s="12" t="str">
        <f>"2170671637 "</f>
        <v xml:space="preserve">2170671637 </v>
      </c>
      <c r="G1687" s="12" t="str">
        <f t="shared" si="52"/>
        <v>ON1</v>
      </c>
      <c r="H1687" s="12" t="s">
        <v>20</v>
      </c>
      <c r="I1687" s="12" t="s">
        <v>130</v>
      </c>
      <c r="J1687" s="12" t="str">
        <f>""</f>
        <v/>
      </c>
      <c r="K1687" s="12" t="str">
        <f>"PFES1162672530_0001"</f>
        <v>PFES1162672530_0001</v>
      </c>
      <c r="L1687" s="12">
        <v>1</v>
      </c>
      <c r="M1687" s="12">
        <v>2</v>
      </c>
    </row>
    <row r="1688" spans="1:13">
      <c r="A1688" s="6">
        <v>43508</v>
      </c>
      <c r="B1688" s="7">
        <v>0.48402777777777778</v>
      </c>
      <c r="C1688" s="12" t="str">
        <f>"FES1162672425"</f>
        <v>FES1162672425</v>
      </c>
      <c r="D1688" s="12" t="s">
        <v>18</v>
      </c>
      <c r="E1688" s="12" t="s">
        <v>129</v>
      </c>
      <c r="F1688" s="12" t="str">
        <f>"2170656674 "</f>
        <v xml:space="preserve">2170656674 </v>
      </c>
      <c r="G1688" s="12" t="str">
        <f t="shared" si="52"/>
        <v>ON1</v>
      </c>
      <c r="H1688" s="12" t="s">
        <v>20</v>
      </c>
      <c r="I1688" s="12" t="s">
        <v>130</v>
      </c>
      <c r="J1688" s="12" t="str">
        <f>""</f>
        <v/>
      </c>
      <c r="K1688" s="12" t="str">
        <f>"PFES1162672425_0001"</f>
        <v>PFES1162672425_0001</v>
      </c>
      <c r="L1688" s="12">
        <v>1</v>
      </c>
      <c r="M1688" s="12">
        <v>3</v>
      </c>
    </row>
    <row r="1689" spans="1:13">
      <c r="A1689" s="6">
        <v>43508</v>
      </c>
      <c r="B1689" s="7">
        <v>0.4826388888888889</v>
      </c>
      <c r="C1689" s="12" t="str">
        <f>"FES1162672438"</f>
        <v>FES1162672438</v>
      </c>
      <c r="D1689" s="12" t="s">
        <v>18</v>
      </c>
      <c r="E1689" s="12" t="s">
        <v>447</v>
      </c>
      <c r="F1689" s="12" t="str">
        <f>"2170669942 "</f>
        <v xml:space="preserve">2170669942 </v>
      </c>
      <c r="G1689" s="12" t="str">
        <f t="shared" si="52"/>
        <v>ON1</v>
      </c>
      <c r="H1689" s="12" t="s">
        <v>20</v>
      </c>
      <c r="I1689" s="12" t="s">
        <v>182</v>
      </c>
      <c r="J1689" s="12" t="str">
        <f>""</f>
        <v/>
      </c>
      <c r="K1689" s="12" t="str">
        <f>"PFES1162672438_0001"</f>
        <v>PFES1162672438_0001</v>
      </c>
      <c r="L1689" s="12">
        <v>1</v>
      </c>
      <c r="M1689" s="12">
        <v>3</v>
      </c>
    </row>
    <row r="1690" spans="1:13">
      <c r="A1690" s="6">
        <v>43508</v>
      </c>
      <c r="B1690" s="7">
        <v>0.48125000000000001</v>
      </c>
      <c r="C1690" s="12" t="str">
        <f>"FES1162672519"</f>
        <v>FES1162672519</v>
      </c>
      <c r="D1690" s="12" t="s">
        <v>18</v>
      </c>
      <c r="E1690" s="12" t="s">
        <v>335</v>
      </c>
      <c r="F1690" s="12" t="str">
        <f>"2170669908 "</f>
        <v xml:space="preserve">2170669908 </v>
      </c>
      <c r="G1690" s="12" t="str">
        <f t="shared" si="52"/>
        <v>ON1</v>
      </c>
      <c r="H1690" s="12" t="s">
        <v>20</v>
      </c>
      <c r="I1690" s="12" t="s">
        <v>336</v>
      </c>
      <c r="J1690" s="12" t="str">
        <f>""</f>
        <v/>
      </c>
      <c r="K1690" s="12" t="str">
        <f>"PFES1162672519_0001"</f>
        <v>PFES1162672519_0001</v>
      </c>
      <c r="L1690" s="12">
        <v>1</v>
      </c>
      <c r="M1690" s="12">
        <v>2</v>
      </c>
    </row>
    <row r="1691" spans="1:13">
      <c r="A1691" s="6">
        <v>43508</v>
      </c>
      <c r="B1691" s="7">
        <v>0.47986111111111113</v>
      </c>
      <c r="C1691" s="12" t="str">
        <f>"FES1162672403"</f>
        <v>FES1162672403</v>
      </c>
      <c r="D1691" s="12" t="s">
        <v>18</v>
      </c>
      <c r="E1691" s="12" t="s">
        <v>403</v>
      </c>
      <c r="F1691" s="12" t="str">
        <f>"2170673719 "</f>
        <v xml:space="preserve">2170673719 </v>
      </c>
      <c r="G1691" s="12" t="str">
        <f t="shared" si="52"/>
        <v>ON1</v>
      </c>
      <c r="H1691" s="12" t="s">
        <v>20</v>
      </c>
      <c r="I1691" s="12" t="s">
        <v>404</v>
      </c>
      <c r="J1691" s="12" t="str">
        <f>""</f>
        <v/>
      </c>
      <c r="K1691" s="12" t="str">
        <f>"PFES1162672403_0001"</f>
        <v>PFES1162672403_0001</v>
      </c>
      <c r="L1691" s="12">
        <v>1</v>
      </c>
      <c r="M1691" s="12">
        <v>3</v>
      </c>
    </row>
    <row r="1692" spans="1:13">
      <c r="A1692" s="6">
        <v>43508</v>
      </c>
      <c r="B1692" s="7">
        <v>0.47847222222222219</v>
      </c>
      <c r="C1692" s="12" t="str">
        <f>"FES1162672499"</f>
        <v>FES1162672499</v>
      </c>
      <c r="D1692" s="12" t="s">
        <v>18</v>
      </c>
      <c r="E1692" s="12" t="s">
        <v>178</v>
      </c>
      <c r="F1692" s="12" t="str">
        <f>"2170673749 "</f>
        <v xml:space="preserve">2170673749 </v>
      </c>
      <c r="G1692" s="12" t="str">
        <f t="shared" si="52"/>
        <v>ON1</v>
      </c>
      <c r="H1692" s="12" t="s">
        <v>20</v>
      </c>
      <c r="I1692" s="12" t="s">
        <v>103</v>
      </c>
      <c r="J1692" s="12" t="str">
        <f>""</f>
        <v/>
      </c>
      <c r="K1692" s="12" t="str">
        <f>"PFES1162672499_0001"</f>
        <v>PFES1162672499_0001</v>
      </c>
      <c r="L1692" s="12">
        <v>1</v>
      </c>
      <c r="M1692" s="12">
        <v>2</v>
      </c>
    </row>
    <row r="1693" spans="1:13">
      <c r="A1693" s="6">
        <v>43508</v>
      </c>
      <c r="B1693" s="7">
        <v>0.4770833333333333</v>
      </c>
      <c r="C1693" s="12" t="str">
        <f>"FES1162672428"</f>
        <v>FES1162672428</v>
      </c>
      <c r="D1693" s="12" t="s">
        <v>18</v>
      </c>
      <c r="E1693" s="12" t="s">
        <v>47</v>
      </c>
      <c r="F1693" s="12" t="str">
        <f>"2170667607 "</f>
        <v xml:space="preserve">2170667607 </v>
      </c>
      <c r="G1693" s="12" t="str">
        <f>"DBC"</f>
        <v>DBC</v>
      </c>
      <c r="H1693" s="12" t="s">
        <v>20</v>
      </c>
      <c r="I1693" s="12" t="s">
        <v>48</v>
      </c>
      <c r="J1693" s="12" t="str">
        <f>""</f>
        <v/>
      </c>
      <c r="K1693" s="12" t="str">
        <f>"PFES1162672428_0001"</f>
        <v>PFES1162672428_0001</v>
      </c>
      <c r="L1693" s="12">
        <v>1</v>
      </c>
      <c r="M1693" s="12">
        <v>22</v>
      </c>
    </row>
    <row r="1694" spans="1:13">
      <c r="A1694" s="6">
        <v>43508</v>
      </c>
      <c r="B1694" s="7">
        <v>0.47569444444444442</v>
      </c>
      <c r="C1694" s="12" t="str">
        <f>"FES1162672432"</f>
        <v>FES1162672432</v>
      </c>
      <c r="D1694" s="12" t="s">
        <v>18</v>
      </c>
      <c r="E1694" s="12" t="s">
        <v>549</v>
      </c>
      <c r="F1694" s="12" t="str">
        <f>"2170669108 "</f>
        <v xml:space="preserve">2170669108 </v>
      </c>
      <c r="G1694" s="12" t="str">
        <f>"ON1"</f>
        <v>ON1</v>
      </c>
      <c r="H1694" s="12" t="s">
        <v>20</v>
      </c>
      <c r="I1694" s="12" t="s">
        <v>130</v>
      </c>
      <c r="J1694" s="12" t="str">
        <f>""</f>
        <v/>
      </c>
      <c r="K1694" s="12" t="str">
        <f>"PFES1162672432_0001"</f>
        <v>PFES1162672432_0001</v>
      </c>
      <c r="L1694" s="12">
        <v>1</v>
      </c>
      <c r="M1694" s="12">
        <v>11</v>
      </c>
    </row>
    <row r="1695" spans="1:13">
      <c r="A1695" s="6">
        <v>43508</v>
      </c>
      <c r="B1695" s="7">
        <v>0.47361111111111115</v>
      </c>
      <c r="C1695" s="12" t="str">
        <f>"FES1162672421"</f>
        <v>FES1162672421</v>
      </c>
      <c r="D1695" s="12" t="s">
        <v>18</v>
      </c>
      <c r="E1695" s="12" t="s">
        <v>330</v>
      </c>
      <c r="F1695" s="12" t="str">
        <f>"2170673757 "</f>
        <v xml:space="preserve">2170673757 </v>
      </c>
      <c r="G1695" s="12" t="str">
        <f>"ON1"</f>
        <v>ON1</v>
      </c>
      <c r="H1695" s="12" t="s">
        <v>20</v>
      </c>
      <c r="I1695" s="12" t="s">
        <v>237</v>
      </c>
      <c r="J1695" s="12" t="str">
        <f>""</f>
        <v/>
      </c>
      <c r="K1695" s="12" t="str">
        <f>"PFES1162672421_0001"</f>
        <v>PFES1162672421_0001</v>
      </c>
      <c r="L1695" s="12">
        <v>1</v>
      </c>
      <c r="M1695" s="12">
        <v>10</v>
      </c>
    </row>
    <row r="1696" spans="1:13">
      <c r="A1696" s="6">
        <v>43508</v>
      </c>
      <c r="B1696" s="7">
        <v>0.47083333333333338</v>
      </c>
      <c r="C1696" s="12" t="str">
        <f>"FES1162672437"</f>
        <v>FES1162672437</v>
      </c>
      <c r="D1696" s="12" t="s">
        <v>18</v>
      </c>
      <c r="E1696" s="12" t="s">
        <v>816</v>
      </c>
      <c r="F1696" s="12" t="str">
        <f>"2170669886 "</f>
        <v xml:space="preserve">2170669886 </v>
      </c>
      <c r="G1696" s="12" t="str">
        <f>"ON1"</f>
        <v>ON1</v>
      </c>
      <c r="H1696" s="12" t="s">
        <v>20</v>
      </c>
      <c r="I1696" s="12" t="s">
        <v>359</v>
      </c>
      <c r="J1696" s="12" t="str">
        <f>""</f>
        <v/>
      </c>
      <c r="K1696" s="12" t="str">
        <f>"PFES1162672437_0001"</f>
        <v>PFES1162672437_0001</v>
      </c>
      <c r="L1696" s="12">
        <v>1</v>
      </c>
      <c r="M1696" s="12">
        <v>3</v>
      </c>
    </row>
    <row r="1697" spans="1:13">
      <c r="A1697" s="6">
        <v>43508</v>
      </c>
      <c r="B1697" s="7">
        <v>0.47013888888888888</v>
      </c>
      <c r="C1697" s="12" t="str">
        <f>"FES1162672449"</f>
        <v>FES1162672449</v>
      </c>
      <c r="D1697" s="12" t="s">
        <v>18</v>
      </c>
      <c r="E1697" s="12" t="s">
        <v>849</v>
      </c>
      <c r="F1697" s="12" t="str">
        <f>"2170673767 "</f>
        <v xml:space="preserve">2170673767 </v>
      </c>
      <c r="G1697" s="12" t="str">
        <f>"ON1"</f>
        <v>ON1</v>
      </c>
      <c r="H1697" s="12" t="s">
        <v>20</v>
      </c>
      <c r="I1697" s="12" t="s">
        <v>455</v>
      </c>
      <c r="J1697" s="12" t="str">
        <f>""</f>
        <v/>
      </c>
      <c r="K1697" s="12" t="str">
        <f>"PFES1162672449_0001"</f>
        <v>PFES1162672449_0001</v>
      </c>
      <c r="L1697" s="12">
        <v>1</v>
      </c>
      <c r="M1697" s="12">
        <v>2</v>
      </c>
    </row>
    <row r="1698" spans="1:13">
      <c r="A1698" s="6">
        <v>43509</v>
      </c>
      <c r="B1698" s="7">
        <v>0.67708333333333337</v>
      </c>
      <c r="C1698" s="13" t="str">
        <f>"FES1162672904"</f>
        <v>FES1162672904</v>
      </c>
      <c r="D1698" s="13" t="s">
        <v>18</v>
      </c>
      <c r="E1698" s="13" t="s">
        <v>850</v>
      </c>
      <c r="F1698" s="13" t="str">
        <f>"2170671076 "</f>
        <v xml:space="preserve">2170671076 </v>
      </c>
      <c r="G1698" s="13" t="str">
        <f t="shared" ref="G1698:G1711" si="53">"ON1"</f>
        <v>ON1</v>
      </c>
      <c r="H1698" s="13" t="s">
        <v>20</v>
      </c>
      <c r="I1698" s="13" t="s">
        <v>276</v>
      </c>
      <c r="J1698" s="13" t="str">
        <f>""</f>
        <v/>
      </c>
      <c r="K1698" s="13" t="str">
        <f>"PFES1162672904_0001"</f>
        <v>PFES1162672904_0001</v>
      </c>
      <c r="L1698" s="13">
        <v>1</v>
      </c>
      <c r="M1698" s="13">
        <v>9</v>
      </c>
    </row>
    <row r="1699" spans="1:13">
      <c r="A1699" s="6">
        <v>43509</v>
      </c>
      <c r="B1699" s="7">
        <v>0.67569444444444438</v>
      </c>
      <c r="C1699" s="13" t="str">
        <f>"FES1162672879"</f>
        <v>FES1162672879</v>
      </c>
      <c r="D1699" s="13" t="s">
        <v>18</v>
      </c>
      <c r="E1699" s="13" t="s">
        <v>295</v>
      </c>
      <c r="F1699" s="13" t="str">
        <f>"2170670685 "</f>
        <v xml:space="preserve">2170670685 </v>
      </c>
      <c r="G1699" s="13" t="str">
        <f t="shared" si="53"/>
        <v>ON1</v>
      </c>
      <c r="H1699" s="13" t="s">
        <v>20</v>
      </c>
      <c r="I1699" s="13" t="s">
        <v>53</v>
      </c>
      <c r="J1699" s="13" t="str">
        <f>""</f>
        <v/>
      </c>
      <c r="K1699" s="13" t="str">
        <f>"PFES1162672879_0001"</f>
        <v>PFES1162672879_0001</v>
      </c>
      <c r="L1699" s="13">
        <v>1</v>
      </c>
      <c r="M1699" s="13">
        <v>2</v>
      </c>
    </row>
    <row r="1700" spans="1:13">
      <c r="A1700" s="6">
        <v>43509</v>
      </c>
      <c r="B1700" s="7">
        <v>0.67499999999999993</v>
      </c>
      <c r="C1700" s="13" t="str">
        <f>"FES1162672800"</f>
        <v>FES1162672800</v>
      </c>
      <c r="D1700" s="13" t="s">
        <v>18</v>
      </c>
      <c r="E1700" s="13" t="s">
        <v>203</v>
      </c>
      <c r="F1700" s="13" t="str">
        <f>"2170673711 "</f>
        <v xml:space="preserve">2170673711 </v>
      </c>
      <c r="G1700" s="13" t="str">
        <f t="shared" si="53"/>
        <v>ON1</v>
      </c>
      <c r="H1700" s="13" t="s">
        <v>20</v>
      </c>
      <c r="I1700" s="13" t="s">
        <v>204</v>
      </c>
      <c r="J1700" s="13" t="str">
        <f>""</f>
        <v/>
      </c>
      <c r="K1700" s="13" t="str">
        <f>"PFES1162672800_0001"</f>
        <v>PFES1162672800_0001</v>
      </c>
      <c r="L1700" s="13">
        <v>1</v>
      </c>
      <c r="M1700" s="13">
        <v>3</v>
      </c>
    </row>
    <row r="1701" spans="1:13">
      <c r="A1701" s="6">
        <v>43509</v>
      </c>
      <c r="B1701" s="7">
        <v>0.6743055555555556</v>
      </c>
      <c r="C1701" s="13" t="str">
        <f>"FES1162672915"</f>
        <v>FES1162672915</v>
      </c>
      <c r="D1701" s="13" t="s">
        <v>18</v>
      </c>
      <c r="E1701" s="13" t="s">
        <v>293</v>
      </c>
      <c r="F1701" s="13" t="str">
        <f>"2170671264 "</f>
        <v xml:space="preserve">2170671264 </v>
      </c>
      <c r="G1701" s="13" t="str">
        <f t="shared" si="53"/>
        <v>ON1</v>
      </c>
      <c r="H1701" s="13" t="s">
        <v>20</v>
      </c>
      <c r="I1701" s="13" t="s">
        <v>294</v>
      </c>
      <c r="J1701" s="13" t="str">
        <f>""</f>
        <v/>
      </c>
      <c r="K1701" s="13" t="str">
        <f>"PFES1162672915_0001"</f>
        <v>PFES1162672915_0001</v>
      </c>
      <c r="L1701" s="13">
        <v>1</v>
      </c>
      <c r="M1701" s="13">
        <v>9</v>
      </c>
    </row>
    <row r="1702" spans="1:13">
      <c r="A1702" s="6">
        <v>43509</v>
      </c>
      <c r="B1702" s="7">
        <v>0.6743055555555556</v>
      </c>
      <c r="C1702" s="13" t="str">
        <f>"FES1162672955"</f>
        <v>FES1162672955</v>
      </c>
      <c r="D1702" s="13" t="s">
        <v>18</v>
      </c>
      <c r="E1702" s="13" t="s">
        <v>844</v>
      </c>
      <c r="F1702" s="13" t="str">
        <f>"2170673771 "</f>
        <v xml:space="preserve">2170673771 </v>
      </c>
      <c r="G1702" s="13" t="str">
        <f t="shared" si="53"/>
        <v>ON1</v>
      </c>
      <c r="H1702" s="13" t="s">
        <v>20</v>
      </c>
      <c r="I1702" s="13" t="s">
        <v>845</v>
      </c>
      <c r="J1702" s="13" t="str">
        <f>""</f>
        <v/>
      </c>
      <c r="K1702" s="13" t="str">
        <f>"PFES1162672955_0001"</f>
        <v>PFES1162672955_0001</v>
      </c>
      <c r="L1702" s="13">
        <v>1</v>
      </c>
      <c r="M1702" s="13">
        <v>11</v>
      </c>
    </row>
    <row r="1703" spans="1:13">
      <c r="A1703" s="6">
        <v>43509</v>
      </c>
      <c r="B1703" s="7">
        <v>0.67361111111111116</v>
      </c>
      <c r="C1703" s="13" t="str">
        <f>"FES1162672966"</f>
        <v>FES1162672966</v>
      </c>
      <c r="D1703" s="13" t="s">
        <v>18</v>
      </c>
      <c r="E1703" s="13" t="s">
        <v>58</v>
      </c>
      <c r="F1703" s="13" t="str">
        <f>"2170673755 "</f>
        <v xml:space="preserve">2170673755 </v>
      </c>
      <c r="G1703" s="13" t="str">
        <f t="shared" si="53"/>
        <v>ON1</v>
      </c>
      <c r="H1703" s="13" t="s">
        <v>20</v>
      </c>
      <c r="I1703" s="13" t="s">
        <v>59</v>
      </c>
      <c r="J1703" s="13" t="str">
        <f>""</f>
        <v/>
      </c>
      <c r="K1703" s="13" t="str">
        <f>"PFES1162672966_0001"</f>
        <v>PFES1162672966_0001</v>
      </c>
      <c r="L1703" s="13">
        <v>1</v>
      </c>
      <c r="M1703" s="13">
        <v>1</v>
      </c>
    </row>
    <row r="1704" spans="1:13">
      <c r="A1704" s="6">
        <v>43509</v>
      </c>
      <c r="B1704" s="7">
        <v>0.67291666666666661</v>
      </c>
      <c r="C1704" s="13" t="str">
        <f>"FES1162672902"</f>
        <v>FES1162672902</v>
      </c>
      <c r="D1704" s="13" t="s">
        <v>18</v>
      </c>
      <c r="E1704" s="13" t="s">
        <v>178</v>
      </c>
      <c r="F1704" s="13" t="str">
        <f>"2170674174 "</f>
        <v xml:space="preserve">2170674174 </v>
      </c>
      <c r="G1704" s="13" t="str">
        <f t="shared" si="53"/>
        <v>ON1</v>
      </c>
      <c r="H1704" s="13" t="s">
        <v>20</v>
      </c>
      <c r="I1704" s="13" t="s">
        <v>103</v>
      </c>
      <c r="J1704" s="13" t="str">
        <f>""</f>
        <v/>
      </c>
      <c r="K1704" s="13" t="str">
        <f>"PFES1162672902_0001"</f>
        <v>PFES1162672902_0001</v>
      </c>
      <c r="L1704" s="13">
        <v>1</v>
      </c>
      <c r="M1704" s="13">
        <v>3</v>
      </c>
    </row>
    <row r="1705" spans="1:13">
      <c r="A1705" s="6">
        <v>43509</v>
      </c>
      <c r="B1705" s="7">
        <v>0.67291666666666661</v>
      </c>
      <c r="C1705" s="13" t="str">
        <f>"FES1162672968"</f>
        <v>FES1162672968</v>
      </c>
      <c r="D1705" s="13" t="s">
        <v>18</v>
      </c>
      <c r="E1705" s="13" t="s">
        <v>644</v>
      </c>
      <c r="F1705" s="13" t="str">
        <f>"2170674235 "</f>
        <v xml:space="preserve">2170674235 </v>
      </c>
      <c r="G1705" s="13" t="str">
        <f t="shared" si="53"/>
        <v>ON1</v>
      </c>
      <c r="H1705" s="13" t="s">
        <v>20</v>
      </c>
      <c r="I1705" s="13" t="s">
        <v>435</v>
      </c>
      <c r="J1705" s="13" t="str">
        <f>""</f>
        <v/>
      </c>
      <c r="K1705" s="13" t="str">
        <f>"PFES1162672968_0001"</f>
        <v>PFES1162672968_0001</v>
      </c>
      <c r="L1705" s="13">
        <v>1</v>
      </c>
      <c r="M1705" s="13">
        <v>1</v>
      </c>
    </row>
    <row r="1706" spans="1:13">
      <c r="A1706" s="6">
        <v>43509</v>
      </c>
      <c r="B1706" s="7">
        <v>0.67222222222222217</v>
      </c>
      <c r="C1706" s="13" t="str">
        <f>"FES1162672962"</f>
        <v>FES1162672962</v>
      </c>
      <c r="D1706" s="13" t="s">
        <v>18</v>
      </c>
      <c r="E1706" s="13" t="s">
        <v>530</v>
      </c>
      <c r="F1706" s="13" t="str">
        <f>"2170674227 "</f>
        <v xml:space="preserve">2170674227 </v>
      </c>
      <c r="G1706" s="13" t="str">
        <f t="shared" si="53"/>
        <v>ON1</v>
      </c>
      <c r="H1706" s="13" t="s">
        <v>20</v>
      </c>
      <c r="I1706" s="13" t="s">
        <v>531</v>
      </c>
      <c r="J1706" s="13" t="str">
        <f>""</f>
        <v/>
      </c>
      <c r="K1706" s="13" t="str">
        <f>"PFES1162672962_0001"</f>
        <v>PFES1162672962_0001</v>
      </c>
      <c r="L1706" s="13">
        <v>1</v>
      </c>
      <c r="M1706" s="13">
        <v>1</v>
      </c>
    </row>
    <row r="1707" spans="1:13">
      <c r="A1707" s="6">
        <v>43509</v>
      </c>
      <c r="B1707" s="7">
        <v>0.67222222222222217</v>
      </c>
      <c r="C1707" s="13" t="str">
        <f>"FES1162672965"</f>
        <v>FES1162672965</v>
      </c>
      <c r="D1707" s="13" t="s">
        <v>18</v>
      </c>
      <c r="E1707" s="13" t="s">
        <v>851</v>
      </c>
      <c r="F1707" s="13" t="str">
        <f>"2170674232 "</f>
        <v xml:space="preserve">2170674232 </v>
      </c>
      <c r="G1707" s="13" t="str">
        <f t="shared" si="53"/>
        <v>ON1</v>
      </c>
      <c r="H1707" s="13" t="s">
        <v>20</v>
      </c>
      <c r="I1707" s="13" t="s">
        <v>33</v>
      </c>
      <c r="J1707" s="13" t="str">
        <f>""</f>
        <v/>
      </c>
      <c r="K1707" s="13" t="str">
        <f>"PFES1162672965_0001"</f>
        <v>PFES1162672965_0001</v>
      </c>
      <c r="L1707" s="13">
        <v>1</v>
      </c>
      <c r="M1707" s="13">
        <v>2</v>
      </c>
    </row>
    <row r="1708" spans="1:13">
      <c r="A1708" s="6">
        <v>43509</v>
      </c>
      <c r="B1708" s="7">
        <v>0.67222222222222217</v>
      </c>
      <c r="C1708" s="13" t="str">
        <f>"FES1162672928"</f>
        <v>FES1162672928</v>
      </c>
      <c r="D1708" s="13" t="s">
        <v>18</v>
      </c>
      <c r="E1708" s="13" t="s">
        <v>339</v>
      </c>
      <c r="F1708" s="13" t="str">
        <f>"2170671394 "</f>
        <v xml:space="preserve">2170671394 </v>
      </c>
      <c r="G1708" s="13" t="str">
        <f t="shared" si="53"/>
        <v>ON1</v>
      </c>
      <c r="H1708" s="13" t="s">
        <v>20</v>
      </c>
      <c r="I1708" s="13" t="s">
        <v>37</v>
      </c>
      <c r="J1708" s="13" t="str">
        <f>""</f>
        <v/>
      </c>
      <c r="K1708" s="13" t="str">
        <f>"PFES1162672928_0001"</f>
        <v>PFES1162672928_0001</v>
      </c>
      <c r="L1708" s="13">
        <v>1</v>
      </c>
      <c r="M1708" s="13">
        <v>17</v>
      </c>
    </row>
    <row r="1709" spans="1:13">
      <c r="A1709" s="6">
        <v>43509</v>
      </c>
      <c r="B1709" s="7">
        <v>0.67152777777777783</v>
      </c>
      <c r="C1709" s="13" t="str">
        <f>"FES1162672957"</f>
        <v>FES1162672957</v>
      </c>
      <c r="D1709" s="13" t="s">
        <v>18</v>
      </c>
      <c r="E1709" s="13" t="s">
        <v>264</v>
      </c>
      <c r="F1709" s="13" t="str">
        <f>"2170674221 "</f>
        <v xml:space="preserve">2170674221 </v>
      </c>
      <c r="G1709" s="13" t="str">
        <f t="shared" si="53"/>
        <v>ON1</v>
      </c>
      <c r="H1709" s="13" t="s">
        <v>20</v>
      </c>
      <c r="I1709" s="13" t="s">
        <v>265</v>
      </c>
      <c r="J1709" s="13" t="str">
        <f>""</f>
        <v/>
      </c>
      <c r="K1709" s="13" t="str">
        <f>"PFES1162672957_0001"</f>
        <v>PFES1162672957_0001</v>
      </c>
      <c r="L1709" s="13">
        <v>1</v>
      </c>
      <c r="M1709" s="13">
        <v>3</v>
      </c>
    </row>
    <row r="1710" spans="1:13">
      <c r="A1710" s="6">
        <v>43509</v>
      </c>
      <c r="B1710" s="7">
        <v>0.67083333333333339</v>
      </c>
      <c r="C1710" s="13" t="str">
        <f>"FES1162672961"</f>
        <v>FES1162672961</v>
      </c>
      <c r="D1710" s="13" t="s">
        <v>18</v>
      </c>
      <c r="E1710" s="13" t="s">
        <v>852</v>
      </c>
      <c r="F1710" s="13" t="str">
        <f>"2170674226 "</f>
        <v xml:space="preserve">2170674226 </v>
      </c>
      <c r="G1710" s="13" t="str">
        <f t="shared" si="53"/>
        <v>ON1</v>
      </c>
      <c r="H1710" s="13" t="s">
        <v>20</v>
      </c>
      <c r="I1710" s="13" t="s">
        <v>853</v>
      </c>
      <c r="J1710" s="13" t="str">
        <f>""</f>
        <v/>
      </c>
      <c r="K1710" s="13" t="str">
        <f>"PFES1162672961_0001"</f>
        <v>PFES1162672961_0001</v>
      </c>
      <c r="L1710" s="13">
        <v>1</v>
      </c>
      <c r="M1710" s="13">
        <v>1</v>
      </c>
    </row>
    <row r="1711" spans="1:13">
      <c r="A1711" s="6">
        <v>43509</v>
      </c>
      <c r="B1711" s="7">
        <v>0.67083333333333339</v>
      </c>
      <c r="C1711" s="13" t="str">
        <f>"FES1162672923"</f>
        <v>FES1162672923</v>
      </c>
      <c r="D1711" s="13" t="s">
        <v>18</v>
      </c>
      <c r="E1711" s="13" t="s">
        <v>854</v>
      </c>
      <c r="F1711" s="13" t="str">
        <f>"2170674183 "</f>
        <v xml:space="preserve">2170674183 </v>
      </c>
      <c r="G1711" s="13" t="str">
        <f t="shared" si="53"/>
        <v>ON1</v>
      </c>
      <c r="H1711" s="13" t="s">
        <v>20</v>
      </c>
      <c r="I1711" s="13" t="s">
        <v>59</v>
      </c>
      <c r="J1711" s="13" t="str">
        <f>""</f>
        <v/>
      </c>
      <c r="K1711" s="13" t="str">
        <f>"PFES1162672923_0001"</f>
        <v>PFES1162672923_0001</v>
      </c>
      <c r="L1711" s="13">
        <v>1</v>
      </c>
      <c r="M1711" s="13">
        <v>1</v>
      </c>
    </row>
    <row r="1712" spans="1:13">
      <c r="A1712" s="6">
        <v>43509</v>
      </c>
      <c r="B1712" s="7">
        <v>0.67013888888888884</v>
      </c>
      <c r="C1712" s="13" t="str">
        <f>"FES1162672940"</f>
        <v>FES1162672940</v>
      </c>
      <c r="D1712" s="13" t="s">
        <v>18</v>
      </c>
      <c r="E1712" s="13" t="s">
        <v>855</v>
      </c>
      <c r="F1712" s="13" t="str">
        <f>"2170674198 "</f>
        <v xml:space="preserve">2170674198 </v>
      </c>
      <c r="G1712" s="13" t="str">
        <f>"DBC"</f>
        <v>DBC</v>
      </c>
      <c r="H1712" s="13" t="s">
        <v>20</v>
      </c>
      <c r="I1712" s="13" t="s">
        <v>856</v>
      </c>
      <c r="J1712" s="13" t="str">
        <f>""</f>
        <v/>
      </c>
      <c r="K1712" s="13" t="str">
        <f>"PFES1162672940_0001"</f>
        <v>PFES1162672940_0001</v>
      </c>
      <c r="L1712" s="13">
        <v>1</v>
      </c>
      <c r="M1712" s="13">
        <v>20</v>
      </c>
    </row>
    <row r="1713" spans="1:13">
      <c r="A1713" s="6">
        <v>43509</v>
      </c>
      <c r="B1713" s="7">
        <v>0.67013888888888884</v>
      </c>
      <c r="C1713" s="13" t="str">
        <f>"FES1162672954"</f>
        <v>FES1162672954</v>
      </c>
      <c r="D1713" s="13" t="s">
        <v>18</v>
      </c>
      <c r="E1713" s="13" t="s">
        <v>857</v>
      </c>
      <c r="F1713" s="13" t="str">
        <f>"2170674219 "</f>
        <v xml:space="preserve">2170674219 </v>
      </c>
      <c r="G1713" s="13" t="str">
        <f t="shared" ref="G1713:G1776" si="54">"ON1"</f>
        <v>ON1</v>
      </c>
      <c r="H1713" s="13" t="s">
        <v>20</v>
      </c>
      <c r="I1713" s="13" t="s">
        <v>353</v>
      </c>
      <c r="J1713" s="13" t="str">
        <f>""</f>
        <v/>
      </c>
      <c r="K1713" s="13" t="str">
        <f>"PFES1162672954_0001"</f>
        <v>PFES1162672954_0001</v>
      </c>
      <c r="L1713" s="13">
        <v>1</v>
      </c>
      <c r="M1713" s="13">
        <v>1</v>
      </c>
    </row>
    <row r="1714" spans="1:13">
      <c r="A1714" s="6">
        <v>43509</v>
      </c>
      <c r="B1714" s="7">
        <v>0.6694444444444444</v>
      </c>
      <c r="C1714" s="13" t="str">
        <f>"FES1162672950"</f>
        <v>FES1162672950</v>
      </c>
      <c r="D1714" s="13" t="s">
        <v>18</v>
      </c>
      <c r="E1714" s="13" t="s">
        <v>426</v>
      </c>
      <c r="F1714" s="13" t="str">
        <f>"2170674210 "</f>
        <v xml:space="preserve">2170674210 </v>
      </c>
      <c r="G1714" s="13" t="str">
        <f t="shared" si="54"/>
        <v>ON1</v>
      </c>
      <c r="H1714" s="13" t="s">
        <v>20</v>
      </c>
      <c r="I1714" s="13" t="s">
        <v>29</v>
      </c>
      <c r="J1714" s="13" t="str">
        <f>""</f>
        <v/>
      </c>
      <c r="K1714" s="13" t="str">
        <f>"PFES1162672950_0001"</f>
        <v>PFES1162672950_0001</v>
      </c>
      <c r="L1714" s="13">
        <v>1</v>
      </c>
      <c r="M1714" s="13">
        <v>1</v>
      </c>
    </row>
    <row r="1715" spans="1:13">
      <c r="A1715" s="6">
        <v>43509</v>
      </c>
      <c r="B1715" s="7">
        <v>0.66875000000000007</v>
      </c>
      <c r="C1715" s="13" t="str">
        <f>"FES1162672925"</f>
        <v>FES1162672925</v>
      </c>
      <c r="D1715" s="13" t="s">
        <v>18</v>
      </c>
      <c r="E1715" s="13" t="s">
        <v>426</v>
      </c>
      <c r="F1715" s="13" t="str">
        <f>"2170674185 "</f>
        <v xml:space="preserve">2170674185 </v>
      </c>
      <c r="G1715" s="13" t="str">
        <f t="shared" si="54"/>
        <v>ON1</v>
      </c>
      <c r="H1715" s="13" t="s">
        <v>20</v>
      </c>
      <c r="I1715" s="13" t="s">
        <v>29</v>
      </c>
      <c r="J1715" s="13" t="str">
        <f>""</f>
        <v/>
      </c>
      <c r="K1715" s="13" t="str">
        <f>"PFES1162672925_0001"</f>
        <v>PFES1162672925_0001</v>
      </c>
      <c r="L1715" s="13">
        <v>1</v>
      </c>
      <c r="M1715" s="13">
        <v>1</v>
      </c>
    </row>
    <row r="1716" spans="1:13">
      <c r="A1716" s="6">
        <v>43509</v>
      </c>
      <c r="B1716" s="7">
        <v>0.66805555555555562</v>
      </c>
      <c r="C1716" s="13" t="str">
        <f>"FES1162672924"</f>
        <v>FES1162672924</v>
      </c>
      <c r="D1716" s="13" t="s">
        <v>18</v>
      </c>
      <c r="E1716" s="13" t="s">
        <v>223</v>
      </c>
      <c r="F1716" s="13" t="str">
        <f>"2170674184 "</f>
        <v xml:space="preserve">2170674184 </v>
      </c>
      <c r="G1716" s="13" t="str">
        <f t="shared" si="54"/>
        <v>ON1</v>
      </c>
      <c r="H1716" s="13" t="s">
        <v>20</v>
      </c>
      <c r="I1716" s="13" t="s">
        <v>81</v>
      </c>
      <c r="J1716" s="13" t="str">
        <f>""</f>
        <v/>
      </c>
      <c r="K1716" s="13" t="str">
        <f>"PFES1162672924_0001"</f>
        <v>PFES1162672924_0001</v>
      </c>
      <c r="L1716" s="13">
        <v>1</v>
      </c>
      <c r="M1716" s="13">
        <v>1</v>
      </c>
    </row>
    <row r="1717" spans="1:13">
      <c r="A1717" s="6">
        <v>43509</v>
      </c>
      <c r="B1717" s="7">
        <v>0.66805555555555562</v>
      </c>
      <c r="C1717" s="13" t="str">
        <f>"FES1162672936"</f>
        <v>FES1162672936</v>
      </c>
      <c r="D1717" s="13" t="s">
        <v>18</v>
      </c>
      <c r="E1717" s="13" t="s">
        <v>858</v>
      </c>
      <c r="F1717" s="13" t="str">
        <f>"2170674194 "</f>
        <v xml:space="preserve">2170674194 </v>
      </c>
      <c r="G1717" s="13" t="str">
        <f t="shared" si="54"/>
        <v>ON1</v>
      </c>
      <c r="H1717" s="13" t="s">
        <v>20</v>
      </c>
      <c r="I1717" s="13" t="s">
        <v>153</v>
      </c>
      <c r="J1717" s="13" t="str">
        <f>""</f>
        <v/>
      </c>
      <c r="K1717" s="13" t="str">
        <f>"PFES1162672936_0001"</f>
        <v>PFES1162672936_0001</v>
      </c>
      <c r="L1717" s="13">
        <v>1</v>
      </c>
      <c r="M1717" s="13">
        <v>1</v>
      </c>
    </row>
    <row r="1718" spans="1:13">
      <c r="A1718" s="6">
        <v>43509</v>
      </c>
      <c r="B1718" s="7">
        <v>0.66736111111111107</v>
      </c>
      <c r="C1718" s="13" t="str">
        <f>"FES1162672893"</f>
        <v>FES1162672893</v>
      </c>
      <c r="D1718" s="13" t="s">
        <v>18</v>
      </c>
      <c r="E1718" s="13" t="s">
        <v>232</v>
      </c>
      <c r="F1718" s="13" t="str">
        <f>"2170674160 "</f>
        <v xml:space="preserve">2170674160 </v>
      </c>
      <c r="G1718" s="13" t="str">
        <f t="shared" si="54"/>
        <v>ON1</v>
      </c>
      <c r="H1718" s="13" t="s">
        <v>20</v>
      </c>
      <c r="I1718" s="13" t="s">
        <v>233</v>
      </c>
      <c r="J1718" s="13" t="str">
        <f>""</f>
        <v/>
      </c>
      <c r="K1718" s="13" t="str">
        <f>"PFES1162672893_0001"</f>
        <v>PFES1162672893_0001</v>
      </c>
      <c r="L1718" s="13">
        <v>1</v>
      </c>
      <c r="M1718" s="13">
        <v>1</v>
      </c>
    </row>
    <row r="1719" spans="1:13">
      <c r="A1719" s="6">
        <v>43509</v>
      </c>
      <c r="B1719" s="7">
        <v>0.66736111111111107</v>
      </c>
      <c r="C1719" s="13" t="str">
        <f>"FES1162672917"</f>
        <v>FES1162672917</v>
      </c>
      <c r="D1719" s="13" t="s">
        <v>18</v>
      </c>
      <c r="E1719" s="13" t="s">
        <v>350</v>
      </c>
      <c r="F1719" s="13" t="str">
        <f>"2170674013 "</f>
        <v xml:space="preserve">2170674013 </v>
      </c>
      <c r="G1719" s="13" t="str">
        <f t="shared" si="54"/>
        <v>ON1</v>
      </c>
      <c r="H1719" s="13" t="s">
        <v>20</v>
      </c>
      <c r="I1719" s="13" t="s">
        <v>351</v>
      </c>
      <c r="J1719" s="13" t="str">
        <f>""</f>
        <v/>
      </c>
      <c r="K1719" s="13" t="str">
        <f>"PFES1162672917_0001"</f>
        <v>PFES1162672917_0001</v>
      </c>
      <c r="L1719" s="13">
        <v>2</v>
      </c>
      <c r="M1719" s="13">
        <v>12</v>
      </c>
    </row>
    <row r="1720" spans="1:13">
      <c r="A1720" s="6">
        <v>43496</v>
      </c>
      <c r="B1720" s="7">
        <v>0.66875000000000007</v>
      </c>
      <c r="C1720" s="13" t="str">
        <f>"FES1162672917"</f>
        <v>FES1162672917</v>
      </c>
      <c r="D1720" s="13" t="s">
        <v>18</v>
      </c>
      <c r="E1720" s="13" t="s">
        <v>90</v>
      </c>
      <c r="F1720" s="13" t="str">
        <f>"2170671996 "</f>
        <v xml:space="preserve">2170671996 </v>
      </c>
      <c r="G1720" s="13" t="str">
        <f t="shared" si="54"/>
        <v>ON1</v>
      </c>
      <c r="H1720" s="13" t="s">
        <v>20</v>
      </c>
      <c r="I1720" s="13" t="s">
        <v>89</v>
      </c>
      <c r="J1720" s="13" t="str">
        <f>""</f>
        <v/>
      </c>
      <c r="K1720" s="13" t="str">
        <f>"PFES1162672917_0002"</f>
        <v>PFES1162672917_0002</v>
      </c>
      <c r="L1720" s="13">
        <v>1</v>
      </c>
      <c r="M1720" s="13">
        <v>8</v>
      </c>
    </row>
    <row r="1721" spans="1:13">
      <c r="A1721" s="6">
        <v>43509</v>
      </c>
      <c r="B1721" s="7">
        <v>0.66666666666666663</v>
      </c>
      <c r="C1721" s="13" t="str">
        <f>"FES1162672946"</f>
        <v>FES1162672946</v>
      </c>
      <c r="D1721" s="13" t="s">
        <v>18</v>
      </c>
      <c r="E1721" s="13" t="s">
        <v>638</v>
      </c>
      <c r="F1721" s="13" t="str">
        <f>"2170674204 "</f>
        <v xml:space="preserve">2170674204 </v>
      </c>
      <c r="G1721" s="13" t="str">
        <f t="shared" si="54"/>
        <v>ON1</v>
      </c>
      <c r="H1721" s="13" t="s">
        <v>20</v>
      </c>
      <c r="I1721" s="13" t="s">
        <v>635</v>
      </c>
      <c r="J1721" s="13" t="str">
        <f>""</f>
        <v/>
      </c>
      <c r="K1721" s="13" t="str">
        <f>"PFES1162672946_0001"</f>
        <v>PFES1162672946_0001</v>
      </c>
      <c r="L1721" s="13">
        <v>1</v>
      </c>
      <c r="M1721" s="13">
        <v>1</v>
      </c>
    </row>
    <row r="1722" spans="1:13">
      <c r="A1722" s="6">
        <v>43509</v>
      </c>
      <c r="B1722" s="7">
        <v>0.66666666666666663</v>
      </c>
      <c r="C1722" s="13" t="str">
        <f>"FES1162672895"</f>
        <v>FES1162672895</v>
      </c>
      <c r="D1722" s="13" t="s">
        <v>18</v>
      </c>
      <c r="E1722" s="13" t="s">
        <v>218</v>
      </c>
      <c r="F1722" s="13" t="str">
        <f>"2170670801 "</f>
        <v xml:space="preserve">2170670801 </v>
      </c>
      <c r="G1722" s="13" t="str">
        <f t="shared" si="54"/>
        <v>ON1</v>
      </c>
      <c r="H1722" s="13" t="s">
        <v>20</v>
      </c>
      <c r="I1722" s="13" t="s">
        <v>219</v>
      </c>
      <c r="J1722" s="13" t="str">
        <f>""</f>
        <v/>
      </c>
      <c r="K1722" s="13" t="str">
        <f>"PFES1162672895_0001"</f>
        <v>PFES1162672895_0001</v>
      </c>
      <c r="L1722" s="13">
        <v>1</v>
      </c>
      <c r="M1722" s="13">
        <v>1</v>
      </c>
    </row>
    <row r="1723" spans="1:13">
      <c r="A1723" s="6">
        <v>43509</v>
      </c>
      <c r="B1723" s="7">
        <v>0.66597222222222219</v>
      </c>
      <c r="C1723" s="13" t="str">
        <f>"FES1162672868"</f>
        <v>FES1162672868</v>
      </c>
      <c r="D1723" s="13" t="s">
        <v>18</v>
      </c>
      <c r="E1723" s="13" t="s">
        <v>780</v>
      </c>
      <c r="F1723" s="13" t="str">
        <f>"2170674133 "</f>
        <v xml:space="preserve">2170674133 </v>
      </c>
      <c r="G1723" s="13" t="str">
        <f t="shared" si="54"/>
        <v>ON1</v>
      </c>
      <c r="H1723" s="13" t="s">
        <v>20</v>
      </c>
      <c r="I1723" s="13" t="s">
        <v>781</v>
      </c>
      <c r="J1723" s="13" t="str">
        <f>""</f>
        <v/>
      </c>
      <c r="K1723" s="13" t="str">
        <f>"PFES1162672868_0001"</f>
        <v>PFES1162672868_0001</v>
      </c>
      <c r="L1723" s="13">
        <v>1</v>
      </c>
      <c r="M1723" s="13">
        <v>1</v>
      </c>
    </row>
    <row r="1724" spans="1:13">
      <c r="A1724" s="6">
        <v>43509</v>
      </c>
      <c r="B1724" s="7">
        <v>0.66527777777777775</v>
      </c>
      <c r="C1724" s="13" t="str">
        <f>"FES1162672905"</f>
        <v>FES1162672905</v>
      </c>
      <c r="D1724" s="13" t="s">
        <v>18</v>
      </c>
      <c r="E1724" s="13" t="s">
        <v>859</v>
      </c>
      <c r="F1724" s="13" t="str">
        <f>"2170671076 "</f>
        <v xml:space="preserve">2170671076 </v>
      </c>
      <c r="G1724" s="13" t="str">
        <f t="shared" si="54"/>
        <v>ON1</v>
      </c>
      <c r="H1724" s="13" t="s">
        <v>20</v>
      </c>
      <c r="I1724" s="13" t="s">
        <v>860</v>
      </c>
      <c r="J1724" s="13" t="str">
        <f>""</f>
        <v/>
      </c>
      <c r="K1724" s="13" t="str">
        <f>"PFES1162672905_0001"</f>
        <v>PFES1162672905_0001</v>
      </c>
      <c r="L1724" s="13">
        <v>1</v>
      </c>
      <c r="M1724" s="13">
        <v>1</v>
      </c>
    </row>
    <row r="1725" spans="1:13">
      <c r="A1725" s="6">
        <v>43509</v>
      </c>
      <c r="B1725" s="7">
        <v>0.6645833333333333</v>
      </c>
      <c r="C1725" s="13" t="str">
        <f>"FES1162672870"</f>
        <v>FES1162672870</v>
      </c>
      <c r="D1725" s="13" t="s">
        <v>18</v>
      </c>
      <c r="E1725" s="13" t="s">
        <v>780</v>
      </c>
      <c r="F1725" s="13" t="str">
        <f>"2170674136 "</f>
        <v xml:space="preserve">2170674136 </v>
      </c>
      <c r="G1725" s="13" t="str">
        <f t="shared" si="54"/>
        <v>ON1</v>
      </c>
      <c r="H1725" s="13" t="s">
        <v>20</v>
      </c>
      <c r="I1725" s="13" t="s">
        <v>781</v>
      </c>
      <c r="J1725" s="13" t="str">
        <f>""</f>
        <v/>
      </c>
      <c r="K1725" s="13" t="str">
        <f>"PFES1162672870_0001"</f>
        <v>PFES1162672870_0001</v>
      </c>
      <c r="L1725" s="13">
        <v>1</v>
      </c>
      <c r="M1725" s="13">
        <v>1</v>
      </c>
    </row>
    <row r="1726" spans="1:13">
      <c r="A1726" s="6">
        <v>43509</v>
      </c>
      <c r="B1726" s="7">
        <v>0.6645833333333333</v>
      </c>
      <c r="C1726" s="13" t="str">
        <f>"FES1162672901"</f>
        <v>FES1162672901</v>
      </c>
      <c r="D1726" s="13" t="s">
        <v>18</v>
      </c>
      <c r="E1726" s="13" t="s">
        <v>295</v>
      </c>
      <c r="F1726" s="13" t="str">
        <f>"2170672757 "</f>
        <v xml:space="preserve">2170672757 </v>
      </c>
      <c r="G1726" s="13" t="str">
        <f t="shared" si="54"/>
        <v>ON1</v>
      </c>
      <c r="H1726" s="13" t="s">
        <v>20</v>
      </c>
      <c r="I1726" s="13" t="s">
        <v>53</v>
      </c>
      <c r="J1726" s="13" t="str">
        <f>""</f>
        <v/>
      </c>
      <c r="K1726" s="13" t="str">
        <f>"PFES1162672901_0001"</f>
        <v>PFES1162672901_0001</v>
      </c>
      <c r="L1726" s="13">
        <v>1</v>
      </c>
      <c r="M1726" s="13">
        <v>1</v>
      </c>
    </row>
    <row r="1727" spans="1:13">
      <c r="A1727" s="6">
        <v>43509</v>
      </c>
      <c r="B1727" s="7">
        <v>0.66388888888888886</v>
      </c>
      <c r="C1727" s="13" t="str">
        <f>"FES1162672880"</f>
        <v>FES1162672880</v>
      </c>
      <c r="D1727" s="13" t="s">
        <v>18</v>
      </c>
      <c r="E1727" s="13" t="s">
        <v>88</v>
      </c>
      <c r="F1727" s="13" t="str">
        <f>"2170674145 "</f>
        <v xml:space="preserve">2170674145 </v>
      </c>
      <c r="G1727" s="13" t="str">
        <f t="shared" si="54"/>
        <v>ON1</v>
      </c>
      <c r="H1727" s="13" t="s">
        <v>20</v>
      </c>
      <c r="I1727" s="13" t="s">
        <v>89</v>
      </c>
      <c r="J1727" s="13" t="str">
        <f>""</f>
        <v/>
      </c>
      <c r="K1727" s="13" t="str">
        <f>"PFES1162672880_0001"</f>
        <v>PFES1162672880_0001</v>
      </c>
      <c r="L1727" s="13">
        <v>1</v>
      </c>
      <c r="M1727" s="13">
        <v>1</v>
      </c>
    </row>
    <row r="1728" spans="1:13">
      <c r="A1728" s="6">
        <v>43509</v>
      </c>
      <c r="B1728" s="7">
        <v>0.66319444444444442</v>
      </c>
      <c r="C1728" s="13" t="str">
        <f>"FES1162672892"</f>
        <v>FES1162672892</v>
      </c>
      <c r="D1728" s="13" t="s">
        <v>18</v>
      </c>
      <c r="E1728" s="13" t="s">
        <v>234</v>
      </c>
      <c r="F1728" s="13" t="str">
        <f>"2170670775 "</f>
        <v xml:space="preserve">2170670775 </v>
      </c>
      <c r="G1728" s="13" t="str">
        <f t="shared" si="54"/>
        <v>ON1</v>
      </c>
      <c r="H1728" s="13" t="s">
        <v>20</v>
      </c>
      <c r="I1728" s="13" t="s">
        <v>233</v>
      </c>
      <c r="J1728" s="13" t="str">
        <f>""</f>
        <v/>
      </c>
      <c r="K1728" s="13" t="str">
        <f>"PFES1162672892_0001"</f>
        <v>PFES1162672892_0001</v>
      </c>
      <c r="L1728" s="13">
        <v>1</v>
      </c>
      <c r="M1728" s="13">
        <v>1</v>
      </c>
    </row>
    <row r="1729" spans="1:13">
      <c r="A1729" s="6">
        <v>43509</v>
      </c>
      <c r="B1729" s="7">
        <v>0.66041666666666665</v>
      </c>
      <c r="C1729" s="13" t="str">
        <f>"FES1162672931"</f>
        <v>FES1162672931</v>
      </c>
      <c r="D1729" s="13" t="s">
        <v>18</v>
      </c>
      <c r="E1729" s="13" t="s">
        <v>530</v>
      </c>
      <c r="F1729" s="13" t="str">
        <f>"2170674188 "</f>
        <v xml:space="preserve">2170674188 </v>
      </c>
      <c r="G1729" s="13" t="str">
        <f t="shared" si="54"/>
        <v>ON1</v>
      </c>
      <c r="H1729" s="13" t="s">
        <v>20</v>
      </c>
      <c r="I1729" s="13" t="s">
        <v>531</v>
      </c>
      <c r="J1729" s="13" t="str">
        <f>""</f>
        <v/>
      </c>
      <c r="K1729" s="13" t="str">
        <f>"PFES1162672931_0001"</f>
        <v>PFES1162672931_0001</v>
      </c>
      <c r="L1729" s="13">
        <v>1</v>
      </c>
      <c r="M1729" s="13">
        <v>10</v>
      </c>
    </row>
    <row r="1730" spans="1:13">
      <c r="A1730" s="6">
        <v>43509</v>
      </c>
      <c r="B1730" s="7">
        <v>0.66041666666666665</v>
      </c>
      <c r="C1730" s="13" t="str">
        <f>"FES1162672958"</f>
        <v>FES1162672958</v>
      </c>
      <c r="D1730" s="13" t="s">
        <v>18</v>
      </c>
      <c r="E1730" s="13" t="s">
        <v>97</v>
      </c>
      <c r="F1730" s="13" t="str">
        <f>"2170674222 "</f>
        <v xml:space="preserve">2170674222 </v>
      </c>
      <c r="G1730" s="13" t="str">
        <f t="shared" si="54"/>
        <v>ON1</v>
      </c>
      <c r="H1730" s="13" t="s">
        <v>20</v>
      </c>
      <c r="I1730" s="13" t="s">
        <v>70</v>
      </c>
      <c r="J1730" s="13" t="str">
        <f>""</f>
        <v/>
      </c>
      <c r="K1730" s="13" t="str">
        <f>"PFES1162672958_0001"</f>
        <v>PFES1162672958_0001</v>
      </c>
      <c r="L1730" s="13">
        <v>1</v>
      </c>
      <c r="M1730" s="13">
        <v>1</v>
      </c>
    </row>
    <row r="1731" spans="1:13">
      <c r="A1731" s="6">
        <v>43509</v>
      </c>
      <c r="B1731" s="7">
        <v>0.65972222222222221</v>
      </c>
      <c r="C1731" s="13" t="str">
        <f>"FES1162672945"</f>
        <v>FES1162672945</v>
      </c>
      <c r="D1731" s="13" t="s">
        <v>18</v>
      </c>
      <c r="E1731" s="13" t="s">
        <v>264</v>
      </c>
      <c r="F1731" s="13" t="str">
        <f>"2170674201 "</f>
        <v xml:space="preserve">2170674201 </v>
      </c>
      <c r="G1731" s="13" t="str">
        <f t="shared" si="54"/>
        <v>ON1</v>
      </c>
      <c r="H1731" s="13" t="s">
        <v>20</v>
      </c>
      <c r="I1731" s="13" t="s">
        <v>265</v>
      </c>
      <c r="J1731" s="13" t="str">
        <f>""</f>
        <v/>
      </c>
      <c r="K1731" s="13" t="str">
        <f>"PFES1162672945_0001"</f>
        <v>PFES1162672945_0001</v>
      </c>
      <c r="L1731" s="13">
        <v>1</v>
      </c>
      <c r="M1731" s="13">
        <v>3</v>
      </c>
    </row>
    <row r="1732" spans="1:13">
      <c r="A1732" s="6">
        <v>43509</v>
      </c>
      <c r="B1732" s="7">
        <v>0.65833333333333333</v>
      </c>
      <c r="C1732" s="13" t="str">
        <f>"FES1162672952"</f>
        <v>FES1162672952</v>
      </c>
      <c r="D1732" s="13" t="s">
        <v>18</v>
      </c>
      <c r="E1732" s="13" t="s">
        <v>661</v>
      </c>
      <c r="F1732" s="13" t="str">
        <f>"2170674215 "</f>
        <v xml:space="preserve">2170674215 </v>
      </c>
      <c r="G1732" s="13" t="str">
        <f t="shared" si="54"/>
        <v>ON1</v>
      </c>
      <c r="H1732" s="13" t="s">
        <v>20</v>
      </c>
      <c r="I1732" s="13" t="s">
        <v>539</v>
      </c>
      <c r="J1732" s="13" t="str">
        <f>""</f>
        <v/>
      </c>
      <c r="K1732" s="13" t="str">
        <f>"PFES1162672952_0001"</f>
        <v>PFES1162672952_0001</v>
      </c>
      <c r="L1732" s="13">
        <v>1</v>
      </c>
      <c r="M1732" s="13">
        <v>1</v>
      </c>
    </row>
    <row r="1733" spans="1:13">
      <c r="A1733" s="6">
        <v>43509</v>
      </c>
      <c r="B1733" s="7">
        <v>0.65763888888888888</v>
      </c>
      <c r="C1733" s="13" t="str">
        <f>"FES1162672953"</f>
        <v>FES1162672953</v>
      </c>
      <c r="D1733" s="13" t="s">
        <v>18</v>
      </c>
      <c r="E1733" s="13" t="s">
        <v>861</v>
      </c>
      <c r="F1733" s="13" t="str">
        <f>"2170674216 "</f>
        <v xml:space="preserve">2170674216 </v>
      </c>
      <c r="G1733" s="13" t="str">
        <f t="shared" si="54"/>
        <v>ON1</v>
      </c>
      <c r="H1733" s="13" t="s">
        <v>20</v>
      </c>
      <c r="I1733" s="13" t="s">
        <v>39</v>
      </c>
      <c r="J1733" s="13" t="str">
        <f>""</f>
        <v/>
      </c>
      <c r="K1733" s="13" t="str">
        <f>"PFES1162672953_0001"</f>
        <v>PFES1162672953_0001</v>
      </c>
      <c r="L1733" s="13">
        <v>1</v>
      </c>
      <c r="M1733" s="13">
        <v>1</v>
      </c>
    </row>
    <row r="1734" spans="1:13">
      <c r="A1734" s="6">
        <v>43509</v>
      </c>
      <c r="B1734" s="7">
        <v>0.65763888888888888</v>
      </c>
      <c r="C1734" s="13" t="str">
        <f>"FES1162672935"</f>
        <v>FES1162672935</v>
      </c>
      <c r="D1734" s="13" t="s">
        <v>18</v>
      </c>
      <c r="E1734" s="13" t="s">
        <v>530</v>
      </c>
      <c r="F1734" s="13" t="str">
        <f>"2170674193 "</f>
        <v xml:space="preserve">2170674193 </v>
      </c>
      <c r="G1734" s="13" t="str">
        <f t="shared" si="54"/>
        <v>ON1</v>
      </c>
      <c r="H1734" s="13" t="s">
        <v>20</v>
      </c>
      <c r="I1734" s="13" t="s">
        <v>531</v>
      </c>
      <c r="J1734" s="13" t="str">
        <f>""</f>
        <v/>
      </c>
      <c r="K1734" s="13" t="str">
        <f>"PFES1162672935_0001"</f>
        <v>PFES1162672935_0001</v>
      </c>
      <c r="L1734" s="13">
        <v>1</v>
      </c>
      <c r="M1734" s="13">
        <v>10</v>
      </c>
    </row>
    <row r="1735" spans="1:13">
      <c r="A1735" s="6">
        <v>43509</v>
      </c>
      <c r="B1735" s="7">
        <v>0.65486111111111112</v>
      </c>
      <c r="C1735" s="13" t="str">
        <f>"FES1162672951"</f>
        <v>FES1162672951</v>
      </c>
      <c r="D1735" s="13" t="s">
        <v>18</v>
      </c>
      <c r="E1735" s="13" t="s">
        <v>862</v>
      </c>
      <c r="F1735" s="13" t="str">
        <f>"2170674211 "</f>
        <v xml:space="preserve">2170674211 </v>
      </c>
      <c r="G1735" s="13" t="str">
        <f t="shared" si="54"/>
        <v>ON1</v>
      </c>
      <c r="H1735" s="13" t="s">
        <v>20</v>
      </c>
      <c r="I1735" s="13" t="s">
        <v>265</v>
      </c>
      <c r="J1735" s="13" t="str">
        <f>""</f>
        <v/>
      </c>
      <c r="K1735" s="13" t="str">
        <f>"PFES1162672951_0001"</f>
        <v>PFES1162672951_0001</v>
      </c>
      <c r="L1735" s="13">
        <v>1</v>
      </c>
      <c r="M1735" s="13">
        <v>1</v>
      </c>
    </row>
    <row r="1736" spans="1:13">
      <c r="A1736" s="6">
        <v>43509</v>
      </c>
      <c r="B1736" s="7">
        <v>0.65486111111111112</v>
      </c>
      <c r="C1736" s="13" t="str">
        <f>"FES1162672944"</f>
        <v>FES1162672944</v>
      </c>
      <c r="D1736" s="13" t="s">
        <v>18</v>
      </c>
      <c r="E1736" s="13" t="s">
        <v>138</v>
      </c>
      <c r="F1736" s="13" t="str">
        <f>"2170674200 "</f>
        <v xml:space="preserve">2170674200 </v>
      </c>
      <c r="G1736" s="13" t="str">
        <f t="shared" si="54"/>
        <v>ON1</v>
      </c>
      <c r="H1736" s="13" t="s">
        <v>20</v>
      </c>
      <c r="I1736" s="13" t="s">
        <v>139</v>
      </c>
      <c r="J1736" s="13" t="str">
        <f>""</f>
        <v/>
      </c>
      <c r="K1736" s="13" t="str">
        <f>"PFES1162672944_0001"</f>
        <v>PFES1162672944_0001</v>
      </c>
      <c r="L1736" s="13">
        <v>1</v>
      </c>
      <c r="M1736" s="13">
        <v>1</v>
      </c>
    </row>
    <row r="1737" spans="1:13">
      <c r="A1737" s="6">
        <v>43509</v>
      </c>
      <c r="B1737" s="7">
        <v>0.62986111111111109</v>
      </c>
      <c r="C1737" s="13" t="str">
        <f>"FES1162672941"</f>
        <v>FES1162672941</v>
      </c>
      <c r="D1737" s="13" t="s">
        <v>18</v>
      </c>
      <c r="E1737" s="13" t="s">
        <v>863</v>
      </c>
      <c r="F1737" s="13" t="str">
        <f>"2170631375 "</f>
        <v xml:space="preserve">2170631375 </v>
      </c>
      <c r="G1737" s="13" t="str">
        <f t="shared" si="54"/>
        <v>ON1</v>
      </c>
      <c r="H1737" s="13" t="s">
        <v>20</v>
      </c>
      <c r="I1737" s="13" t="s">
        <v>390</v>
      </c>
      <c r="J1737" s="13" t="str">
        <f>""</f>
        <v/>
      </c>
      <c r="K1737" s="13" t="str">
        <f>"PFES1162672941_0001"</f>
        <v>PFES1162672941_0001</v>
      </c>
      <c r="L1737" s="13">
        <v>1</v>
      </c>
      <c r="M1737" s="13">
        <v>15</v>
      </c>
    </row>
    <row r="1738" spans="1:13">
      <c r="A1738" s="6">
        <v>43509</v>
      </c>
      <c r="B1738" s="7">
        <v>0.62916666666666665</v>
      </c>
      <c r="C1738" s="13" t="str">
        <f>"FES1162672919"</f>
        <v>FES1162672919</v>
      </c>
      <c r="D1738" s="13" t="s">
        <v>18</v>
      </c>
      <c r="E1738" s="13" t="s">
        <v>864</v>
      </c>
      <c r="F1738" s="13" t="str">
        <f>"2170671770 "</f>
        <v xml:space="preserve">2170671770 </v>
      </c>
      <c r="G1738" s="13" t="str">
        <f t="shared" si="54"/>
        <v>ON1</v>
      </c>
      <c r="H1738" s="13" t="s">
        <v>20</v>
      </c>
      <c r="I1738" s="13" t="s">
        <v>865</v>
      </c>
      <c r="J1738" s="13" t="str">
        <f>""</f>
        <v/>
      </c>
      <c r="K1738" s="13" t="str">
        <f>"PFES1162672919_0001"</f>
        <v>PFES1162672919_0001</v>
      </c>
      <c r="L1738" s="13">
        <v>1</v>
      </c>
      <c r="M1738" s="13">
        <v>7</v>
      </c>
    </row>
    <row r="1739" spans="1:13">
      <c r="A1739" s="6">
        <v>43509</v>
      </c>
      <c r="B1739" s="7">
        <v>0.62777777777777777</v>
      </c>
      <c r="C1739" s="13" t="str">
        <f>"FES1162672909"</f>
        <v>FES1162672909</v>
      </c>
      <c r="D1739" s="13" t="s">
        <v>18</v>
      </c>
      <c r="E1739" s="13" t="s">
        <v>813</v>
      </c>
      <c r="F1739" s="13" t="str">
        <f>"2170673861 "</f>
        <v xml:space="preserve">2170673861 </v>
      </c>
      <c r="G1739" s="13" t="str">
        <f t="shared" si="54"/>
        <v>ON1</v>
      </c>
      <c r="H1739" s="13" t="s">
        <v>20</v>
      </c>
      <c r="I1739" s="13" t="s">
        <v>33</v>
      </c>
      <c r="J1739" s="13" t="str">
        <f>""</f>
        <v/>
      </c>
      <c r="K1739" s="13" t="str">
        <f>"PFES1162672909_0001"</f>
        <v>PFES1162672909_0001</v>
      </c>
      <c r="L1739" s="13">
        <v>1</v>
      </c>
      <c r="M1739" s="13">
        <v>9</v>
      </c>
    </row>
    <row r="1740" spans="1:13">
      <c r="A1740" s="6">
        <v>43509</v>
      </c>
      <c r="B1740" s="7">
        <v>0.62638888888888888</v>
      </c>
      <c r="C1740" s="13" t="str">
        <f>"FES1162672908"</f>
        <v>FES1162672908</v>
      </c>
      <c r="D1740" s="13" t="s">
        <v>18</v>
      </c>
      <c r="E1740" s="13" t="s">
        <v>866</v>
      </c>
      <c r="F1740" s="13" t="str">
        <f>"2170673653 "</f>
        <v xml:space="preserve">2170673653 </v>
      </c>
      <c r="G1740" s="13" t="str">
        <f t="shared" si="54"/>
        <v>ON1</v>
      </c>
      <c r="H1740" s="13" t="s">
        <v>20</v>
      </c>
      <c r="I1740" s="13" t="s">
        <v>867</v>
      </c>
      <c r="J1740" s="13" t="str">
        <f>""</f>
        <v/>
      </c>
      <c r="K1740" s="13" t="str">
        <f>"PFES1162672908_0001"</f>
        <v>PFES1162672908_0001</v>
      </c>
      <c r="L1740" s="13">
        <v>1</v>
      </c>
      <c r="M1740" s="13">
        <v>1</v>
      </c>
    </row>
    <row r="1741" spans="1:13">
      <c r="A1741" s="6">
        <v>43509</v>
      </c>
      <c r="B1741" s="7">
        <v>0.62638888888888888</v>
      </c>
      <c r="C1741" s="13" t="str">
        <f>"FES1162672939"</f>
        <v>FES1162672939</v>
      </c>
      <c r="D1741" s="13" t="s">
        <v>18</v>
      </c>
      <c r="E1741" s="13" t="s">
        <v>451</v>
      </c>
      <c r="F1741" s="13" t="str">
        <f>"2170674197 "</f>
        <v xml:space="preserve">2170674197 </v>
      </c>
      <c r="G1741" s="13" t="str">
        <f t="shared" si="54"/>
        <v>ON1</v>
      </c>
      <c r="H1741" s="13" t="s">
        <v>20</v>
      </c>
      <c r="I1741" s="13" t="s">
        <v>149</v>
      </c>
      <c r="J1741" s="13" t="str">
        <f>""</f>
        <v/>
      </c>
      <c r="K1741" s="13" t="str">
        <f>"PFES1162672939_0001"</f>
        <v>PFES1162672939_0001</v>
      </c>
      <c r="L1741" s="13">
        <v>1</v>
      </c>
      <c r="M1741" s="13">
        <v>1</v>
      </c>
    </row>
    <row r="1742" spans="1:13">
      <c r="A1742" s="6">
        <v>43509</v>
      </c>
      <c r="B1742" s="7">
        <v>0.62569444444444444</v>
      </c>
      <c r="C1742" s="13" t="str">
        <f>"FES1162672938"</f>
        <v>FES1162672938</v>
      </c>
      <c r="D1742" s="13" t="s">
        <v>18</v>
      </c>
      <c r="E1742" s="13" t="s">
        <v>868</v>
      </c>
      <c r="F1742" s="13" t="str">
        <f>"2170674196 "</f>
        <v xml:space="preserve">2170674196 </v>
      </c>
      <c r="G1742" s="13" t="str">
        <f t="shared" si="54"/>
        <v>ON1</v>
      </c>
      <c r="H1742" s="13" t="s">
        <v>20</v>
      </c>
      <c r="I1742" s="13" t="s">
        <v>39</v>
      </c>
      <c r="J1742" s="13" t="str">
        <f>""</f>
        <v/>
      </c>
      <c r="K1742" s="13" t="str">
        <f>"PFES1162672938_0001"</f>
        <v>PFES1162672938_0001</v>
      </c>
      <c r="L1742" s="13">
        <v>1</v>
      </c>
      <c r="M1742" s="13">
        <v>1</v>
      </c>
    </row>
    <row r="1743" spans="1:13">
      <c r="A1743" s="6">
        <v>43509</v>
      </c>
      <c r="B1743" s="7">
        <v>0.62569444444444444</v>
      </c>
      <c r="C1743" s="13" t="str">
        <f>"FES1162672890"</f>
        <v>FES1162672890</v>
      </c>
      <c r="D1743" s="13" t="s">
        <v>18</v>
      </c>
      <c r="E1743" s="13" t="s">
        <v>451</v>
      </c>
      <c r="F1743" s="13" t="str">
        <f>"2170674157 "</f>
        <v xml:space="preserve">2170674157 </v>
      </c>
      <c r="G1743" s="13" t="str">
        <f t="shared" si="54"/>
        <v>ON1</v>
      </c>
      <c r="H1743" s="13" t="s">
        <v>20</v>
      </c>
      <c r="I1743" s="13" t="s">
        <v>149</v>
      </c>
      <c r="J1743" s="13" t="str">
        <f>""</f>
        <v/>
      </c>
      <c r="K1743" s="13" t="str">
        <f>"PFES1162672890_0001"</f>
        <v>PFES1162672890_0001</v>
      </c>
      <c r="L1743" s="13">
        <v>1</v>
      </c>
      <c r="M1743" s="13">
        <v>4</v>
      </c>
    </row>
    <row r="1744" spans="1:13">
      <c r="A1744" s="6">
        <v>43509</v>
      </c>
      <c r="B1744" s="7">
        <v>0.62430555555555556</v>
      </c>
      <c r="C1744" s="13" t="str">
        <f>"FES1162672913"</f>
        <v>FES1162672913</v>
      </c>
      <c r="D1744" s="13" t="s">
        <v>18</v>
      </c>
      <c r="E1744" s="13" t="s">
        <v>485</v>
      </c>
      <c r="F1744" s="13" t="str">
        <f>"2170674178 "</f>
        <v xml:space="preserve">2170674178 </v>
      </c>
      <c r="G1744" s="13" t="str">
        <f t="shared" si="54"/>
        <v>ON1</v>
      </c>
      <c r="H1744" s="13" t="s">
        <v>20</v>
      </c>
      <c r="I1744" s="13" t="s">
        <v>282</v>
      </c>
      <c r="J1744" s="13" t="str">
        <f>""</f>
        <v/>
      </c>
      <c r="K1744" s="13" t="str">
        <f>"PFES1162672913_0001"</f>
        <v>PFES1162672913_0001</v>
      </c>
      <c r="L1744" s="13">
        <v>1</v>
      </c>
      <c r="M1744" s="13">
        <v>2</v>
      </c>
    </row>
    <row r="1745" spans="1:13">
      <c r="A1745" s="6">
        <v>43509</v>
      </c>
      <c r="B1745" s="7">
        <v>0.62222222222222223</v>
      </c>
      <c r="C1745" s="13" t="str">
        <f>"FES1162672907"</f>
        <v>FES1162672907</v>
      </c>
      <c r="D1745" s="13" t="s">
        <v>18</v>
      </c>
      <c r="E1745" s="13" t="s">
        <v>866</v>
      </c>
      <c r="F1745" s="13" t="str">
        <f>"2170673649 "</f>
        <v xml:space="preserve">2170673649 </v>
      </c>
      <c r="G1745" s="13" t="str">
        <f t="shared" si="54"/>
        <v>ON1</v>
      </c>
      <c r="H1745" s="13" t="s">
        <v>20</v>
      </c>
      <c r="I1745" s="13" t="s">
        <v>867</v>
      </c>
      <c r="J1745" s="13" t="str">
        <f>""</f>
        <v/>
      </c>
      <c r="K1745" s="13" t="str">
        <f>"PFES1162672907_0001"</f>
        <v>PFES1162672907_0001</v>
      </c>
      <c r="L1745" s="13">
        <v>1</v>
      </c>
      <c r="M1745" s="13">
        <v>2</v>
      </c>
    </row>
    <row r="1746" spans="1:13">
      <c r="A1746" s="6">
        <v>43509</v>
      </c>
      <c r="B1746" s="7">
        <v>0.62013888888888891</v>
      </c>
      <c r="C1746" s="13" t="str">
        <f>"FES1162672918"</f>
        <v>FES1162672918</v>
      </c>
      <c r="D1746" s="13" t="s">
        <v>18</v>
      </c>
      <c r="E1746" s="13" t="s">
        <v>69</v>
      </c>
      <c r="F1746" s="13" t="str">
        <f>"2170673597 "</f>
        <v xml:space="preserve">2170673597 </v>
      </c>
      <c r="G1746" s="13" t="str">
        <f t="shared" si="54"/>
        <v>ON1</v>
      </c>
      <c r="H1746" s="13" t="s">
        <v>20</v>
      </c>
      <c r="I1746" s="13" t="s">
        <v>70</v>
      </c>
      <c r="J1746" s="13" t="str">
        <f>""</f>
        <v/>
      </c>
      <c r="K1746" s="13" t="str">
        <f>"PFES1162672918_0001"</f>
        <v>PFES1162672918_0001</v>
      </c>
      <c r="L1746" s="13">
        <v>1</v>
      </c>
      <c r="M1746" s="13">
        <v>1</v>
      </c>
    </row>
    <row r="1747" spans="1:13">
      <c r="A1747" s="6">
        <v>43509</v>
      </c>
      <c r="B1747" s="7">
        <v>0.62013888888888891</v>
      </c>
      <c r="C1747" s="13" t="str">
        <f>"FES1162672889"</f>
        <v>FES1162672889</v>
      </c>
      <c r="D1747" s="13" t="s">
        <v>18</v>
      </c>
      <c r="E1747" s="13" t="s">
        <v>772</v>
      </c>
      <c r="F1747" s="13" t="str">
        <f>"2170674154 "</f>
        <v xml:space="preserve">2170674154 </v>
      </c>
      <c r="G1747" s="13" t="str">
        <f t="shared" si="54"/>
        <v>ON1</v>
      </c>
      <c r="H1747" s="13" t="s">
        <v>20</v>
      </c>
      <c r="I1747" s="13" t="s">
        <v>773</v>
      </c>
      <c r="J1747" s="13" t="str">
        <f>""</f>
        <v/>
      </c>
      <c r="K1747" s="13" t="str">
        <f>"PFES1162672889_0001"</f>
        <v>PFES1162672889_0001</v>
      </c>
      <c r="L1747" s="13">
        <v>1</v>
      </c>
      <c r="M1747" s="13">
        <v>1</v>
      </c>
    </row>
    <row r="1748" spans="1:13">
      <c r="A1748" s="6">
        <v>43509</v>
      </c>
      <c r="B1748" s="7">
        <v>0.61597222222222225</v>
      </c>
      <c r="C1748" s="13" t="str">
        <f>"009935791981"</f>
        <v>009935791981</v>
      </c>
      <c r="D1748" s="13" t="s">
        <v>18</v>
      </c>
      <c r="E1748" s="13" t="s">
        <v>305</v>
      </c>
      <c r="F1748" s="13" t="str">
        <f>"2170660280 "</f>
        <v xml:space="preserve">2170660280 </v>
      </c>
      <c r="G1748" s="13" t="str">
        <f t="shared" si="54"/>
        <v>ON1</v>
      </c>
      <c r="H1748" s="13" t="s">
        <v>20</v>
      </c>
      <c r="I1748" s="13" t="s">
        <v>197</v>
      </c>
      <c r="J1748" s="13" t="str">
        <f>""</f>
        <v/>
      </c>
      <c r="K1748" s="13" t="str">
        <f>"P009935791981_0001"</f>
        <v>P009935791981_0001</v>
      </c>
      <c r="L1748" s="13">
        <v>1</v>
      </c>
      <c r="M1748" s="13">
        <v>1</v>
      </c>
    </row>
    <row r="1749" spans="1:13">
      <c r="A1749" s="6">
        <v>43509</v>
      </c>
      <c r="B1749" s="7">
        <v>0.61527777777777781</v>
      </c>
      <c r="C1749" s="13" t="str">
        <f>"FES1162672884"</f>
        <v>FES1162672884</v>
      </c>
      <c r="D1749" s="13" t="s">
        <v>18</v>
      </c>
      <c r="E1749" s="13" t="s">
        <v>585</v>
      </c>
      <c r="F1749" s="13" t="str">
        <f>"2170674150 "</f>
        <v xml:space="preserve">2170674150 </v>
      </c>
      <c r="G1749" s="13" t="str">
        <f t="shared" si="54"/>
        <v>ON1</v>
      </c>
      <c r="H1749" s="13" t="s">
        <v>20</v>
      </c>
      <c r="I1749" s="13" t="s">
        <v>586</v>
      </c>
      <c r="J1749" s="13" t="str">
        <f>""</f>
        <v/>
      </c>
      <c r="K1749" s="13" t="str">
        <f>"PFES1162672884_0001"</f>
        <v>PFES1162672884_0001</v>
      </c>
      <c r="L1749" s="13">
        <v>1</v>
      </c>
      <c r="M1749" s="13">
        <v>1</v>
      </c>
    </row>
    <row r="1750" spans="1:13">
      <c r="A1750" s="6">
        <v>43509</v>
      </c>
      <c r="B1750" s="7">
        <v>0.61458333333333337</v>
      </c>
      <c r="C1750" s="13" t="str">
        <f>"FES1162672900"</f>
        <v>FES1162672900</v>
      </c>
      <c r="D1750" s="13" t="s">
        <v>18</v>
      </c>
      <c r="E1750" s="13" t="s">
        <v>869</v>
      </c>
      <c r="F1750" s="13" t="str">
        <f>"32170674169 "</f>
        <v xml:space="preserve">32170674169 </v>
      </c>
      <c r="G1750" s="13" t="str">
        <f t="shared" si="54"/>
        <v>ON1</v>
      </c>
      <c r="H1750" s="13" t="s">
        <v>20</v>
      </c>
      <c r="I1750" s="13" t="s">
        <v>635</v>
      </c>
      <c r="J1750" s="13" t="str">
        <f>""</f>
        <v/>
      </c>
      <c r="K1750" s="13" t="str">
        <f>"PFES1162672900_0001"</f>
        <v>PFES1162672900_0001</v>
      </c>
      <c r="L1750" s="13">
        <v>1</v>
      </c>
      <c r="M1750" s="13">
        <v>11</v>
      </c>
    </row>
    <row r="1751" spans="1:13">
      <c r="A1751" s="6">
        <v>43509</v>
      </c>
      <c r="B1751" s="7">
        <v>0.61458333333333337</v>
      </c>
      <c r="C1751" s="13" t="str">
        <f>"FES1162672840"</f>
        <v>FES1162672840</v>
      </c>
      <c r="D1751" s="13" t="s">
        <v>18</v>
      </c>
      <c r="E1751" s="13" t="s">
        <v>19</v>
      </c>
      <c r="F1751" s="13" t="str">
        <f>"2170674113 "</f>
        <v xml:space="preserve">2170674113 </v>
      </c>
      <c r="G1751" s="13" t="str">
        <f t="shared" si="54"/>
        <v>ON1</v>
      </c>
      <c r="H1751" s="13" t="s">
        <v>20</v>
      </c>
      <c r="I1751" s="13" t="s">
        <v>21</v>
      </c>
      <c r="J1751" s="13" t="str">
        <f>""</f>
        <v/>
      </c>
      <c r="K1751" s="13" t="str">
        <f>"PFES1162672840_0001"</f>
        <v>PFES1162672840_0001</v>
      </c>
      <c r="L1751" s="13">
        <v>1</v>
      </c>
      <c r="M1751" s="13">
        <v>4</v>
      </c>
    </row>
    <row r="1752" spans="1:13">
      <c r="A1752" s="6">
        <v>43509</v>
      </c>
      <c r="B1752" s="7">
        <v>0.61388888888888882</v>
      </c>
      <c r="C1752" s="13" t="str">
        <f>"FES1162672894"</f>
        <v>FES1162672894</v>
      </c>
      <c r="D1752" s="13" t="s">
        <v>18</v>
      </c>
      <c r="E1752" s="13" t="s">
        <v>19</v>
      </c>
      <c r="F1752" s="13" t="str">
        <f>"2170674167 "</f>
        <v xml:space="preserve">2170674167 </v>
      </c>
      <c r="G1752" s="13" t="str">
        <f t="shared" si="54"/>
        <v>ON1</v>
      </c>
      <c r="H1752" s="13" t="s">
        <v>20</v>
      </c>
      <c r="I1752" s="13" t="s">
        <v>21</v>
      </c>
      <c r="J1752" s="13" t="str">
        <f>""</f>
        <v/>
      </c>
      <c r="K1752" s="13" t="str">
        <f>"PFES1162672894_0001"</f>
        <v>PFES1162672894_0001</v>
      </c>
      <c r="L1752" s="13">
        <v>1</v>
      </c>
      <c r="M1752" s="13">
        <v>16</v>
      </c>
    </row>
    <row r="1753" spans="1:13">
      <c r="A1753" s="6">
        <v>43509</v>
      </c>
      <c r="B1753" s="7">
        <v>0.61319444444444449</v>
      </c>
      <c r="C1753" s="13" t="str">
        <f>"FES1162672914"</f>
        <v>FES1162672914</v>
      </c>
      <c r="D1753" s="13" t="s">
        <v>18</v>
      </c>
      <c r="E1753" s="13" t="s">
        <v>69</v>
      </c>
      <c r="F1753" s="13" t="str">
        <f>"2170674180 "</f>
        <v xml:space="preserve">2170674180 </v>
      </c>
      <c r="G1753" s="13" t="str">
        <f t="shared" si="54"/>
        <v>ON1</v>
      </c>
      <c r="H1753" s="13" t="s">
        <v>20</v>
      </c>
      <c r="I1753" s="13" t="s">
        <v>70</v>
      </c>
      <c r="J1753" s="13" t="str">
        <f>""</f>
        <v/>
      </c>
      <c r="K1753" s="13" t="str">
        <f>"PFES1162672914_0001"</f>
        <v>PFES1162672914_0001</v>
      </c>
      <c r="L1753" s="13">
        <v>1</v>
      </c>
      <c r="M1753" s="13">
        <v>1</v>
      </c>
    </row>
    <row r="1754" spans="1:13">
      <c r="A1754" s="6">
        <v>43509</v>
      </c>
      <c r="B1754" s="7">
        <v>0.61249999999999993</v>
      </c>
      <c r="C1754" s="13" t="str">
        <f>"FES1162672906"</f>
        <v>FES1162672906</v>
      </c>
      <c r="D1754" s="13" t="s">
        <v>18</v>
      </c>
      <c r="E1754" s="13" t="s">
        <v>866</v>
      </c>
      <c r="F1754" s="13" t="str">
        <f>"2170673648 "</f>
        <v xml:space="preserve">2170673648 </v>
      </c>
      <c r="G1754" s="13" t="str">
        <f t="shared" si="54"/>
        <v>ON1</v>
      </c>
      <c r="H1754" s="13" t="s">
        <v>20</v>
      </c>
      <c r="I1754" s="13" t="s">
        <v>867</v>
      </c>
      <c r="J1754" s="13" t="str">
        <f>""</f>
        <v/>
      </c>
      <c r="K1754" s="13" t="str">
        <f>"PFES1162672906_0001"</f>
        <v>PFES1162672906_0001</v>
      </c>
      <c r="L1754" s="13">
        <v>1</v>
      </c>
      <c r="M1754" s="13">
        <v>1</v>
      </c>
    </row>
    <row r="1755" spans="1:13">
      <c r="A1755" s="6">
        <v>43509</v>
      </c>
      <c r="B1755" s="7">
        <v>0.60833333333333328</v>
      </c>
      <c r="C1755" s="13" t="str">
        <f>"FES1162672791"</f>
        <v>FES1162672791</v>
      </c>
      <c r="D1755" s="13" t="s">
        <v>18</v>
      </c>
      <c r="E1755" s="13" t="s">
        <v>446</v>
      </c>
      <c r="F1755" s="13" t="str">
        <f>"2170674056 "</f>
        <v xml:space="preserve">2170674056 </v>
      </c>
      <c r="G1755" s="13" t="str">
        <f t="shared" si="54"/>
        <v>ON1</v>
      </c>
      <c r="H1755" s="13" t="s">
        <v>20</v>
      </c>
      <c r="I1755" s="13" t="s">
        <v>294</v>
      </c>
      <c r="J1755" s="13" t="str">
        <f>""</f>
        <v/>
      </c>
      <c r="K1755" s="13" t="str">
        <f>"PFES1162672791_0001"</f>
        <v>PFES1162672791_0001</v>
      </c>
      <c r="L1755" s="13">
        <v>1</v>
      </c>
      <c r="M1755" s="13">
        <v>5</v>
      </c>
    </row>
    <row r="1756" spans="1:13">
      <c r="A1756" s="6">
        <v>43509</v>
      </c>
      <c r="B1756" s="7">
        <v>0.60763888888888895</v>
      </c>
      <c r="C1756" s="13" t="str">
        <f>"FES1162672847"</f>
        <v>FES1162672847</v>
      </c>
      <c r="D1756" s="13" t="s">
        <v>18</v>
      </c>
      <c r="E1756" s="13" t="s">
        <v>335</v>
      </c>
      <c r="F1756" s="13" t="str">
        <f>"2170667713 "</f>
        <v xml:space="preserve">2170667713 </v>
      </c>
      <c r="G1756" s="13" t="str">
        <f t="shared" si="54"/>
        <v>ON1</v>
      </c>
      <c r="H1756" s="13" t="s">
        <v>20</v>
      </c>
      <c r="I1756" s="13" t="s">
        <v>336</v>
      </c>
      <c r="J1756" s="13" t="str">
        <f>""</f>
        <v/>
      </c>
      <c r="K1756" s="13" t="str">
        <f>"PFES1162672847_0001"</f>
        <v>PFES1162672847_0001</v>
      </c>
      <c r="L1756" s="13">
        <v>1</v>
      </c>
      <c r="M1756" s="13">
        <v>2</v>
      </c>
    </row>
    <row r="1757" spans="1:13">
      <c r="A1757" s="6">
        <v>43509</v>
      </c>
      <c r="B1757" s="7">
        <v>0.60625000000000007</v>
      </c>
      <c r="C1757" s="13" t="str">
        <f>"FES1162672824"</f>
        <v>FES1162672824</v>
      </c>
      <c r="D1757" s="13" t="s">
        <v>18</v>
      </c>
      <c r="E1757" s="13" t="s">
        <v>646</v>
      </c>
      <c r="F1757" s="13" t="str">
        <f>"2170674088 "</f>
        <v xml:space="preserve">2170674088 </v>
      </c>
      <c r="G1757" s="13" t="str">
        <f t="shared" si="54"/>
        <v>ON1</v>
      </c>
      <c r="H1757" s="13" t="s">
        <v>20</v>
      </c>
      <c r="I1757" s="13" t="s">
        <v>410</v>
      </c>
      <c r="J1757" s="13" t="str">
        <f>""</f>
        <v/>
      </c>
      <c r="K1757" s="13" t="str">
        <f>"PFES1162672824_0001"</f>
        <v>PFES1162672824_0001</v>
      </c>
      <c r="L1757" s="13">
        <v>1</v>
      </c>
      <c r="M1757" s="13">
        <v>3</v>
      </c>
    </row>
    <row r="1758" spans="1:13">
      <c r="A1758" s="6">
        <v>43509</v>
      </c>
      <c r="B1758" s="7">
        <v>0.60486111111111118</v>
      </c>
      <c r="C1758" s="13" t="str">
        <f>"FES1162672865"</f>
        <v>FES1162672865</v>
      </c>
      <c r="D1758" s="13" t="s">
        <v>18</v>
      </c>
      <c r="E1758" s="13" t="s">
        <v>380</v>
      </c>
      <c r="F1758" s="13" t="str">
        <f>"2170674129 "</f>
        <v xml:space="preserve">2170674129 </v>
      </c>
      <c r="G1758" s="13" t="str">
        <f t="shared" si="54"/>
        <v>ON1</v>
      </c>
      <c r="H1758" s="13" t="s">
        <v>20</v>
      </c>
      <c r="I1758" s="13" t="s">
        <v>213</v>
      </c>
      <c r="J1758" s="13" t="str">
        <f>""</f>
        <v/>
      </c>
      <c r="K1758" s="13" t="str">
        <f>"PFES1162672865_0001"</f>
        <v>PFES1162672865_0001</v>
      </c>
      <c r="L1758" s="13">
        <v>1</v>
      </c>
      <c r="M1758" s="13">
        <v>9</v>
      </c>
    </row>
    <row r="1759" spans="1:13">
      <c r="A1759" s="6">
        <v>43509</v>
      </c>
      <c r="B1759" s="7">
        <v>0.60347222222222219</v>
      </c>
      <c r="C1759" s="13" t="str">
        <f>"FES1162672885"</f>
        <v>FES1162672885</v>
      </c>
      <c r="D1759" s="13" t="s">
        <v>18</v>
      </c>
      <c r="E1759" s="13" t="s">
        <v>501</v>
      </c>
      <c r="F1759" s="13" t="str">
        <f>"2170674151 "</f>
        <v xml:space="preserve">2170674151 </v>
      </c>
      <c r="G1759" s="13" t="str">
        <f t="shared" si="54"/>
        <v>ON1</v>
      </c>
      <c r="H1759" s="13" t="s">
        <v>20</v>
      </c>
      <c r="I1759" s="13" t="s">
        <v>286</v>
      </c>
      <c r="J1759" s="13" t="str">
        <f>""</f>
        <v/>
      </c>
      <c r="K1759" s="13" t="str">
        <f>"PFES1162672885_0001"</f>
        <v>PFES1162672885_0001</v>
      </c>
      <c r="L1759" s="13">
        <v>1</v>
      </c>
      <c r="M1759" s="13">
        <v>16</v>
      </c>
    </row>
    <row r="1760" spans="1:13">
      <c r="A1760" s="6">
        <v>43509</v>
      </c>
      <c r="B1760" s="7">
        <v>0.60069444444444442</v>
      </c>
      <c r="C1760" s="13" t="str">
        <f>"FES1162672839"</f>
        <v>FES1162672839</v>
      </c>
      <c r="D1760" s="13" t="s">
        <v>18</v>
      </c>
      <c r="E1760" s="13" t="s">
        <v>19</v>
      </c>
      <c r="F1760" s="13" t="str">
        <f>"2170674112 "</f>
        <v xml:space="preserve">2170674112 </v>
      </c>
      <c r="G1760" s="13" t="str">
        <f t="shared" si="54"/>
        <v>ON1</v>
      </c>
      <c r="H1760" s="13" t="s">
        <v>20</v>
      </c>
      <c r="I1760" s="13" t="s">
        <v>21</v>
      </c>
      <c r="J1760" s="13" t="str">
        <f>""</f>
        <v/>
      </c>
      <c r="K1760" s="13" t="str">
        <f>"PFES1162672839_0001"</f>
        <v>PFES1162672839_0001</v>
      </c>
      <c r="L1760" s="13">
        <v>1</v>
      </c>
      <c r="M1760" s="13">
        <v>2</v>
      </c>
    </row>
    <row r="1761" spans="1:13">
      <c r="A1761" s="6">
        <v>43509</v>
      </c>
      <c r="B1761" s="7">
        <v>0.6</v>
      </c>
      <c r="C1761" s="13" t="str">
        <f>"FES1162672881"</f>
        <v>FES1162672881</v>
      </c>
      <c r="D1761" s="13" t="s">
        <v>18</v>
      </c>
      <c r="E1761" s="13" t="s">
        <v>140</v>
      </c>
      <c r="F1761" s="13" t="str">
        <f>"2170674146 "</f>
        <v xml:space="preserve">2170674146 </v>
      </c>
      <c r="G1761" s="13" t="str">
        <f t="shared" si="54"/>
        <v>ON1</v>
      </c>
      <c r="H1761" s="13" t="s">
        <v>20</v>
      </c>
      <c r="I1761" s="13" t="s">
        <v>141</v>
      </c>
      <c r="J1761" s="13" t="str">
        <f>""</f>
        <v/>
      </c>
      <c r="K1761" s="13" t="str">
        <f>"PFES1162672881_0001"</f>
        <v>PFES1162672881_0001</v>
      </c>
      <c r="L1761" s="13">
        <v>1</v>
      </c>
      <c r="M1761" s="13">
        <v>14</v>
      </c>
    </row>
    <row r="1762" spans="1:13">
      <c r="A1762" s="6">
        <v>43509</v>
      </c>
      <c r="B1762" s="7">
        <v>0.59930555555555554</v>
      </c>
      <c r="C1762" s="13" t="str">
        <f>"FES1162672862"</f>
        <v>FES1162672862</v>
      </c>
      <c r="D1762" s="13" t="s">
        <v>18</v>
      </c>
      <c r="E1762" s="13" t="s">
        <v>307</v>
      </c>
      <c r="F1762" s="13" t="str">
        <f>"2170671891 "</f>
        <v xml:space="preserve">2170671891 </v>
      </c>
      <c r="G1762" s="13" t="str">
        <f t="shared" si="54"/>
        <v>ON1</v>
      </c>
      <c r="H1762" s="13" t="s">
        <v>20</v>
      </c>
      <c r="I1762" s="13" t="s">
        <v>43</v>
      </c>
      <c r="J1762" s="13" t="str">
        <f>""</f>
        <v/>
      </c>
      <c r="K1762" s="13" t="str">
        <f>"PFES1162672862_0001"</f>
        <v>PFES1162672862_0001</v>
      </c>
      <c r="L1762" s="13">
        <v>1</v>
      </c>
      <c r="M1762" s="13">
        <v>2</v>
      </c>
    </row>
    <row r="1763" spans="1:13">
      <c r="A1763" s="6">
        <v>43509</v>
      </c>
      <c r="B1763" s="7">
        <v>0.59791666666666665</v>
      </c>
      <c r="C1763" s="13" t="str">
        <f>"FES1162672864"</f>
        <v>FES1162672864</v>
      </c>
      <c r="D1763" s="13" t="s">
        <v>18</v>
      </c>
      <c r="E1763" s="13" t="s">
        <v>309</v>
      </c>
      <c r="F1763" s="13" t="str">
        <f>"2170674128 "</f>
        <v xml:space="preserve">2170674128 </v>
      </c>
      <c r="G1763" s="13" t="str">
        <f t="shared" si="54"/>
        <v>ON1</v>
      </c>
      <c r="H1763" s="13" t="s">
        <v>20</v>
      </c>
      <c r="I1763" s="13" t="s">
        <v>310</v>
      </c>
      <c r="J1763" s="13" t="str">
        <f>""</f>
        <v/>
      </c>
      <c r="K1763" s="13" t="str">
        <f>"PFES1162672864_0001"</f>
        <v>PFES1162672864_0001</v>
      </c>
      <c r="L1763" s="13">
        <v>1</v>
      </c>
      <c r="M1763" s="13">
        <v>1</v>
      </c>
    </row>
    <row r="1764" spans="1:13">
      <c r="A1764" s="6">
        <v>43509</v>
      </c>
      <c r="B1764" s="7">
        <v>0.59791666666666665</v>
      </c>
      <c r="C1764" s="13" t="str">
        <f>"FES1162672827"</f>
        <v>FES1162672827</v>
      </c>
      <c r="D1764" s="13" t="s">
        <v>18</v>
      </c>
      <c r="E1764" s="13" t="s">
        <v>524</v>
      </c>
      <c r="F1764" s="13" t="str">
        <f>"2170674097 "</f>
        <v xml:space="preserve">2170674097 </v>
      </c>
      <c r="G1764" s="13" t="str">
        <f t="shared" si="54"/>
        <v>ON1</v>
      </c>
      <c r="H1764" s="13" t="s">
        <v>20</v>
      </c>
      <c r="I1764" s="13" t="s">
        <v>525</v>
      </c>
      <c r="J1764" s="13" t="str">
        <f>""</f>
        <v/>
      </c>
      <c r="K1764" s="13" t="str">
        <f>"PFES1162672827_0001"</f>
        <v>PFES1162672827_0001</v>
      </c>
      <c r="L1764" s="13">
        <v>1</v>
      </c>
      <c r="M1764" s="13">
        <v>1</v>
      </c>
    </row>
    <row r="1765" spans="1:13">
      <c r="A1765" s="6">
        <v>43509</v>
      </c>
      <c r="B1765" s="7">
        <v>0.59722222222222221</v>
      </c>
      <c r="C1765" s="13" t="str">
        <f>"FES1162672875"</f>
        <v>FES1162672875</v>
      </c>
      <c r="D1765" s="13" t="s">
        <v>18</v>
      </c>
      <c r="E1765" s="13" t="s">
        <v>462</v>
      </c>
      <c r="F1765" s="13" t="str">
        <f>"2170671702 "</f>
        <v xml:space="preserve">2170671702 </v>
      </c>
      <c r="G1765" s="13" t="str">
        <f t="shared" si="54"/>
        <v>ON1</v>
      </c>
      <c r="H1765" s="13" t="s">
        <v>20</v>
      </c>
      <c r="I1765" s="13" t="s">
        <v>463</v>
      </c>
      <c r="J1765" s="13" t="str">
        <f>""</f>
        <v/>
      </c>
      <c r="K1765" s="13" t="str">
        <f>"PFES1162672875_0001"</f>
        <v>PFES1162672875_0001</v>
      </c>
      <c r="L1765" s="13">
        <v>1</v>
      </c>
      <c r="M1765" s="13">
        <v>8</v>
      </c>
    </row>
    <row r="1766" spans="1:13">
      <c r="A1766" s="6">
        <v>43509</v>
      </c>
      <c r="B1766" s="7">
        <v>0.59722222222222221</v>
      </c>
      <c r="C1766" s="13" t="str">
        <f>"FES1162672829"</f>
        <v>FES1162672829</v>
      </c>
      <c r="D1766" s="13" t="s">
        <v>18</v>
      </c>
      <c r="E1766" s="13" t="s">
        <v>88</v>
      </c>
      <c r="F1766" s="13" t="str">
        <f>"2170674101 "</f>
        <v xml:space="preserve">2170674101 </v>
      </c>
      <c r="G1766" s="13" t="str">
        <f t="shared" si="54"/>
        <v>ON1</v>
      </c>
      <c r="H1766" s="13" t="s">
        <v>20</v>
      </c>
      <c r="I1766" s="13" t="s">
        <v>89</v>
      </c>
      <c r="J1766" s="13" t="str">
        <f>""</f>
        <v/>
      </c>
      <c r="K1766" s="13" t="str">
        <f>"PFES1162672829_0001"</f>
        <v>PFES1162672829_0001</v>
      </c>
      <c r="L1766" s="13">
        <v>1</v>
      </c>
      <c r="M1766" s="13">
        <v>1</v>
      </c>
    </row>
    <row r="1767" spans="1:13">
      <c r="A1767" s="6">
        <v>43509</v>
      </c>
      <c r="B1767" s="7">
        <v>0.59652777777777777</v>
      </c>
      <c r="C1767" s="13" t="str">
        <f>"009935791980"</f>
        <v>009935791980</v>
      </c>
      <c r="D1767" s="13" t="s">
        <v>18</v>
      </c>
      <c r="E1767" s="13" t="s">
        <v>870</v>
      </c>
      <c r="F1767" s="13" t="str">
        <f>"2170668043 "</f>
        <v xml:space="preserve">2170668043 </v>
      </c>
      <c r="G1767" s="13" t="str">
        <f t="shared" si="54"/>
        <v>ON1</v>
      </c>
      <c r="H1767" s="13" t="s">
        <v>20</v>
      </c>
      <c r="I1767" s="13" t="s">
        <v>89</v>
      </c>
      <c r="J1767" s="13" t="str">
        <f>""</f>
        <v/>
      </c>
      <c r="K1767" s="13" t="str">
        <f>"P009935791980_0001"</f>
        <v>P009935791980_0001</v>
      </c>
      <c r="L1767" s="13">
        <v>1</v>
      </c>
      <c r="M1767" s="13">
        <v>1</v>
      </c>
    </row>
    <row r="1768" spans="1:13">
      <c r="A1768" s="6">
        <v>43509</v>
      </c>
      <c r="B1768" s="7">
        <v>0.59583333333333333</v>
      </c>
      <c r="C1768" s="13" t="str">
        <f>"FES1162672872"</f>
        <v>FES1162672872</v>
      </c>
      <c r="D1768" s="13" t="s">
        <v>18</v>
      </c>
      <c r="E1768" s="13" t="s">
        <v>330</v>
      </c>
      <c r="F1768" s="13" t="str">
        <f>"2170674138 "</f>
        <v xml:space="preserve">2170674138 </v>
      </c>
      <c r="G1768" s="13" t="str">
        <f t="shared" si="54"/>
        <v>ON1</v>
      </c>
      <c r="H1768" s="13" t="s">
        <v>20</v>
      </c>
      <c r="I1768" s="13" t="s">
        <v>237</v>
      </c>
      <c r="J1768" s="13" t="str">
        <f>""</f>
        <v/>
      </c>
      <c r="K1768" s="13" t="str">
        <f>"PFES1162672872_0001"</f>
        <v>PFES1162672872_0001</v>
      </c>
      <c r="L1768" s="13">
        <v>1</v>
      </c>
      <c r="M1768" s="13">
        <v>4</v>
      </c>
    </row>
    <row r="1769" spans="1:13">
      <c r="A1769" s="6">
        <v>43509</v>
      </c>
      <c r="B1769" s="7">
        <v>0.59583333333333333</v>
      </c>
      <c r="C1769" s="13" t="str">
        <f>"FES1162672834"</f>
        <v>FES1162672834</v>
      </c>
      <c r="D1769" s="13" t="s">
        <v>18</v>
      </c>
      <c r="E1769" s="13" t="s">
        <v>870</v>
      </c>
      <c r="F1769" s="13" t="str">
        <f>"2170674109 "</f>
        <v xml:space="preserve">2170674109 </v>
      </c>
      <c r="G1769" s="13" t="str">
        <f t="shared" si="54"/>
        <v>ON1</v>
      </c>
      <c r="H1769" s="13" t="s">
        <v>20</v>
      </c>
      <c r="I1769" s="13" t="s">
        <v>89</v>
      </c>
      <c r="J1769" s="13" t="str">
        <f>""</f>
        <v/>
      </c>
      <c r="K1769" s="13" t="str">
        <f>"PFES1162672834_0001"</f>
        <v>PFES1162672834_0001</v>
      </c>
      <c r="L1769" s="13">
        <v>1</v>
      </c>
      <c r="M1769" s="13">
        <v>1</v>
      </c>
    </row>
    <row r="1770" spans="1:13">
      <c r="A1770" s="6">
        <v>43509</v>
      </c>
      <c r="B1770" s="7">
        <v>0.59513888888888888</v>
      </c>
      <c r="C1770" s="13" t="str">
        <f>"FES1162672806"</f>
        <v>FES1162672806</v>
      </c>
      <c r="D1770" s="13" t="s">
        <v>18</v>
      </c>
      <c r="E1770" s="13" t="s">
        <v>88</v>
      </c>
      <c r="F1770" s="13" t="str">
        <f>"2170674071 "</f>
        <v xml:space="preserve">2170674071 </v>
      </c>
      <c r="G1770" s="13" t="str">
        <f t="shared" si="54"/>
        <v>ON1</v>
      </c>
      <c r="H1770" s="13" t="s">
        <v>20</v>
      </c>
      <c r="I1770" s="13" t="s">
        <v>89</v>
      </c>
      <c r="J1770" s="13" t="str">
        <f>""</f>
        <v/>
      </c>
      <c r="K1770" s="13" t="str">
        <f>"PFES1162672806_0001"</f>
        <v>PFES1162672806_0001</v>
      </c>
      <c r="L1770" s="13">
        <v>1</v>
      </c>
      <c r="M1770" s="13">
        <v>1</v>
      </c>
    </row>
    <row r="1771" spans="1:13">
      <c r="A1771" s="6">
        <v>43509</v>
      </c>
      <c r="B1771" s="7">
        <v>0.59444444444444444</v>
      </c>
      <c r="C1771" s="13" t="str">
        <f>"FES1162672869"</f>
        <v>FES1162672869</v>
      </c>
      <c r="D1771" s="13" t="s">
        <v>18</v>
      </c>
      <c r="E1771" s="13" t="s">
        <v>871</v>
      </c>
      <c r="F1771" s="13" t="str">
        <f>"2170674135 "</f>
        <v xml:space="preserve">2170674135 </v>
      </c>
      <c r="G1771" s="13" t="str">
        <f t="shared" si="54"/>
        <v>ON1</v>
      </c>
      <c r="H1771" s="13" t="s">
        <v>20</v>
      </c>
      <c r="I1771" s="13" t="s">
        <v>182</v>
      </c>
      <c r="J1771" s="13" t="str">
        <f>""</f>
        <v/>
      </c>
      <c r="K1771" s="13" t="str">
        <f>"PFES1162672869_0001"</f>
        <v>PFES1162672869_0001</v>
      </c>
      <c r="L1771" s="13">
        <v>1</v>
      </c>
      <c r="M1771" s="13">
        <v>1</v>
      </c>
    </row>
    <row r="1772" spans="1:13">
      <c r="A1772" s="6">
        <v>43509</v>
      </c>
      <c r="B1772" s="7">
        <v>0.59444444444444444</v>
      </c>
      <c r="C1772" s="13" t="str">
        <f>"FES1162672856"</f>
        <v>FES1162672856</v>
      </c>
      <c r="D1772" s="13" t="s">
        <v>18</v>
      </c>
      <c r="E1772" s="13" t="s">
        <v>851</v>
      </c>
      <c r="F1772" s="13" t="str">
        <f>"2170674116 "</f>
        <v xml:space="preserve">2170674116 </v>
      </c>
      <c r="G1772" s="13" t="str">
        <f t="shared" si="54"/>
        <v>ON1</v>
      </c>
      <c r="H1772" s="13" t="s">
        <v>20</v>
      </c>
      <c r="I1772" s="13" t="s">
        <v>33</v>
      </c>
      <c r="J1772" s="13" t="str">
        <f>""</f>
        <v/>
      </c>
      <c r="K1772" s="13" t="str">
        <f>"PFES1162672856_0001"</f>
        <v>PFES1162672856_0001</v>
      </c>
      <c r="L1772" s="13">
        <v>1</v>
      </c>
      <c r="M1772" s="13">
        <v>7</v>
      </c>
    </row>
    <row r="1773" spans="1:13">
      <c r="A1773" s="6">
        <v>43509</v>
      </c>
      <c r="B1773" s="7">
        <v>0.59444444444444444</v>
      </c>
      <c r="C1773" s="13" t="str">
        <f>"FES1162672801"</f>
        <v>FES1162672801</v>
      </c>
      <c r="D1773" s="13" t="s">
        <v>18</v>
      </c>
      <c r="E1773" s="13" t="s">
        <v>90</v>
      </c>
      <c r="F1773" s="13" t="str">
        <f>"2170668901 "</f>
        <v xml:space="preserve">2170668901 </v>
      </c>
      <c r="G1773" s="13" t="str">
        <f t="shared" si="54"/>
        <v>ON1</v>
      </c>
      <c r="H1773" s="13" t="s">
        <v>20</v>
      </c>
      <c r="I1773" s="13" t="s">
        <v>89</v>
      </c>
      <c r="J1773" s="13" t="str">
        <f>""</f>
        <v/>
      </c>
      <c r="K1773" s="13" t="str">
        <f>"PFES1162672801_0001"</f>
        <v>PFES1162672801_0001</v>
      </c>
      <c r="L1773" s="13">
        <v>1</v>
      </c>
      <c r="M1773" s="13">
        <v>1</v>
      </c>
    </row>
    <row r="1774" spans="1:13">
      <c r="A1774" s="6">
        <v>43509</v>
      </c>
      <c r="B1774" s="7">
        <v>0.59375</v>
      </c>
      <c r="C1774" s="13" t="str">
        <f>"FES1162672898"</f>
        <v>FES1162672898</v>
      </c>
      <c r="D1774" s="13" t="s">
        <v>18</v>
      </c>
      <c r="E1774" s="13" t="s">
        <v>160</v>
      </c>
      <c r="F1774" s="13" t="str">
        <f>"2170674167 "</f>
        <v xml:space="preserve">2170674167 </v>
      </c>
      <c r="G1774" s="13" t="str">
        <f t="shared" si="54"/>
        <v>ON1</v>
      </c>
      <c r="H1774" s="13" t="s">
        <v>20</v>
      </c>
      <c r="I1774" s="13" t="s">
        <v>161</v>
      </c>
      <c r="J1774" s="13" t="str">
        <f>""</f>
        <v/>
      </c>
      <c r="K1774" s="13" t="str">
        <f>"PFES1162672898_0001"</f>
        <v>PFES1162672898_0001</v>
      </c>
      <c r="L1774" s="13">
        <v>1</v>
      </c>
      <c r="M1774" s="13">
        <v>1</v>
      </c>
    </row>
    <row r="1775" spans="1:13">
      <c r="A1775" s="6">
        <v>43509</v>
      </c>
      <c r="B1775" s="7">
        <v>0.59305555555555556</v>
      </c>
      <c r="C1775" s="13" t="str">
        <f>"FES1162672831"</f>
        <v>FES1162672831</v>
      </c>
      <c r="D1775" s="13" t="s">
        <v>18</v>
      </c>
      <c r="E1775" s="13" t="s">
        <v>498</v>
      </c>
      <c r="F1775" s="13" t="str">
        <f>"2170674103 "</f>
        <v xml:space="preserve">2170674103 </v>
      </c>
      <c r="G1775" s="13" t="str">
        <f t="shared" si="54"/>
        <v>ON1</v>
      </c>
      <c r="H1775" s="13" t="s">
        <v>20</v>
      </c>
      <c r="I1775" s="13" t="s">
        <v>499</v>
      </c>
      <c r="J1775" s="13" t="str">
        <f>""</f>
        <v/>
      </c>
      <c r="K1775" s="13" t="str">
        <f>"PFES1162672831_0001"</f>
        <v>PFES1162672831_0001</v>
      </c>
      <c r="L1775" s="13">
        <v>1</v>
      </c>
      <c r="M1775" s="13">
        <v>1</v>
      </c>
    </row>
    <row r="1776" spans="1:13">
      <c r="A1776" s="6">
        <v>43509</v>
      </c>
      <c r="B1776" s="7">
        <v>0.59305555555555556</v>
      </c>
      <c r="C1776" s="13" t="str">
        <f>"FES1162672857"</f>
        <v>FES1162672857</v>
      </c>
      <c r="D1776" s="13" t="s">
        <v>18</v>
      </c>
      <c r="E1776" s="13" t="s">
        <v>337</v>
      </c>
      <c r="F1776" s="13" t="str">
        <f>"2170674117 "</f>
        <v xml:space="preserve">2170674117 </v>
      </c>
      <c r="G1776" s="13" t="str">
        <f t="shared" si="54"/>
        <v>ON1</v>
      </c>
      <c r="H1776" s="13" t="s">
        <v>20</v>
      </c>
      <c r="I1776" s="13" t="s">
        <v>338</v>
      </c>
      <c r="J1776" s="13" t="str">
        <f>""</f>
        <v/>
      </c>
      <c r="K1776" s="13" t="str">
        <f>"PFES1162672857_0001"</f>
        <v>PFES1162672857_0001</v>
      </c>
      <c r="L1776" s="13">
        <v>1</v>
      </c>
      <c r="M1776" s="13">
        <v>1</v>
      </c>
    </row>
    <row r="1777" spans="1:13">
      <c r="A1777" s="6">
        <v>43509</v>
      </c>
      <c r="B1777" s="7">
        <v>0.59236111111111112</v>
      </c>
      <c r="C1777" s="13" t="str">
        <f>"FES1162672823"</f>
        <v>FES1162672823</v>
      </c>
      <c r="D1777" s="13" t="s">
        <v>18</v>
      </c>
      <c r="E1777" s="13" t="s">
        <v>780</v>
      </c>
      <c r="F1777" s="13" t="str">
        <f>"2170669847 "</f>
        <v xml:space="preserve">2170669847 </v>
      </c>
      <c r="G1777" s="13" t="str">
        <f t="shared" ref="G1777:G1787" si="55">"ON1"</f>
        <v>ON1</v>
      </c>
      <c r="H1777" s="13" t="s">
        <v>20</v>
      </c>
      <c r="I1777" s="13" t="s">
        <v>781</v>
      </c>
      <c r="J1777" s="13" t="str">
        <f>""</f>
        <v/>
      </c>
      <c r="K1777" s="13" t="str">
        <f>"PFES1162672823_0001"</f>
        <v>PFES1162672823_0001</v>
      </c>
      <c r="L1777" s="13">
        <v>1</v>
      </c>
      <c r="M1777" s="13">
        <v>1</v>
      </c>
    </row>
    <row r="1778" spans="1:13">
      <c r="A1778" s="6">
        <v>43509</v>
      </c>
      <c r="B1778" s="7">
        <v>0.59236111111111112</v>
      </c>
      <c r="C1778" s="13" t="str">
        <f>"FES1162672850"</f>
        <v>FES1162672850</v>
      </c>
      <c r="D1778" s="13" t="s">
        <v>18</v>
      </c>
      <c r="E1778" s="13" t="s">
        <v>483</v>
      </c>
      <c r="F1778" s="13" t="str">
        <f>"2170669920 "</f>
        <v xml:space="preserve">2170669920 </v>
      </c>
      <c r="G1778" s="13" t="str">
        <f t="shared" si="55"/>
        <v>ON1</v>
      </c>
      <c r="H1778" s="13" t="s">
        <v>20</v>
      </c>
      <c r="I1778" s="13" t="s">
        <v>484</v>
      </c>
      <c r="J1778" s="13" t="str">
        <f>""</f>
        <v/>
      </c>
      <c r="K1778" s="13" t="str">
        <f>"PFES1162672850_0001"</f>
        <v>PFES1162672850_0001</v>
      </c>
      <c r="L1778" s="13">
        <v>1</v>
      </c>
      <c r="M1778" s="13">
        <v>4</v>
      </c>
    </row>
    <row r="1779" spans="1:13">
      <c r="A1779" s="6">
        <v>43509</v>
      </c>
      <c r="B1779" s="7">
        <v>0.59166666666666667</v>
      </c>
      <c r="C1779" s="13" t="str">
        <f>"FES1162672789"</f>
        <v>FES1162672789</v>
      </c>
      <c r="D1779" s="13" t="s">
        <v>18</v>
      </c>
      <c r="E1779" s="13" t="s">
        <v>493</v>
      </c>
      <c r="F1779" s="13" t="str">
        <f>"2170674050 "</f>
        <v xml:space="preserve">2170674050 </v>
      </c>
      <c r="G1779" s="13" t="str">
        <f t="shared" si="55"/>
        <v>ON1</v>
      </c>
      <c r="H1779" s="13" t="s">
        <v>20</v>
      </c>
      <c r="I1779" s="13" t="s">
        <v>111</v>
      </c>
      <c r="J1779" s="13" t="str">
        <f>""</f>
        <v/>
      </c>
      <c r="K1779" s="13" t="str">
        <f>"PFES1162672789_0001"</f>
        <v>PFES1162672789_0001</v>
      </c>
      <c r="L1779" s="13">
        <v>1</v>
      </c>
      <c r="M1779" s="13">
        <v>1</v>
      </c>
    </row>
    <row r="1780" spans="1:13">
      <c r="A1780" s="6">
        <v>43509</v>
      </c>
      <c r="B1780" s="7">
        <v>0.59097222222222223</v>
      </c>
      <c r="C1780" s="13" t="str">
        <f>"FES1162672804"</f>
        <v>FES1162672804</v>
      </c>
      <c r="D1780" s="13" t="s">
        <v>18</v>
      </c>
      <c r="E1780" s="13" t="s">
        <v>872</v>
      </c>
      <c r="F1780" s="13" t="str">
        <f>"2170674069 "</f>
        <v xml:space="preserve">2170674069 </v>
      </c>
      <c r="G1780" s="13" t="str">
        <f t="shared" si="55"/>
        <v>ON1</v>
      </c>
      <c r="H1780" s="13" t="s">
        <v>20</v>
      </c>
      <c r="I1780" s="13" t="s">
        <v>93</v>
      </c>
      <c r="J1780" s="13" t="str">
        <f>""</f>
        <v/>
      </c>
      <c r="K1780" s="13" t="str">
        <f>"PFES1162672804_0001"</f>
        <v>PFES1162672804_0001</v>
      </c>
      <c r="L1780" s="13">
        <v>1</v>
      </c>
      <c r="M1780" s="13">
        <v>1</v>
      </c>
    </row>
    <row r="1781" spans="1:13">
      <c r="A1781" s="6">
        <v>43509</v>
      </c>
      <c r="B1781" s="7">
        <v>0.59027777777777779</v>
      </c>
      <c r="C1781" s="13" t="str">
        <f>"FES1162672858"</f>
        <v>FES1162672858</v>
      </c>
      <c r="D1781" s="13" t="s">
        <v>18</v>
      </c>
      <c r="E1781" s="13" t="s">
        <v>873</v>
      </c>
      <c r="F1781" s="13" t="str">
        <f>"2170674119 "</f>
        <v xml:space="preserve">2170674119 </v>
      </c>
      <c r="G1781" s="13" t="str">
        <f t="shared" si="55"/>
        <v>ON1</v>
      </c>
      <c r="H1781" s="13" t="s">
        <v>20</v>
      </c>
      <c r="I1781" s="13" t="s">
        <v>747</v>
      </c>
      <c r="J1781" s="13" t="str">
        <f>""</f>
        <v/>
      </c>
      <c r="K1781" s="13" t="str">
        <f>"PFES1162672858_0001"</f>
        <v>PFES1162672858_0001</v>
      </c>
      <c r="L1781" s="13">
        <v>1</v>
      </c>
      <c r="M1781" s="13">
        <v>1</v>
      </c>
    </row>
    <row r="1782" spans="1:13">
      <c r="A1782" s="6">
        <v>43509</v>
      </c>
      <c r="B1782" s="7">
        <v>0.58958333333333335</v>
      </c>
      <c r="C1782" s="13" t="str">
        <f>"009935791979"</f>
        <v>009935791979</v>
      </c>
      <c r="D1782" s="13" t="s">
        <v>18</v>
      </c>
      <c r="E1782" s="13" t="s">
        <v>427</v>
      </c>
      <c r="F1782" s="13" t="str">
        <f>"2170670823 "</f>
        <v xml:space="preserve">2170670823 </v>
      </c>
      <c r="G1782" s="13" t="str">
        <f t="shared" si="55"/>
        <v>ON1</v>
      </c>
      <c r="H1782" s="13" t="s">
        <v>20</v>
      </c>
      <c r="I1782" s="13" t="s">
        <v>226</v>
      </c>
      <c r="J1782" s="13" t="str">
        <f>""</f>
        <v/>
      </c>
      <c r="K1782" s="13" t="str">
        <f>"P009935791979_0001"</f>
        <v>P009935791979_0001</v>
      </c>
      <c r="L1782" s="13">
        <v>1</v>
      </c>
      <c r="M1782" s="13">
        <v>1</v>
      </c>
    </row>
    <row r="1783" spans="1:13">
      <c r="A1783" s="6">
        <v>43509</v>
      </c>
      <c r="B1783" s="7">
        <v>0.58888888888888891</v>
      </c>
      <c r="C1783" s="13" t="str">
        <f>"FES1162672854"</f>
        <v>FES1162672854</v>
      </c>
      <c r="D1783" s="13" t="s">
        <v>18</v>
      </c>
      <c r="E1783" s="13" t="s">
        <v>874</v>
      </c>
      <c r="F1783" s="13" t="str">
        <f>"2170668598 "</f>
        <v xml:space="preserve">2170668598 </v>
      </c>
      <c r="G1783" s="13" t="str">
        <f t="shared" si="55"/>
        <v>ON1</v>
      </c>
      <c r="H1783" s="13" t="s">
        <v>20</v>
      </c>
      <c r="I1783" s="13" t="s">
        <v>708</v>
      </c>
      <c r="J1783" s="13" t="str">
        <f>""</f>
        <v/>
      </c>
      <c r="K1783" s="13" t="str">
        <f>"PFES1162672854_0001"</f>
        <v>PFES1162672854_0001</v>
      </c>
      <c r="L1783" s="13">
        <v>1</v>
      </c>
      <c r="M1783" s="13">
        <v>2</v>
      </c>
    </row>
    <row r="1784" spans="1:13">
      <c r="A1784" s="6">
        <v>43509</v>
      </c>
      <c r="B1784" s="7">
        <v>0.58819444444444446</v>
      </c>
      <c r="C1784" s="13" t="str">
        <f>"FES1162672867"</f>
        <v>FES1162672867</v>
      </c>
      <c r="D1784" s="13" t="s">
        <v>18</v>
      </c>
      <c r="E1784" s="13" t="s">
        <v>323</v>
      </c>
      <c r="F1784" s="13" t="str">
        <f>"2170674132 "</f>
        <v xml:space="preserve">2170674132 </v>
      </c>
      <c r="G1784" s="13" t="str">
        <f t="shared" si="55"/>
        <v>ON1</v>
      </c>
      <c r="H1784" s="13" t="s">
        <v>20</v>
      </c>
      <c r="I1784" s="13" t="s">
        <v>324</v>
      </c>
      <c r="J1784" s="13" t="str">
        <f>""</f>
        <v/>
      </c>
      <c r="K1784" s="13" t="str">
        <f>"PFES1162672867_0001"</f>
        <v>PFES1162672867_0001</v>
      </c>
      <c r="L1784" s="13">
        <v>1</v>
      </c>
      <c r="M1784" s="13">
        <v>1</v>
      </c>
    </row>
    <row r="1785" spans="1:13">
      <c r="A1785" s="6">
        <v>43509</v>
      </c>
      <c r="B1785" s="7">
        <v>0.58750000000000002</v>
      </c>
      <c r="C1785" s="13" t="str">
        <f>"FES1162672876"</f>
        <v>FES1162672876</v>
      </c>
      <c r="D1785" s="13" t="s">
        <v>18</v>
      </c>
      <c r="E1785" s="13" t="s">
        <v>875</v>
      </c>
      <c r="F1785" s="13" t="str">
        <f>"2170674141 "</f>
        <v xml:space="preserve">2170674141 </v>
      </c>
      <c r="G1785" s="13" t="str">
        <f t="shared" si="55"/>
        <v>ON1</v>
      </c>
      <c r="H1785" s="13" t="s">
        <v>20</v>
      </c>
      <c r="I1785" s="13" t="s">
        <v>390</v>
      </c>
      <c r="J1785" s="13" t="str">
        <f>""</f>
        <v/>
      </c>
      <c r="K1785" s="13" t="str">
        <f>"PFES1162672876_0001"</f>
        <v>PFES1162672876_0001</v>
      </c>
      <c r="L1785" s="13">
        <v>1</v>
      </c>
      <c r="M1785" s="13">
        <v>1</v>
      </c>
    </row>
    <row r="1786" spans="1:13">
      <c r="A1786" s="6">
        <v>43509</v>
      </c>
      <c r="B1786" s="7">
        <v>0.58750000000000002</v>
      </c>
      <c r="C1786" s="13" t="str">
        <f>"FES1162672883"</f>
        <v>FES1162672883</v>
      </c>
      <c r="D1786" s="13" t="s">
        <v>18</v>
      </c>
      <c r="E1786" s="13" t="s">
        <v>253</v>
      </c>
      <c r="F1786" s="13" t="str">
        <f>"2170674149 "</f>
        <v xml:space="preserve">2170674149 </v>
      </c>
      <c r="G1786" s="13" t="str">
        <f t="shared" si="55"/>
        <v>ON1</v>
      </c>
      <c r="H1786" s="13" t="s">
        <v>20</v>
      </c>
      <c r="I1786" s="13" t="s">
        <v>226</v>
      </c>
      <c r="J1786" s="13" t="str">
        <f>""</f>
        <v/>
      </c>
      <c r="K1786" s="13" t="str">
        <f>"PFES1162672883_0001"</f>
        <v>PFES1162672883_0001</v>
      </c>
      <c r="L1786" s="13">
        <v>1</v>
      </c>
      <c r="M1786" s="13">
        <v>1</v>
      </c>
    </row>
    <row r="1787" spans="1:13">
      <c r="A1787" s="6">
        <v>43509</v>
      </c>
      <c r="B1787" s="7">
        <v>0.58680555555555558</v>
      </c>
      <c r="C1787" s="13" t="str">
        <f>"FES1162672866"</f>
        <v>FES1162672866</v>
      </c>
      <c r="D1787" s="13" t="s">
        <v>18</v>
      </c>
      <c r="E1787" s="13" t="s">
        <v>58</v>
      </c>
      <c r="F1787" s="13" t="str">
        <f>"2170674130 "</f>
        <v xml:space="preserve">2170674130 </v>
      </c>
      <c r="G1787" s="13" t="str">
        <f t="shared" si="55"/>
        <v>ON1</v>
      </c>
      <c r="H1787" s="13" t="s">
        <v>20</v>
      </c>
      <c r="I1787" s="13" t="s">
        <v>59</v>
      </c>
      <c r="J1787" s="13" t="str">
        <f>""</f>
        <v/>
      </c>
      <c r="K1787" s="13" t="str">
        <f>"PFES1162672866_0001"</f>
        <v>PFES1162672866_0001</v>
      </c>
      <c r="L1787" s="13">
        <v>1</v>
      </c>
      <c r="M1787" s="13">
        <v>1</v>
      </c>
    </row>
    <row r="1788" spans="1:13">
      <c r="A1788" s="6">
        <v>43509</v>
      </c>
      <c r="B1788" s="7">
        <v>0.57291666666666663</v>
      </c>
      <c r="C1788" s="13" t="str">
        <f>"FES1162672877"</f>
        <v>FES1162672877</v>
      </c>
      <c r="D1788" s="13" t="s">
        <v>18</v>
      </c>
      <c r="E1788" s="13" t="s">
        <v>140</v>
      </c>
      <c r="F1788" s="13" t="str">
        <f>"2170674142 "</f>
        <v xml:space="preserve">2170674142 </v>
      </c>
      <c r="G1788" s="13" t="str">
        <f>"DBC"</f>
        <v>DBC</v>
      </c>
      <c r="H1788" s="13" t="s">
        <v>20</v>
      </c>
      <c r="I1788" s="13" t="s">
        <v>141</v>
      </c>
      <c r="J1788" s="13" t="str">
        <f>""</f>
        <v/>
      </c>
      <c r="K1788" s="13" t="str">
        <f>"PFES1162672877_0001"</f>
        <v>PFES1162672877_0001</v>
      </c>
      <c r="L1788" s="13">
        <v>2</v>
      </c>
      <c r="M1788" s="13">
        <v>20</v>
      </c>
    </row>
    <row r="1789" spans="1:13">
      <c r="A1789" s="6">
        <v>43509</v>
      </c>
      <c r="B1789" s="7">
        <v>0.57291666666666663</v>
      </c>
      <c r="C1789" s="13" t="str">
        <f>"FES1162672877"</f>
        <v>FES1162672877</v>
      </c>
      <c r="D1789" s="13" t="s">
        <v>18</v>
      </c>
      <c r="E1789" s="13" t="s">
        <v>140</v>
      </c>
      <c r="F1789" s="13" t="str">
        <f>"2170674142 "</f>
        <v xml:space="preserve">2170674142 </v>
      </c>
      <c r="G1789" s="13" t="str">
        <f>"DBC"</f>
        <v>DBC</v>
      </c>
      <c r="H1789" s="13" t="s">
        <v>20</v>
      </c>
      <c r="I1789" s="13" t="s">
        <v>141</v>
      </c>
      <c r="J1789" s="13"/>
      <c r="K1789" s="13" t="str">
        <f>"PFES1162672877_0002"</f>
        <v>PFES1162672877_0002</v>
      </c>
      <c r="L1789" s="13">
        <v>2</v>
      </c>
      <c r="M1789" s="13">
        <v>20</v>
      </c>
    </row>
    <row r="1790" spans="1:13">
      <c r="A1790" s="6">
        <v>43509</v>
      </c>
      <c r="B1790" s="7">
        <v>0.5708333333333333</v>
      </c>
      <c r="C1790" s="13" t="str">
        <f>"FES1162672843"</f>
        <v>FES1162672843</v>
      </c>
      <c r="D1790" s="13" t="s">
        <v>18</v>
      </c>
      <c r="E1790" s="13" t="s">
        <v>47</v>
      </c>
      <c r="F1790" s="13" t="str">
        <f>"2170668211 "</f>
        <v xml:space="preserve">2170668211 </v>
      </c>
      <c r="G1790" s="13" t="str">
        <f>"ON1"</f>
        <v>ON1</v>
      </c>
      <c r="H1790" s="13" t="s">
        <v>20</v>
      </c>
      <c r="I1790" s="13" t="s">
        <v>48</v>
      </c>
      <c r="J1790" s="13" t="str">
        <f>""</f>
        <v/>
      </c>
      <c r="K1790" s="13" t="str">
        <f>"PFES1162672843_0001"</f>
        <v>PFES1162672843_0001</v>
      </c>
      <c r="L1790" s="13">
        <v>3</v>
      </c>
      <c r="M1790" s="13">
        <v>6</v>
      </c>
    </row>
    <row r="1791" spans="1:13">
      <c r="A1791" s="6">
        <v>43509</v>
      </c>
      <c r="B1791" s="7">
        <v>0.5708333333333333</v>
      </c>
      <c r="C1791" s="13" t="str">
        <f>"FES1162672843"</f>
        <v>FES1162672843</v>
      </c>
      <c r="D1791" s="13" t="s">
        <v>18</v>
      </c>
      <c r="E1791" s="13" t="s">
        <v>47</v>
      </c>
      <c r="F1791" s="13" t="str">
        <f t="shared" ref="F1791:F1792" si="56">"2170668211 "</f>
        <v xml:space="preserve">2170668211 </v>
      </c>
      <c r="G1791" s="13" t="str">
        <f t="shared" ref="G1791:G1792" si="57">"ON1"</f>
        <v>ON1</v>
      </c>
      <c r="H1791" s="13" t="s">
        <v>20</v>
      </c>
      <c r="I1791" s="13" t="s">
        <v>48</v>
      </c>
      <c r="J1791" s="13"/>
      <c r="K1791" s="13" t="str">
        <f>"PFES1162672843_0002"</f>
        <v>PFES1162672843_0002</v>
      </c>
      <c r="L1791" s="13">
        <v>3</v>
      </c>
      <c r="M1791" s="13">
        <v>6</v>
      </c>
    </row>
    <row r="1792" spans="1:13">
      <c r="A1792" s="6">
        <v>43509</v>
      </c>
      <c r="B1792" s="7">
        <v>0.5708333333333333</v>
      </c>
      <c r="C1792" s="13" t="str">
        <f>"FES1162672843"</f>
        <v>FES1162672843</v>
      </c>
      <c r="D1792" s="13" t="s">
        <v>18</v>
      </c>
      <c r="E1792" s="13" t="s">
        <v>47</v>
      </c>
      <c r="F1792" s="13" t="str">
        <f t="shared" si="56"/>
        <v xml:space="preserve">2170668211 </v>
      </c>
      <c r="G1792" s="13" t="str">
        <f t="shared" si="57"/>
        <v>ON1</v>
      </c>
      <c r="H1792" s="13" t="s">
        <v>20</v>
      </c>
      <c r="I1792" s="13" t="s">
        <v>48</v>
      </c>
      <c r="J1792" s="13"/>
      <c r="K1792" s="13" t="str">
        <f>"PFES1162672843_0003"</f>
        <v>PFES1162672843_0003</v>
      </c>
      <c r="L1792" s="13">
        <v>3</v>
      </c>
      <c r="M1792" s="13">
        <v>6</v>
      </c>
    </row>
    <row r="1793" spans="1:13">
      <c r="A1793" s="6">
        <v>43509</v>
      </c>
      <c r="B1793" s="7">
        <v>0.56736111111111109</v>
      </c>
      <c r="C1793" s="13" t="str">
        <f>"FES1162672861"</f>
        <v>FES1162672861</v>
      </c>
      <c r="D1793" s="13" t="s">
        <v>18</v>
      </c>
      <c r="E1793" s="13" t="s">
        <v>47</v>
      </c>
      <c r="F1793" s="13" t="str">
        <f>"2170668963 "</f>
        <v xml:space="preserve">2170668963 </v>
      </c>
      <c r="G1793" s="13" t="str">
        <f>"ON1"</f>
        <v>ON1</v>
      </c>
      <c r="H1793" s="13" t="s">
        <v>20</v>
      </c>
      <c r="I1793" s="13" t="s">
        <v>48</v>
      </c>
      <c r="J1793" s="13" t="str">
        <f>""</f>
        <v/>
      </c>
      <c r="K1793" s="13" t="str">
        <f>"PFES1162672861_0001"</f>
        <v>PFES1162672861_0001</v>
      </c>
      <c r="L1793" s="13">
        <v>2</v>
      </c>
      <c r="M1793" s="13">
        <v>13</v>
      </c>
    </row>
    <row r="1794" spans="1:13">
      <c r="A1794" s="6">
        <v>43509</v>
      </c>
      <c r="B1794" s="7">
        <v>0.56736111111111109</v>
      </c>
      <c r="C1794" s="13" t="str">
        <f>"FES1162672861"</f>
        <v>FES1162672861</v>
      </c>
      <c r="D1794" s="13" t="s">
        <v>18</v>
      </c>
      <c r="E1794" s="13" t="s">
        <v>47</v>
      </c>
      <c r="F1794" s="13" t="str">
        <f>"2170668963 "</f>
        <v xml:space="preserve">2170668963 </v>
      </c>
      <c r="G1794" s="13" t="str">
        <f>"ON1"</f>
        <v>ON1</v>
      </c>
      <c r="H1794" s="13" t="s">
        <v>20</v>
      </c>
      <c r="I1794" s="13" t="s">
        <v>48</v>
      </c>
      <c r="J1794" s="13"/>
      <c r="K1794" s="13" t="str">
        <f>"PFES1162672861_0002"</f>
        <v>PFES1162672861_0002</v>
      </c>
      <c r="L1794" s="13">
        <v>2</v>
      </c>
      <c r="M1794" s="13">
        <v>13</v>
      </c>
    </row>
    <row r="1795" spans="1:13">
      <c r="A1795" s="6">
        <v>43509</v>
      </c>
      <c r="B1795" s="7">
        <v>0.56597222222222221</v>
      </c>
      <c r="C1795" s="13" t="str">
        <f>"FES1162672863"</f>
        <v>FES1162672863</v>
      </c>
      <c r="D1795" s="13" t="s">
        <v>18</v>
      </c>
      <c r="E1795" s="13" t="s">
        <v>711</v>
      </c>
      <c r="F1795" s="13" t="str">
        <f>"2170671133 "</f>
        <v xml:space="preserve">2170671133 </v>
      </c>
      <c r="G1795" s="13" t="str">
        <f t="shared" ref="G1795:G1829" si="58">"ON1"</f>
        <v>ON1</v>
      </c>
      <c r="H1795" s="13" t="s">
        <v>20</v>
      </c>
      <c r="I1795" s="13" t="s">
        <v>712</v>
      </c>
      <c r="J1795" s="13" t="str">
        <f>""</f>
        <v/>
      </c>
      <c r="K1795" s="13" t="str">
        <f>"PFES1162672863_0001"</f>
        <v>PFES1162672863_0001</v>
      </c>
      <c r="L1795" s="13">
        <v>1</v>
      </c>
      <c r="M1795" s="13">
        <v>4</v>
      </c>
    </row>
    <row r="1796" spans="1:13">
      <c r="A1796" s="6">
        <v>43509</v>
      </c>
      <c r="B1796" s="7">
        <v>0.56597222222222221</v>
      </c>
      <c r="C1796" s="13" t="str">
        <f>"FES1162672851"</f>
        <v>FES1162672851</v>
      </c>
      <c r="D1796" s="13" t="s">
        <v>18</v>
      </c>
      <c r="E1796" s="13" t="s">
        <v>129</v>
      </c>
      <c r="F1796" s="13" t="str">
        <f>"2170669823 "</f>
        <v xml:space="preserve">2170669823 </v>
      </c>
      <c r="G1796" s="13" t="str">
        <f t="shared" si="58"/>
        <v>ON1</v>
      </c>
      <c r="H1796" s="13" t="s">
        <v>20</v>
      </c>
      <c r="I1796" s="13" t="s">
        <v>130</v>
      </c>
      <c r="J1796" s="13" t="str">
        <f>""</f>
        <v/>
      </c>
      <c r="K1796" s="13" t="str">
        <f>"PFES1162672851_0001"</f>
        <v>PFES1162672851_0001</v>
      </c>
      <c r="L1796" s="13">
        <v>1</v>
      </c>
      <c r="M1796" s="13">
        <v>2</v>
      </c>
    </row>
    <row r="1797" spans="1:13">
      <c r="A1797" s="6">
        <v>43509</v>
      </c>
      <c r="B1797" s="7">
        <v>0.56527777777777777</v>
      </c>
      <c r="C1797" s="13" t="str">
        <f>"FES1162672849"</f>
        <v>FES1162672849</v>
      </c>
      <c r="D1797" s="13" t="s">
        <v>18</v>
      </c>
      <c r="E1797" s="13" t="s">
        <v>47</v>
      </c>
      <c r="F1797" s="13" t="str">
        <f>"2170670754 "</f>
        <v xml:space="preserve">2170670754 </v>
      </c>
      <c r="G1797" s="13" t="str">
        <f t="shared" si="58"/>
        <v>ON1</v>
      </c>
      <c r="H1797" s="13" t="s">
        <v>20</v>
      </c>
      <c r="I1797" s="13" t="s">
        <v>48</v>
      </c>
      <c r="J1797" s="13" t="str">
        <f>""</f>
        <v/>
      </c>
      <c r="K1797" s="13" t="str">
        <f>"PFES1162672849_0001"</f>
        <v>PFES1162672849_0001</v>
      </c>
      <c r="L1797" s="13">
        <v>1</v>
      </c>
      <c r="M1797" s="13">
        <v>1</v>
      </c>
    </row>
    <row r="1798" spans="1:13">
      <c r="A1798" s="6">
        <v>43509</v>
      </c>
      <c r="B1798" s="7">
        <v>0.53680555555555554</v>
      </c>
      <c r="C1798" s="13" t="str">
        <f>"FES1162672716"</f>
        <v>FES1162672716</v>
      </c>
      <c r="D1798" s="13" t="s">
        <v>18</v>
      </c>
      <c r="E1798" s="13" t="s">
        <v>47</v>
      </c>
      <c r="F1798" s="13" t="str">
        <f>"2170671035 "</f>
        <v xml:space="preserve">2170671035 </v>
      </c>
      <c r="G1798" s="13" t="str">
        <f t="shared" si="58"/>
        <v>ON1</v>
      </c>
      <c r="H1798" s="13" t="s">
        <v>20</v>
      </c>
      <c r="I1798" s="13" t="s">
        <v>48</v>
      </c>
      <c r="J1798" s="13" t="str">
        <f>""</f>
        <v/>
      </c>
      <c r="K1798" s="13" t="str">
        <f>"PFES1162672716_0001"</f>
        <v>PFES1162672716_0001</v>
      </c>
      <c r="L1798" s="13">
        <v>1</v>
      </c>
      <c r="M1798" s="13">
        <v>3</v>
      </c>
    </row>
    <row r="1799" spans="1:13">
      <c r="A1799" s="6">
        <v>43509</v>
      </c>
      <c r="B1799" s="7">
        <v>0.53611111111111109</v>
      </c>
      <c r="C1799" s="13" t="str">
        <f>"FES1162672871"</f>
        <v>FES1162672871</v>
      </c>
      <c r="D1799" s="13" t="s">
        <v>18</v>
      </c>
      <c r="E1799" s="13" t="s">
        <v>508</v>
      </c>
      <c r="F1799" s="13" t="str">
        <f>"2170674137 "</f>
        <v xml:space="preserve">2170674137 </v>
      </c>
      <c r="G1799" s="13" t="str">
        <f t="shared" si="58"/>
        <v>ON1</v>
      </c>
      <c r="H1799" s="13" t="s">
        <v>20</v>
      </c>
      <c r="I1799" s="13" t="s">
        <v>509</v>
      </c>
      <c r="J1799" s="13" t="str">
        <f>""</f>
        <v/>
      </c>
      <c r="K1799" s="13" t="str">
        <f>"PFES1162672871_0001"</f>
        <v>PFES1162672871_0001</v>
      </c>
      <c r="L1799" s="13">
        <v>1</v>
      </c>
      <c r="M1799" s="13">
        <v>4</v>
      </c>
    </row>
    <row r="1800" spans="1:13">
      <c r="A1800" s="6">
        <v>43509</v>
      </c>
      <c r="B1800" s="7">
        <v>0.53541666666666665</v>
      </c>
      <c r="C1800" s="13" t="str">
        <f>"FES1162672779"</f>
        <v>FES1162672779</v>
      </c>
      <c r="D1800" s="13" t="s">
        <v>18</v>
      </c>
      <c r="E1800" s="13" t="s">
        <v>299</v>
      </c>
      <c r="F1800" s="13" t="str">
        <f>"2170663549 "</f>
        <v xml:space="preserve">2170663549 </v>
      </c>
      <c r="G1800" s="13" t="str">
        <f t="shared" si="58"/>
        <v>ON1</v>
      </c>
      <c r="H1800" s="13" t="s">
        <v>20</v>
      </c>
      <c r="I1800" s="13" t="s">
        <v>570</v>
      </c>
      <c r="J1800" s="13" t="str">
        <f>""</f>
        <v/>
      </c>
      <c r="K1800" s="13" t="str">
        <f>"PFES1162672779_0001"</f>
        <v>PFES1162672779_0001</v>
      </c>
      <c r="L1800" s="13">
        <v>1</v>
      </c>
      <c r="M1800" s="13">
        <v>1</v>
      </c>
    </row>
    <row r="1801" spans="1:13">
      <c r="A1801" s="6">
        <v>43509</v>
      </c>
      <c r="B1801" s="7">
        <v>0.52916666666666667</v>
      </c>
      <c r="C1801" s="13" t="str">
        <f>"FES1162672796"</f>
        <v>FES1162672796</v>
      </c>
      <c r="D1801" s="13" t="s">
        <v>18</v>
      </c>
      <c r="E1801" s="13" t="s">
        <v>876</v>
      </c>
      <c r="F1801" s="13" t="str">
        <f>"2170674063 "</f>
        <v xml:space="preserve">2170674063 </v>
      </c>
      <c r="G1801" s="13" t="str">
        <f t="shared" si="58"/>
        <v>ON1</v>
      </c>
      <c r="H1801" s="13" t="s">
        <v>20</v>
      </c>
      <c r="I1801" s="13" t="s">
        <v>111</v>
      </c>
      <c r="J1801" s="13" t="str">
        <f>""</f>
        <v/>
      </c>
      <c r="K1801" s="13" t="str">
        <f>"PFES1162672796_0001"</f>
        <v>PFES1162672796_0001</v>
      </c>
      <c r="L1801" s="13">
        <v>1</v>
      </c>
      <c r="M1801" s="13">
        <v>1</v>
      </c>
    </row>
    <row r="1802" spans="1:13">
      <c r="A1802" s="6">
        <v>43509</v>
      </c>
      <c r="B1802" s="7">
        <v>0.52916666666666667</v>
      </c>
      <c r="C1802" s="13" t="str">
        <f>"FES1162672825"</f>
        <v>FES1162672825</v>
      </c>
      <c r="D1802" s="13" t="s">
        <v>18</v>
      </c>
      <c r="E1802" s="13" t="s">
        <v>780</v>
      </c>
      <c r="F1802" s="13" t="str">
        <f>"2170674094 "</f>
        <v xml:space="preserve">2170674094 </v>
      </c>
      <c r="G1802" s="13" t="str">
        <f t="shared" si="58"/>
        <v>ON1</v>
      </c>
      <c r="H1802" s="13" t="s">
        <v>20</v>
      </c>
      <c r="I1802" s="13" t="s">
        <v>781</v>
      </c>
      <c r="J1802" s="13" t="str">
        <f>""</f>
        <v/>
      </c>
      <c r="K1802" s="13" t="str">
        <f>"PFES1162672825_0001"</f>
        <v>PFES1162672825_0001</v>
      </c>
      <c r="L1802" s="13">
        <v>1</v>
      </c>
      <c r="M1802" s="13">
        <v>1</v>
      </c>
    </row>
    <row r="1803" spans="1:13">
      <c r="A1803" s="6">
        <v>43509</v>
      </c>
      <c r="B1803" s="7">
        <v>0.52847222222222223</v>
      </c>
      <c r="C1803" s="13" t="str">
        <f>"FES1162672838"</f>
        <v>FES1162672838</v>
      </c>
      <c r="D1803" s="13" t="s">
        <v>18</v>
      </c>
      <c r="E1803" s="13" t="s">
        <v>877</v>
      </c>
      <c r="F1803" s="13" t="str">
        <f>"2170674111 "</f>
        <v xml:space="preserve">2170674111 </v>
      </c>
      <c r="G1803" s="13" t="str">
        <f t="shared" si="58"/>
        <v>ON1</v>
      </c>
      <c r="H1803" s="13" t="s">
        <v>20</v>
      </c>
      <c r="I1803" s="13" t="s">
        <v>878</v>
      </c>
      <c r="J1803" s="13" t="str">
        <f>""</f>
        <v/>
      </c>
      <c r="K1803" s="13" t="str">
        <f>"PFES1162672838_0001"</f>
        <v>PFES1162672838_0001</v>
      </c>
      <c r="L1803" s="13">
        <v>1</v>
      </c>
      <c r="M1803" s="13">
        <v>1</v>
      </c>
    </row>
    <row r="1804" spans="1:13">
      <c r="A1804" s="6">
        <v>43509</v>
      </c>
      <c r="B1804" s="7">
        <v>0.52777777777777779</v>
      </c>
      <c r="C1804" s="13" t="str">
        <f>"FES1162672818"</f>
        <v>FES1162672818</v>
      </c>
      <c r="D1804" s="13" t="s">
        <v>18</v>
      </c>
      <c r="E1804" s="13" t="s">
        <v>879</v>
      </c>
      <c r="F1804" s="13" t="str">
        <f>"2170674089 "</f>
        <v xml:space="preserve">2170674089 </v>
      </c>
      <c r="G1804" s="13" t="str">
        <f t="shared" si="58"/>
        <v>ON1</v>
      </c>
      <c r="H1804" s="13" t="s">
        <v>20</v>
      </c>
      <c r="I1804" s="13" t="s">
        <v>276</v>
      </c>
      <c r="J1804" s="13" t="str">
        <f>""</f>
        <v/>
      </c>
      <c r="K1804" s="13" t="str">
        <f>"PFES1162672818_0001"</f>
        <v>PFES1162672818_0001</v>
      </c>
      <c r="L1804" s="13">
        <v>1</v>
      </c>
      <c r="M1804" s="13">
        <v>1</v>
      </c>
    </row>
    <row r="1805" spans="1:13">
      <c r="A1805" s="6">
        <v>43509</v>
      </c>
      <c r="B1805" s="7">
        <v>0.52777777777777779</v>
      </c>
      <c r="C1805" s="13" t="str">
        <f>"FES1162672817"</f>
        <v>FES1162672817</v>
      </c>
      <c r="D1805" s="13" t="s">
        <v>18</v>
      </c>
      <c r="E1805" s="13" t="s">
        <v>634</v>
      </c>
      <c r="F1805" s="13" t="str">
        <f>"2170674086 "</f>
        <v xml:space="preserve">2170674086 </v>
      </c>
      <c r="G1805" s="13" t="str">
        <f t="shared" si="58"/>
        <v>ON1</v>
      </c>
      <c r="H1805" s="13" t="s">
        <v>20</v>
      </c>
      <c r="I1805" s="13" t="s">
        <v>635</v>
      </c>
      <c r="J1805" s="13" t="str">
        <f>""</f>
        <v/>
      </c>
      <c r="K1805" s="13" t="str">
        <f>"PFES1162672817_0001"</f>
        <v>PFES1162672817_0001</v>
      </c>
      <c r="L1805" s="13">
        <v>1</v>
      </c>
      <c r="M1805" s="13">
        <v>1</v>
      </c>
    </row>
    <row r="1806" spans="1:13">
      <c r="A1806" s="6">
        <v>43509</v>
      </c>
      <c r="B1806" s="7">
        <v>0.52708333333333335</v>
      </c>
      <c r="C1806" s="13" t="str">
        <f>"FES1162672781"</f>
        <v>FES1162672781</v>
      </c>
      <c r="D1806" s="13" t="s">
        <v>18</v>
      </c>
      <c r="E1806" s="13" t="s">
        <v>880</v>
      </c>
      <c r="F1806" s="13" t="str">
        <f>"2170674046 "</f>
        <v xml:space="preserve">2170674046 </v>
      </c>
      <c r="G1806" s="13" t="str">
        <f t="shared" si="58"/>
        <v>ON1</v>
      </c>
      <c r="H1806" s="13" t="s">
        <v>20</v>
      </c>
      <c r="I1806" s="13" t="s">
        <v>233</v>
      </c>
      <c r="J1806" s="13" t="str">
        <f>""</f>
        <v/>
      </c>
      <c r="K1806" s="13" t="str">
        <f>"PFES1162672781_0001"</f>
        <v>PFES1162672781_0001</v>
      </c>
      <c r="L1806" s="13">
        <v>1</v>
      </c>
      <c r="M1806" s="13">
        <v>1</v>
      </c>
    </row>
    <row r="1807" spans="1:13">
      <c r="A1807" s="6">
        <v>43509</v>
      </c>
      <c r="B1807" s="7">
        <v>0.52708333333333335</v>
      </c>
      <c r="C1807" s="13" t="str">
        <f>"FES1162672848"</f>
        <v>FES1162672848</v>
      </c>
      <c r="D1807" s="13" t="s">
        <v>18</v>
      </c>
      <c r="E1807" s="13" t="s">
        <v>881</v>
      </c>
      <c r="F1807" s="13" t="str">
        <f>"2170670969 "</f>
        <v xml:space="preserve">2170670969 </v>
      </c>
      <c r="G1807" s="13" t="str">
        <f t="shared" si="58"/>
        <v>ON1</v>
      </c>
      <c r="H1807" s="13" t="s">
        <v>20</v>
      </c>
      <c r="I1807" s="13" t="s">
        <v>237</v>
      </c>
      <c r="J1807" s="13" t="str">
        <f>""</f>
        <v/>
      </c>
      <c r="K1807" s="13" t="str">
        <f>"PFES1162672848_0001"</f>
        <v>PFES1162672848_0001</v>
      </c>
      <c r="L1807" s="13">
        <v>1</v>
      </c>
      <c r="M1807" s="13">
        <v>2</v>
      </c>
    </row>
    <row r="1808" spans="1:13">
      <c r="A1808" s="6">
        <v>43509</v>
      </c>
      <c r="B1808" s="7">
        <v>0.52638888888888891</v>
      </c>
      <c r="C1808" s="13" t="str">
        <f>"FES1162672841"</f>
        <v>FES1162672841</v>
      </c>
      <c r="D1808" s="13" t="s">
        <v>18</v>
      </c>
      <c r="E1808" s="13" t="s">
        <v>92</v>
      </c>
      <c r="F1808" s="13" t="str">
        <f>"2170674114 "</f>
        <v xml:space="preserve">2170674114 </v>
      </c>
      <c r="G1808" s="13" t="str">
        <f t="shared" si="58"/>
        <v>ON1</v>
      </c>
      <c r="H1808" s="13" t="s">
        <v>20</v>
      </c>
      <c r="I1808" s="13" t="s">
        <v>93</v>
      </c>
      <c r="J1808" s="13" t="str">
        <f>""</f>
        <v/>
      </c>
      <c r="K1808" s="13" t="str">
        <f>"PFES1162672841_0001"</f>
        <v>PFES1162672841_0001</v>
      </c>
      <c r="L1808" s="13">
        <v>1</v>
      </c>
      <c r="M1808" s="13">
        <v>1</v>
      </c>
    </row>
    <row r="1809" spans="1:13">
      <c r="A1809" s="6">
        <v>43509</v>
      </c>
      <c r="B1809" s="7">
        <v>0.52569444444444446</v>
      </c>
      <c r="C1809" s="13" t="str">
        <f>"FES1162672819"</f>
        <v>FES1162672819</v>
      </c>
      <c r="D1809" s="13" t="s">
        <v>18</v>
      </c>
      <c r="E1809" s="13" t="s">
        <v>19</v>
      </c>
      <c r="F1809" s="13" t="str">
        <f>"2170674090 "</f>
        <v xml:space="preserve">2170674090 </v>
      </c>
      <c r="G1809" s="13" t="str">
        <f t="shared" si="58"/>
        <v>ON1</v>
      </c>
      <c r="H1809" s="13" t="s">
        <v>20</v>
      </c>
      <c r="I1809" s="13" t="s">
        <v>21</v>
      </c>
      <c r="J1809" s="13" t="str">
        <f>""</f>
        <v/>
      </c>
      <c r="K1809" s="13" t="str">
        <f>"PFES1162672819_0001"</f>
        <v>PFES1162672819_0001</v>
      </c>
      <c r="L1809" s="13">
        <v>1</v>
      </c>
      <c r="M1809" s="13">
        <v>17</v>
      </c>
    </row>
    <row r="1810" spans="1:13">
      <c r="A1810" s="6">
        <v>43509</v>
      </c>
      <c r="B1810" s="7">
        <v>0.52430555555555558</v>
      </c>
      <c r="C1810" s="13" t="str">
        <f>"FES1162672830"</f>
        <v>FES1162672830</v>
      </c>
      <c r="D1810" s="13" t="s">
        <v>18</v>
      </c>
      <c r="E1810" s="13" t="s">
        <v>19</v>
      </c>
      <c r="F1810" s="13" t="str">
        <f>"2170674102 "</f>
        <v xml:space="preserve">2170674102 </v>
      </c>
      <c r="G1810" s="13" t="str">
        <f t="shared" si="58"/>
        <v>ON1</v>
      </c>
      <c r="H1810" s="13" t="s">
        <v>20</v>
      </c>
      <c r="I1810" s="13" t="s">
        <v>21</v>
      </c>
      <c r="J1810" s="13" t="str">
        <f>""</f>
        <v/>
      </c>
      <c r="K1810" s="13" t="str">
        <f>"PFES1162672830_0001"</f>
        <v>PFES1162672830_0001</v>
      </c>
      <c r="L1810" s="13">
        <v>1</v>
      </c>
      <c r="M1810" s="13">
        <v>5</v>
      </c>
    </row>
    <row r="1811" spans="1:13">
      <c r="A1811" s="6">
        <v>43509</v>
      </c>
      <c r="B1811" s="7">
        <v>0.52361111111111114</v>
      </c>
      <c r="C1811" s="13" t="str">
        <f>"FES1162672832"</f>
        <v>FES1162672832</v>
      </c>
      <c r="D1811" s="13" t="s">
        <v>18</v>
      </c>
      <c r="E1811" s="13" t="s">
        <v>431</v>
      </c>
      <c r="F1811" s="13" t="str">
        <f>"2170674104 "</f>
        <v xml:space="preserve">2170674104 </v>
      </c>
      <c r="G1811" s="13" t="str">
        <f t="shared" si="58"/>
        <v>ON1</v>
      </c>
      <c r="H1811" s="13" t="s">
        <v>20</v>
      </c>
      <c r="I1811" s="13" t="s">
        <v>25</v>
      </c>
      <c r="J1811" s="13" t="str">
        <f>""</f>
        <v/>
      </c>
      <c r="K1811" s="13" t="str">
        <f>"PFES1162672832_0001"</f>
        <v>PFES1162672832_0001</v>
      </c>
      <c r="L1811" s="13">
        <v>1</v>
      </c>
      <c r="M1811" s="13">
        <v>3</v>
      </c>
    </row>
    <row r="1812" spans="1:13">
      <c r="A1812" s="6">
        <v>43509</v>
      </c>
      <c r="B1812" s="7">
        <v>0.5229166666666667</v>
      </c>
      <c r="C1812" s="13" t="str">
        <f>"FES1162672826"</f>
        <v>FES1162672826</v>
      </c>
      <c r="D1812" s="13" t="s">
        <v>18</v>
      </c>
      <c r="E1812" s="13" t="s">
        <v>253</v>
      </c>
      <c r="F1812" s="13" t="str">
        <f>"2170674096 "</f>
        <v xml:space="preserve">2170674096 </v>
      </c>
      <c r="G1812" s="13" t="str">
        <f t="shared" si="58"/>
        <v>ON1</v>
      </c>
      <c r="H1812" s="13" t="s">
        <v>20</v>
      </c>
      <c r="I1812" s="13" t="s">
        <v>226</v>
      </c>
      <c r="J1812" s="13" t="str">
        <f>""</f>
        <v/>
      </c>
      <c r="K1812" s="13" t="str">
        <f>"PFES1162672826_0001"</f>
        <v>PFES1162672826_0001</v>
      </c>
      <c r="L1812" s="13">
        <v>1</v>
      </c>
      <c r="M1812" s="13">
        <v>1</v>
      </c>
    </row>
    <row r="1813" spans="1:13">
      <c r="A1813" s="6">
        <v>43509</v>
      </c>
      <c r="B1813" s="7">
        <v>0.52222222222222225</v>
      </c>
      <c r="C1813" s="13" t="str">
        <f>"FES1162672859"</f>
        <v>FES1162672859</v>
      </c>
      <c r="D1813" s="13" t="s">
        <v>18</v>
      </c>
      <c r="E1813" s="13" t="s">
        <v>60</v>
      </c>
      <c r="F1813" s="13" t="str">
        <f>"2170674120 "</f>
        <v xml:space="preserve">2170674120 </v>
      </c>
      <c r="G1813" s="13" t="str">
        <f t="shared" si="58"/>
        <v>ON1</v>
      </c>
      <c r="H1813" s="13" t="s">
        <v>20</v>
      </c>
      <c r="I1813" s="13" t="s">
        <v>61</v>
      </c>
      <c r="J1813" s="13" t="str">
        <f>""</f>
        <v/>
      </c>
      <c r="K1813" s="13" t="str">
        <f>"PFES1162672859_0001"</f>
        <v>PFES1162672859_0001</v>
      </c>
      <c r="L1813" s="13">
        <v>1</v>
      </c>
      <c r="M1813" s="13">
        <v>5</v>
      </c>
    </row>
    <row r="1814" spans="1:13">
      <c r="A1814" s="6">
        <v>43509</v>
      </c>
      <c r="B1814" s="7">
        <v>0.52083333333333337</v>
      </c>
      <c r="C1814" s="13" t="str">
        <f>"FES1162672836"</f>
        <v>FES1162672836</v>
      </c>
      <c r="D1814" s="13" t="s">
        <v>18</v>
      </c>
      <c r="E1814" s="13" t="s">
        <v>66</v>
      </c>
      <c r="F1814" s="13" t="str">
        <f>"2170671362 "</f>
        <v xml:space="preserve">2170671362 </v>
      </c>
      <c r="G1814" s="13" t="str">
        <f t="shared" si="58"/>
        <v>ON1</v>
      </c>
      <c r="H1814" s="13" t="s">
        <v>20</v>
      </c>
      <c r="I1814" s="13" t="s">
        <v>67</v>
      </c>
      <c r="J1814" s="13" t="str">
        <f>""</f>
        <v/>
      </c>
      <c r="K1814" s="13" t="str">
        <f>"PFES1162672836_0001"</f>
        <v>PFES1162672836_0001</v>
      </c>
      <c r="L1814" s="13">
        <v>1</v>
      </c>
      <c r="M1814" s="13">
        <v>10</v>
      </c>
    </row>
    <row r="1815" spans="1:13">
      <c r="A1815" s="6">
        <v>43509</v>
      </c>
      <c r="B1815" s="7">
        <v>0.52013888888888882</v>
      </c>
      <c r="C1815" s="13" t="str">
        <f>"FES1162672833"</f>
        <v>FES1162672833</v>
      </c>
      <c r="D1815" s="13" t="s">
        <v>18</v>
      </c>
      <c r="E1815" s="13" t="s">
        <v>19</v>
      </c>
      <c r="F1815" s="13" t="str">
        <f>"2170674107 "</f>
        <v xml:space="preserve">2170674107 </v>
      </c>
      <c r="G1815" s="13" t="str">
        <f t="shared" si="58"/>
        <v>ON1</v>
      </c>
      <c r="H1815" s="13" t="s">
        <v>20</v>
      </c>
      <c r="I1815" s="13" t="s">
        <v>21</v>
      </c>
      <c r="J1815" s="13" t="str">
        <f>""</f>
        <v/>
      </c>
      <c r="K1815" s="13" t="str">
        <f>"PFES1162672833_0001"</f>
        <v>PFES1162672833_0001</v>
      </c>
      <c r="L1815" s="13">
        <v>1</v>
      </c>
      <c r="M1815" s="13">
        <v>1</v>
      </c>
    </row>
    <row r="1816" spans="1:13">
      <c r="A1816" s="6">
        <v>43509</v>
      </c>
      <c r="B1816" s="7">
        <v>0.52013888888888882</v>
      </c>
      <c r="C1816" s="13" t="str">
        <f>"FES1162672837"</f>
        <v>FES1162672837</v>
      </c>
      <c r="D1816" s="13" t="s">
        <v>18</v>
      </c>
      <c r="E1816" s="13" t="s">
        <v>337</v>
      </c>
      <c r="F1816" s="13" t="str">
        <f>"2170674083 "</f>
        <v xml:space="preserve">2170674083 </v>
      </c>
      <c r="G1816" s="13" t="str">
        <f t="shared" si="58"/>
        <v>ON1</v>
      </c>
      <c r="H1816" s="13" t="s">
        <v>20</v>
      </c>
      <c r="I1816" s="13" t="s">
        <v>338</v>
      </c>
      <c r="J1816" s="13" t="str">
        <f>""</f>
        <v/>
      </c>
      <c r="K1816" s="13" t="str">
        <f>"PFES1162672837_0001"</f>
        <v>PFES1162672837_0001</v>
      </c>
      <c r="L1816" s="13">
        <v>1</v>
      </c>
      <c r="M1816" s="13">
        <v>2</v>
      </c>
    </row>
    <row r="1817" spans="1:13">
      <c r="A1817" s="6">
        <v>43509</v>
      </c>
      <c r="B1817" s="7">
        <v>0.51944444444444449</v>
      </c>
      <c r="C1817" s="13" t="str">
        <f>"FES1162672828"</f>
        <v>FES1162672828</v>
      </c>
      <c r="D1817" s="13" t="s">
        <v>18</v>
      </c>
      <c r="E1817" s="13" t="s">
        <v>19</v>
      </c>
      <c r="F1817" s="13" t="str">
        <f>"2170674098 "</f>
        <v xml:space="preserve">2170674098 </v>
      </c>
      <c r="G1817" s="13" t="str">
        <f t="shared" si="58"/>
        <v>ON1</v>
      </c>
      <c r="H1817" s="13" t="s">
        <v>20</v>
      </c>
      <c r="I1817" s="13" t="s">
        <v>21</v>
      </c>
      <c r="J1817" s="13" t="str">
        <f>""</f>
        <v/>
      </c>
      <c r="K1817" s="13" t="str">
        <f>"PFES1162672828_0001"</f>
        <v>PFES1162672828_0001</v>
      </c>
      <c r="L1817" s="13">
        <v>1</v>
      </c>
      <c r="M1817" s="13">
        <v>1</v>
      </c>
    </row>
    <row r="1818" spans="1:13">
      <c r="A1818" s="6">
        <v>43509</v>
      </c>
      <c r="B1818" s="7">
        <v>0.51944444444444449</v>
      </c>
      <c r="C1818" s="13" t="str">
        <f>"FES1162672860"</f>
        <v>FES1162672860</v>
      </c>
      <c r="D1818" s="13" t="s">
        <v>18</v>
      </c>
      <c r="E1818" s="13" t="s">
        <v>69</v>
      </c>
      <c r="F1818" s="13" t="str">
        <f>"2170674121 "</f>
        <v xml:space="preserve">2170674121 </v>
      </c>
      <c r="G1818" s="13" t="str">
        <f t="shared" si="58"/>
        <v>ON1</v>
      </c>
      <c r="H1818" s="13" t="s">
        <v>20</v>
      </c>
      <c r="I1818" s="13" t="s">
        <v>70</v>
      </c>
      <c r="J1818" s="13" t="str">
        <f>""</f>
        <v/>
      </c>
      <c r="K1818" s="13" t="str">
        <f>"PFES1162672860_0001"</f>
        <v>PFES1162672860_0001</v>
      </c>
      <c r="L1818" s="13">
        <v>1</v>
      </c>
      <c r="M1818" s="13">
        <v>1</v>
      </c>
    </row>
    <row r="1819" spans="1:13">
      <c r="A1819" s="6">
        <v>43509</v>
      </c>
      <c r="B1819" s="7">
        <v>0.51874999999999993</v>
      </c>
      <c r="C1819" s="13" t="str">
        <f>"FES1162672798"</f>
        <v>FES1162672798</v>
      </c>
      <c r="D1819" s="13" t="s">
        <v>18</v>
      </c>
      <c r="E1819" s="13" t="s">
        <v>212</v>
      </c>
      <c r="F1819" s="13" t="str">
        <f>"2170674067 "</f>
        <v xml:space="preserve">2170674067 </v>
      </c>
      <c r="G1819" s="13" t="str">
        <f t="shared" si="58"/>
        <v>ON1</v>
      </c>
      <c r="H1819" s="13" t="s">
        <v>20</v>
      </c>
      <c r="I1819" s="13" t="s">
        <v>213</v>
      </c>
      <c r="J1819" s="13" t="str">
        <f>""</f>
        <v/>
      </c>
      <c r="K1819" s="13" t="str">
        <f>"PFES1162672798_0001"</f>
        <v>PFES1162672798_0001</v>
      </c>
      <c r="L1819" s="13">
        <v>1</v>
      </c>
      <c r="M1819" s="13">
        <v>7</v>
      </c>
    </row>
    <row r="1820" spans="1:13">
      <c r="A1820" s="6">
        <v>43509</v>
      </c>
      <c r="B1820" s="7">
        <v>0.5180555555555556</v>
      </c>
      <c r="C1820" s="13" t="str">
        <f>"FES1162672787"</f>
        <v>FES1162672787</v>
      </c>
      <c r="D1820" s="13" t="s">
        <v>18</v>
      </c>
      <c r="E1820" s="13" t="s">
        <v>144</v>
      </c>
      <c r="F1820" s="13" t="str">
        <f>"2170657592 "</f>
        <v xml:space="preserve">2170657592 </v>
      </c>
      <c r="G1820" s="13" t="str">
        <f t="shared" si="58"/>
        <v>ON1</v>
      </c>
      <c r="H1820" s="13" t="s">
        <v>20</v>
      </c>
      <c r="I1820" s="13" t="s">
        <v>145</v>
      </c>
      <c r="J1820" s="13" t="str">
        <f>""</f>
        <v/>
      </c>
      <c r="K1820" s="13" t="str">
        <f>"PFES1162672787_0001"</f>
        <v>PFES1162672787_0001</v>
      </c>
      <c r="L1820" s="13">
        <v>1</v>
      </c>
      <c r="M1820" s="13">
        <v>6</v>
      </c>
    </row>
    <row r="1821" spans="1:13">
      <c r="A1821" s="6">
        <v>43509</v>
      </c>
      <c r="B1821" s="7">
        <v>0.51736111111111105</v>
      </c>
      <c r="C1821" s="13" t="str">
        <f>"FES1162672792"</f>
        <v>FES1162672792</v>
      </c>
      <c r="D1821" s="13" t="s">
        <v>18</v>
      </c>
      <c r="E1821" s="13" t="s">
        <v>779</v>
      </c>
      <c r="F1821" s="13" t="str">
        <f>"2170674059 "</f>
        <v xml:space="preserve">2170674059 </v>
      </c>
      <c r="G1821" s="13" t="str">
        <f t="shared" si="58"/>
        <v>ON1</v>
      </c>
      <c r="H1821" s="13" t="s">
        <v>20</v>
      </c>
      <c r="I1821" s="13" t="s">
        <v>635</v>
      </c>
      <c r="J1821" s="13" t="str">
        <f>""</f>
        <v/>
      </c>
      <c r="K1821" s="13" t="str">
        <f>"PFES1162672792_0001"</f>
        <v>PFES1162672792_0001</v>
      </c>
      <c r="L1821" s="13">
        <v>1</v>
      </c>
      <c r="M1821" s="13">
        <v>4</v>
      </c>
    </row>
    <row r="1822" spans="1:13">
      <c r="A1822" s="6">
        <v>43509</v>
      </c>
      <c r="B1822" s="7">
        <v>0.51597222222222217</v>
      </c>
      <c r="C1822" s="13" t="str">
        <f>"FES1162672805"</f>
        <v>FES1162672805</v>
      </c>
      <c r="D1822" s="13" t="s">
        <v>18</v>
      </c>
      <c r="E1822" s="13" t="s">
        <v>309</v>
      </c>
      <c r="F1822" s="13" t="str">
        <f>"2170674070 "</f>
        <v xml:space="preserve">2170674070 </v>
      </c>
      <c r="G1822" s="13" t="str">
        <f t="shared" si="58"/>
        <v>ON1</v>
      </c>
      <c r="H1822" s="13" t="s">
        <v>20</v>
      </c>
      <c r="I1822" s="13" t="s">
        <v>310</v>
      </c>
      <c r="J1822" s="13" t="str">
        <f>""</f>
        <v/>
      </c>
      <c r="K1822" s="13" t="str">
        <f>"PFES1162672805_0001"</f>
        <v>PFES1162672805_0001</v>
      </c>
      <c r="L1822" s="13">
        <v>1</v>
      </c>
      <c r="M1822" s="13">
        <v>2</v>
      </c>
    </row>
    <row r="1823" spans="1:13">
      <c r="A1823" s="6">
        <v>43509</v>
      </c>
      <c r="B1823" s="7">
        <v>0.51527777777777783</v>
      </c>
      <c r="C1823" s="13" t="str">
        <f>"FES1162672780"</f>
        <v>FES1162672780</v>
      </c>
      <c r="D1823" s="13" t="s">
        <v>18</v>
      </c>
      <c r="E1823" s="13" t="s">
        <v>157</v>
      </c>
      <c r="F1823" s="13" t="str">
        <f>"2170674028 "</f>
        <v xml:space="preserve">2170674028 </v>
      </c>
      <c r="G1823" s="13" t="str">
        <f t="shared" si="58"/>
        <v>ON1</v>
      </c>
      <c r="H1823" s="13" t="s">
        <v>20</v>
      </c>
      <c r="I1823" s="13" t="s">
        <v>158</v>
      </c>
      <c r="J1823" s="13" t="str">
        <f>""</f>
        <v/>
      </c>
      <c r="K1823" s="13" t="str">
        <f>"PFES1162672780_0001"</f>
        <v>PFES1162672780_0001</v>
      </c>
      <c r="L1823" s="13">
        <v>1</v>
      </c>
      <c r="M1823" s="13">
        <v>1</v>
      </c>
    </row>
    <row r="1824" spans="1:13">
      <c r="A1824" s="6">
        <v>43509</v>
      </c>
      <c r="B1824" s="7">
        <v>0.51458333333333328</v>
      </c>
      <c r="C1824" s="13" t="str">
        <f>"FES1162672745"</f>
        <v>FES1162672745</v>
      </c>
      <c r="D1824" s="13" t="s">
        <v>18</v>
      </c>
      <c r="E1824" s="13" t="s">
        <v>882</v>
      </c>
      <c r="F1824" s="13" t="str">
        <f>"2170673977 "</f>
        <v xml:space="preserve">2170673977 </v>
      </c>
      <c r="G1824" s="13" t="str">
        <f t="shared" si="58"/>
        <v>ON1</v>
      </c>
      <c r="H1824" s="13" t="s">
        <v>20</v>
      </c>
      <c r="I1824" s="13" t="s">
        <v>883</v>
      </c>
      <c r="J1824" s="13" t="str">
        <f>""</f>
        <v/>
      </c>
      <c r="K1824" s="13" t="str">
        <f>"PFES1162672745_0001"</f>
        <v>PFES1162672745_0001</v>
      </c>
      <c r="L1824" s="13">
        <v>1</v>
      </c>
      <c r="M1824" s="13">
        <v>5</v>
      </c>
    </row>
    <row r="1825" spans="1:13">
      <c r="A1825" s="6">
        <v>43509</v>
      </c>
      <c r="B1825" s="7">
        <v>0.5131944444444444</v>
      </c>
      <c r="C1825" s="13" t="str">
        <f>"FES1162672845"</f>
        <v>FES1162672845</v>
      </c>
      <c r="D1825" s="13" t="s">
        <v>18</v>
      </c>
      <c r="E1825" s="13" t="s">
        <v>556</v>
      </c>
      <c r="F1825" s="13" t="str">
        <f>"2170671932 "</f>
        <v xml:space="preserve">2170671932 </v>
      </c>
      <c r="G1825" s="13" t="str">
        <f t="shared" si="58"/>
        <v>ON1</v>
      </c>
      <c r="H1825" s="13" t="s">
        <v>20</v>
      </c>
      <c r="I1825" s="13" t="s">
        <v>435</v>
      </c>
      <c r="J1825" s="13" t="str">
        <f>""</f>
        <v/>
      </c>
      <c r="K1825" s="13" t="str">
        <f>"PFES1162672845_0001"</f>
        <v>PFES1162672845_0001</v>
      </c>
      <c r="L1825" s="13">
        <v>1</v>
      </c>
      <c r="M1825" s="13">
        <v>1</v>
      </c>
    </row>
    <row r="1826" spans="1:13">
      <c r="A1826" s="6">
        <v>43509</v>
      </c>
      <c r="B1826" s="7">
        <v>0.5131944444444444</v>
      </c>
      <c r="C1826" s="13" t="str">
        <f>"FES1162672750"</f>
        <v>FES1162672750</v>
      </c>
      <c r="D1826" s="13" t="s">
        <v>18</v>
      </c>
      <c r="E1826" s="13" t="s">
        <v>884</v>
      </c>
      <c r="F1826" s="13" t="str">
        <f>"2170674009 "</f>
        <v xml:space="preserve">2170674009 </v>
      </c>
      <c r="G1826" s="13" t="str">
        <f t="shared" si="58"/>
        <v>ON1</v>
      </c>
      <c r="H1826" s="13" t="s">
        <v>20</v>
      </c>
      <c r="I1826" s="13" t="s">
        <v>43</v>
      </c>
      <c r="J1826" s="13" t="str">
        <f>""</f>
        <v/>
      </c>
      <c r="K1826" s="13" t="str">
        <f>"PFES1162672750_0001"</f>
        <v>PFES1162672750_0001</v>
      </c>
      <c r="L1826" s="13">
        <v>1</v>
      </c>
      <c r="M1826" s="13">
        <v>3</v>
      </c>
    </row>
    <row r="1827" spans="1:13">
      <c r="A1827" s="6">
        <v>43509</v>
      </c>
      <c r="B1827" s="7">
        <v>0.51111111111111118</v>
      </c>
      <c r="C1827" s="13" t="str">
        <f>"FES1162672785"</f>
        <v>FES1162672785</v>
      </c>
      <c r="D1827" s="13" t="s">
        <v>18</v>
      </c>
      <c r="E1827" s="13" t="s">
        <v>339</v>
      </c>
      <c r="F1827" s="13" t="str">
        <f>"2170674053 "</f>
        <v xml:space="preserve">2170674053 </v>
      </c>
      <c r="G1827" s="13" t="str">
        <f t="shared" si="58"/>
        <v>ON1</v>
      </c>
      <c r="H1827" s="13" t="s">
        <v>20</v>
      </c>
      <c r="I1827" s="13" t="s">
        <v>37</v>
      </c>
      <c r="J1827" s="13" t="str">
        <f>""</f>
        <v/>
      </c>
      <c r="K1827" s="13" t="str">
        <f>"PFES1162672785_0001"</f>
        <v>PFES1162672785_0001</v>
      </c>
      <c r="L1827" s="13">
        <v>1</v>
      </c>
      <c r="M1827" s="13">
        <v>3</v>
      </c>
    </row>
    <row r="1828" spans="1:13">
      <c r="A1828" s="6">
        <v>43509</v>
      </c>
      <c r="B1828" s="7">
        <v>0.50972222222222219</v>
      </c>
      <c r="C1828" s="13" t="str">
        <f>"FES1162672788"</f>
        <v>FES1162672788</v>
      </c>
      <c r="D1828" s="13" t="s">
        <v>18</v>
      </c>
      <c r="E1828" s="13" t="s">
        <v>885</v>
      </c>
      <c r="F1828" s="13" t="str">
        <f>"2170673549 "</f>
        <v xml:space="preserve">2170673549 </v>
      </c>
      <c r="G1828" s="13" t="str">
        <f t="shared" si="58"/>
        <v>ON1</v>
      </c>
      <c r="H1828" s="13" t="s">
        <v>20</v>
      </c>
      <c r="I1828" s="13" t="s">
        <v>886</v>
      </c>
      <c r="J1828" s="13" t="str">
        <f>""</f>
        <v/>
      </c>
      <c r="K1828" s="13" t="str">
        <f>"PFES1162672788_0001"</f>
        <v>PFES1162672788_0001</v>
      </c>
      <c r="L1828" s="13">
        <v>2</v>
      </c>
      <c r="M1828" s="13">
        <v>4</v>
      </c>
    </row>
    <row r="1829" spans="1:13">
      <c r="A1829" s="6">
        <v>43509</v>
      </c>
      <c r="B1829" s="7">
        <v>0.50972222222222219</v>
      </c>
      <c r="C1829" s="13" t="str">
        <f>"FES1162672788"</f>
        <v>FES1162672788</v>
      </c>
      <c r="D1829" s="13" t="s">
        <v>18</v>
      </c>
      <c r="E1829" s="13" t="s">
        <v>885</v>
      </c>
      <c r="F1829" s="13" t="str">
        <f>"2170673549 "</f>
        <v xml:space="preserve">2170673549 </v>
      </c>
      <c r="G1829" s="13" t="str">
        <f t="shared" si="58"/>
        <v>ON1</v>
      </c>
      <c r="H1829" s="13" t="s">
        <v>20</v>
      </c>
      <c r="I1829" s="13" t="s">
        <v>886</v>
      </c>
      <c r="J1829" s="13"/>
      <c r="K1829" s="13" t="str">
        <f>"PFES1162672788_0002"</f>
        <v>PFES1162672788_0002</v>
      </c>
      <c r="L1829" s="13">
        <v>2</v>
      </c>
      <c r="M1829" s="13">
        <v>4</v>
      </c>
    </row>
    <row r="1830" spans="1:13">
      <c r="A1830" s="6">
        <v>43509</v>
      </c>
      <c r="B1830" s="7">
        <v>0.50763888888888886</v>
      </c>
      <c r="C1830" s="13" t="str">
        <f>"FES1162672712"</f>
        <v>FES1162672712</v>
      </c>
      <c r="D1830" s="13" t="s">
        <v>18</v>
      </c>
      <c r="E1830" s="13" t="s">
        <v>370</v>
      </c>
      <c r="F1830" s="13" t="str">
        <f>"2170673996 "</f>
        <v xml:space="preserve">2170673996 </v>
      </c>
      <c r="G1830" s="13" t="str">
        <f>"ON1"</f>
        <v>ON1</v>
      </c>
      <c r="H1830" s="13" t="s">
        <v>20</v>
      </c>
      <c r="I1830" s="13" t="s">
        <v>67</v>
      </c>
      <c r="J1830" s="13" t="str">
        <f>""</f>
        <v/>
      </c>
      <c r="K1830" s="13" t="str">
        <f>"PFES1162672712_0001"</f>
        <v>PFES1162672712_0001</v>
      </c>
      <c r="L1830" s="13">
        <v>1</v>
      </c>
      <c r="M1830" s="13">
        <v>2</v>
      </c>
    </row>
    <row r="1831" spans="1:13">
      <c r="A1831" s="6">
        <v>43509</v>
      </c>
      <c r="B1831" s="7">
        <v>0.50555555555555554</v>
      </c>
      <c r="C1831" s="13" t="str">
        <f>"FES1162672749"</f>
        <v>FES1162672749</v>
      </c>
      <c r="D1831" s="13" t="s">
        <v>18</v>
      </c>
      <c r="E1831" s="13" t="s">
        <v>798</v>
      </c>
      <c r="F1831" s="13" t="str">
        <f>"2170673999 "</f>
        <v xml:space="preserve">2170673999 </v>
      </c>
      <c r="G1831" s="13" t="str">
        <f>"ON2"</f>
        <v>ON2</v>
      </c>
      <c r="H1831" s="13" t="s">
        <v>20</v>
      </c>
      <c r="I1831" s="13" t="s">
        <v>708</v>
      </c>
      <c r="J1831" s="13" t="str">
        <f>"FRAGILE OIL"</f>
        <v>FRAGILE OIL</v>
      </c>
      <c r="K1831" s="13" t="str">
        <f>"PFES1162672749_0001"</f>
        <v>PFES1162672749_0001</v>
      </c>
      <c r="L1831" s="13">
        <v>1</v>
      </c>
      <c r="M1831" s="13">
        <v>2</v>
      </c>
    </row>
    <row r="1832" spans="1:13">
      <c r="A1832" s="6">
        <v>43509</v>
      </c>
      <c r="B1832" s="7">
        <v>0.50416666666666665</v>
      </c>
      <c r="C1832" s="13" t="str">
        <f>"FES1162672783"</f>
        <v>FES1162672783</v>
      </c>
      <c r="D1832" s="13" t="s">
        <v>18</v>
      </c>
      <c r="E1832" s="13" t="s">
        <v>368</v>
      </c>
      <c r="F1832" s="13" t="str">
        <f>"2170674049 "</f>
        <v xml:space="preserve">2170674049 </v>
      </c>
      <c r="G1832" s="13" t="str">
        <f t="shared" ref="G1832:G1838" si="59">"ON1"</f>
        <v>ON1</v>
      </c>
      <c r="H1832" s="13" t="s">
        <v>20</v>
      </c>
      <c r="I1832" s="13" t="s">
        <v>369</v>
      </c>
      <c r="J1832" s="13" t="str">
        <f>""</f>
        <v/>
      </c>
      <c r="K1832" s="13" t="str">
        <f>"PFES1162672783_0001"</f>
        <v>PFES1162672783_0001</v>
      </c>
      <c r="L1832" s="13">
        <v>1</v>
      </c>
      <c r="M1832" s="13">
        <v>1</v>
      </c>
    </row>
    <row r="1833" spans="1:13">
      <c r="A1833" s="6">
        <v>43509</v>
      </c>
      <c r="B1833" s="7">
        <v>0.50208333333333333</v>
      </c>
      <c r="C1833" s="13" t="str">
        <f>"FES1162672784"</f>
        <v>FES1162672784</v>
      </c>
      <c r="D1833" s="13" t="s">
        <v>18</v>
      </c>
      <c r="E1833" s="13" t="s">
        <v>447</v>
      </c>
      <c r="F1833" s="13" t="str">
        <f>"2170674051 "</f>
        <v xml:space="preserve">2170674051 </v>
      </c>
      <c r="G1833" s="13" t="str">
        <f t="shared" si="59"/>
        <v>ON1</v>
      </c>
      <c r="H1833" s="13" t="s">
        <v>20</v>
      </c>
      <c r="I1833" s="13" t="s">
        <v>182</v>
      </c>
      <c r="J1833" s="13" t="str">
        <f>""</f>
        <v/>
      </c>
      <c r="K1833" s="13" t="str">
        <f>"PFES1162672784_0001"</f>
        <v>PFES1162672784_0001</v>
      </c>
      <c r="L1833" s="13">
        <v>1</v>
      </c>
      <c r="M1833" s="13">
        <v>5</v>
      </c>
    </row>
    <row r="1834" spans="1:13">
      <c r="A1834" s="6">
        <v>43509</v>
      </c>
      <c r="B1834" s="7">
        <v>0.49861111111111112</v>
      </c>
      <c r="C1834" s="13" t="str">
        <f>"FES1162672752"</f>
        <v>FES1162672752</v>
      </c>
      <c r="D1834" s="13" t="s">
        <v>18</v>
      </c>
      <c r="E1834" s="13" t="s">
        <v>223</v>
      </c>
      <c r="F1834" s="13" t="str">
        <f>"2170674011 "</f>
        <v xml:space="preserve">2170674011 </v>
      </c>
      <c r="G1834" s="13" t="str">
        <f t="shared" si="59"/>
        <v>ON1</v>
      </c>
      <c r="H1834" s="13" t="s">
        <v>20</v>
      </c>
      <c r="I1834" s="13" t="s">
        <v>81</v>
      </c>
      <c r="J1834" s="13" t="str">
        <f>""</f>
        <v/>
      </c>
      <c r="K1834" s="13" t="str">
        <f>"PFES1162672752_0001"</f>
        <v>PFES1162672752_0001</v>
      </c>
      <c r="L1834" s="13">
        <v>1</v>
      </c>
      <c r="M1834" s="13">
        <v>7</v>
      </c>
    </row>
    <row r="1835" spans="1:13">
      <c r="A1835" s="6">
        <v>43509</v>
      </c>
      <c r="B1835" s="7">
        <v>0.49513888888888885</v>
      </c>
      <c r="C1835" s="13" t="str">
        <f>"FES1162672793"</f>
        <v>FES1162672793</v>
      </c>
      <c r="D1835" s="13" t="s">
        <v>18</v>
      </c>
      <c r="E1835" s="13" t="s">
        <v>887</v>
      </c>
      <c r="F1835" s="13" t="str">
        <f>"2170674060 "</f>
        <v xml:space="preserve">2170674060 </v>
      </c>
      <c r="G1835" s="13" t="str">
        <f t="shared" si="59"/>
        <v>ON1</v>
      </c>
      <c r="H1835" s="13" t="s">
        <v>20</v>
      </c>
      <c r="I1835" s="13" t="s">
        <v>586</v>
      </c>
      <c r="J1835" s="13" t="str">
        <f>""</f>
        <v/>
      </c>
      <c r="K1835" s="13" t="str">
        <f>"PFES1162672793_0001"</f>
        <v>PFES1162672793_0001</v>
      </c>
      <c r="L1835" s="13">
        <v>1</v>
      </c>
      <c r="M1835" s="13">
        <v>1</v>
      </c>
    </row>
    <row r="1836" spans="1:13">
      <c r="A1836" s="6">
        <v>43509</v>
      </c>
      <c r="B1836" s="7">
        <v>0.49444444444444446</v>
      </c>
      <c r="C1836" s="13" t="str">
        <f>"FES1162672803"</f>
        <v>FES1162672803</v>
      </c>
      <c r="D1836" s="13" t="s">
        <v>18</v>
      </c>
      <c r="E1836" s="13" t="s">
        <v>160</v>
      </c>
      <c r="F1836" s="13" t="str">
        <f>"2170674068 "</f>
        <v xml:space="preserve">2170674068 </v>
      </c>
      <c r="G1836" s="13" t="str">
        <f t="shared" si="59"/>
        <v>ON1</v>
      </c>
      <c r="H1836" s="13" t="s">
        <v>20</v>
      </c>
      <c r="I1836" s="13" t="s">
        <v>161</v>
      </c>
      <c r="J1836" s="13" t="str">
        <f>""</f>
        <v/>
      </c>
      <c r="K1836" s="13" t="str">
        <f>"PFES1162672803_0001"</f>
        <v>PFES1162672803_0001</v>
      </c>
      <c r="L1836" s="13">
        <v>1</v>
      </c>
      <c r="M1836" s="13">
        <v>1</v>
      </c>
    </row>
    <row r="1837" spans="1:13">
      <c r="A1837" s="6">
        <v>43509</v>
      </c>
      <c r="B1837" s="7">
        <v>0.49374999999999997</v>
      </c>
      <c r="C1837" s="13" t="str">
        <f>"FES1162672741"</f>
        <v>FES1162672741</v>
      </c>
      <c r="D1837" s="13" t="s">
        <v>18</v>
      </c>
      <c r="E1837" s="13" t="s">
        <v>888</v>
      </c>
      <c r="F1837" s="13" t="str">
        <f>"2170674004 "</f>
        <v xml:space="preserve">2170674004 </v>
      </c>
      <c r="G1837" s="13" t="str">
        <f t="shared" si="59"/>
        <v>ON1</v>
      </c>
      <c r="H1837" s="13" t="s">
        <v>20</v>
      </c>
      <c r="I1837" s="13" t="s">
        <v>262</v>
      </c>
      <c r="J1837" s="13" t="str">
        <f>""</f>
        <v/>
      </c>
      <c r="K1837" s="13" t="str">
        <f>"PFES1162672741_0001"</f>
        <v>PFES1162672741_0001</v>
      </c>
      <c r="L1837" s="13">
        <v>1</v>
      </c>
      <c r="M1837" s="13">
        <v>10</v>
      </c>
    </row>
    <row r="1838" spans="1:13">
      <c r="A1838" s="6">
        <v>43509</v>
      </c>
      <c r="B1838" s="7">
        <v>0.49374999999999997</v>
      </c>
      <c r="C1838" s="13" t="str">
        <f>"FES1162672802"</f>
        <v>FES1162672802</v>
      </c>
      <c r="D1838" s="13" t="s">
        <v>18</v>
      </c>
      <c r="E1838" s="13" t="s">
        <v>129</v>
      </c>
      <c r="F1838" s="13" t="str">
        <f>"2170674036 "</f>
        <v xml:space="preserve">2170674036 </v>
      </c>
      <c r="G1838" s="13" t="str">
        <f t="shared" si="59"/>
        <v>ON1</v>
      </c>
      <c r="H1838" s="13" t="s">
        <v>20</v>
      </c>
      <c r="I1838" s="13" t="s">
        <v>130</v>
      </c>
      <c r="J1838" s="13" t="str">
        <f>""</f>
        <v/>
      </c>
      <c r="K1838" s="13" t="str">
        <f>"PFES1162672802_0001"</f>
        <v>PFES1162672802_0001</v>
      </c>
      <c r="L1838" s="13">
        <v>1</v>
      </c>
      <c r="M1838" s="13">
        <v>1</v>
      </c>
    </row>
    <row r="1839" spans="1:13">
      <c r="A1839" s="6">
        <v>43509</v>
      </c>
      <c r="B1839" s="7">
        <v>0.4909722222222222</v>
      </c>
      <c r="C1839" s="13" t="str">
        <f>"FES1162672815"</f>
        <v>FES1162672815</v>
      </c>
      <c r="D1839" s="13" t="s">
        <v>18</v>
      </c>
      <c r="E1839" s="13" t="s">
        <v>823</v>
      </c>
      <c r="F1839" s="13" t="str">
        <f>"2170674085 "</f>
        <v xml:space="preserve">2170674085 </v>
      </c>
      <c r="G1839" s="13" t="str">
        <f>"SDX"</f>
        <v>SDX</v>
      </c>
      <c r="H1839" s="13" t="s">
        <v>20</v>
      </c>
      <c r="I1839" s="13" t="s">
        <v>99</v>
      </c>
      <c r="J1839" s="13" t="str">
        <f>""</f>
        <v/>
      </c>
      <c r="K1839" s="13" t="str">
        <f>"PFES1162672815_0001"</f>
        <v>PFES1162672815_0001</v>
      </c>
      <c r="L1839" s="13">
        <v>1</v>
      </c>
      <c r="M1839" s="13">
        <v>1</v>
      </c>
    </row>
    <row r="1840" spans="1:13">
      <c r="A1840" s="6">
        <v>43509</v>
      </c>
      <c r="B1840" s="7">
        <v>0.49027777777777781</v>
      </c>
      <c r="C1840" s="13" t="str">
        <f>"FES1162672740"</f>
        <v>FES1162672740</v>
      </c>
      <c r="D1840" s="13" t="s">
        <v>18</v>
      </c>
      <c r="E1840" s="13" t="s">
        <v>267</v>
      </c>
      <c r="F1840" s="13" t="str">
        <f>"2170674002 "</f>
        <v xml:space="preserve">2170674002 </v>
      </c>
      <c r="G1840" s="13" t="str">
        <f>"DBC"</f>
        <v>DBC</v>
      </c>
      <c r="H1840" s="13" t="s">
        <v>20</v>
      </c>
      <c r="I1840" s="13" t="s">
        <v>268</v>
      </c>
      <c r="J1840" s="13" t="str">
        <f>""</f>
        <v/>
      </c>
      <c r="K1840" s="13" t="str">
        <f>"PFES1162672740_0001"</f>
        <v>PFES1162672740_0001</v>
      </c>
      <c r="L1840" s="13">
        <v>1</v>
      </c>
      <c r="M1840" s="13">
        <v>20</v>
      </c>
    </row>
    <row r="1841" spans="1:13">
      <c r="A1841" s="6">
        <v>43509</v>
      </c>
      <c r="B1841" s="7">
        <v>0.48888888888888887</v>
      </c>
      <c r="C1841" s="13" t="str">
        <f>"FES1162672710"</f>
        <v>FES1162672710</v>
      </c>
      <c r="D1841" s="13" t="s">
        <v>18</v>
      </c>
      <c r="E1841" s="13" t="s">
        <v>382</v>
      </c>
      <c r="F1841" s="13" t="str">
        <f>"2170673992 "</f>
        <v xml:space="preserve">2170673992 </v>
      </c>
      <c r="G1841" s="13" t="str">
        <f t="shared" ref="G1841:G1876" si="60">"ON1"</f>
        <v>ON1</v>
      </c>
      <c r="H1841" s="13" t="s">
        <v>20</v>
      </c>
      <c r="I1841" s="13" t="s">
        <v>383</v>
      </c>
      <c r="J1841" s="13" t="str">
        <f>""</f>
        <v/>
      </c>
      <c r="K1841" s="13" t="str">
        <f>"PFES1162672710_0001"</f>
        <v>PFES1162672710_0001</v>
      </c>
      <c r="L1841" s="13">
        <v>1</v>
      </c>
      <c r="M1841" s="13">
        <v>1</v>
      </c>
    </row>
    <row r="1842" spans="1:13">
      <c r="A1842" s="6">
        <v>43509</v>
      </c>
      <c r="B1842" s="7">
        <v>0.48541666666666666</v>
      </c>
      <c r="C1842" s="13" t="str">
        <f>"FES1162672812"</f>
        <v>FES1162672812</v>
      </c>
      <c r="D1842" s="13" t="s">
        <v>18</v>
      </c>
      <c r="E1842" s="13" t="s">
        <v>305</v>
      </c>
      <c r="F1842" s="13" t="str">
        <f>"2170674077 "</f>
        <v xml:space="preserve">2170674077 </v>
      </c>
      <c r="G1842" s="13" t="str">
        <f t="shared" si="60"/>
        <v>ON1</v>
      </c>
      <c r="H1842" s="13" t="s">
        <v>20</v>
      </c>
      <c r="I1842" s="13" t="s">
        <v>197</v>
      </c>
      <c r="J1842" s="13" t="str">
        <f>""</f>
        <v/>
      </c>
      <c r="K1842" s="13" t="str">
        <f>"PFES1162672812_0001"</f>
        <v>PFES1162672812_0001</v>
      </c>
      <c r="L1842" s="13">
        <v>1</v>
      </c>
      <c r="M1842" s="13">
        <v>1</v>
      </c>
    </row>
    <row r="1843" spans="1:13">
      <c r="A1843" s="6">
        <v>43509</v>
      </c>
      <c r="B1843" s="7">
        <v>0.48472222222222222</v>
      </c>
      <c r="C1843" s="13" t="str">
        <f>"FES1162672814"</f>
        <v>FES1162672814</v>
      </c>
      <c r="D1843" s="13" t="s">
        <v>18</v>
      </c>
      <c r="E1843" s="13" t="s">
        <v>468</v>
      </c>
      <c r="F1843" s="13" t="str">
        <f>"2170674082 "</f>
        <v xml:space="preserve">2170674082 </v>
      </c>
      <c r="G1843" s="13" t="str">
        <f t="shared" si="60"/>
        <v>ON1</v>
      </c>
      <c r="H1843" s="13" t="s">
        <v>20</v>
      </c>
      <c r="I1843" s="13" t="s">
        <v>188</v>
      </c>
      <c r="J1843" s="13" t="str">
        <f>""</f>
        <v/>
      </c>
      <c r="K1843" s="13" t="str">
        <f>"PFES1162672814_0001"</f>
        <v>PFES1162672814_0001</v>
      </c>
      <c r="L1843" s="13">
        <v>1</v>
      </c>
      <c r="M1843" s="13">
        <v>1</v>
      </c>
    </row>
    <row r="1844" spans="1:13">
      <c r="A1844" s="6">
        <v>43509</v>
      </c>
      <c r="B1844" s="7">
        <v>0.48402777777777778</v>
      </c>
      <c r="C1844" s="13" t="str">
        <f>"FES1162672747"</f>
        <v>FES1162672747</v>
      </c>
      <c r="D1844" s="13" t="s">
        <v>18</v>
      </c>
      <c r="E1844" s="13" t="s">
        <v>889</v>
      </c>
      <c r="F1844" s="13" t="str">
        <f>"2170674015 "</f>
        <v xml:space="preserve">2170674015 </v>
      </c>
      <c r="G1844" s="13" t="str">
        <f t="shared" si="60"/>
        <v>ON1</v>
      </c>
      <c r="H1844" s="13" t="s">
        <v>20</v>
      </c>
      <c r="I1844" s="13" t="s">
        <v>890</v>
      </c>
      <c r="J1844" s="13" t="str">
        <f>""</f>
        <v/>
      </c>
      <c r="K1844" s="13" t="str">
        <f>"PFES1162672747_0001"</f>
        <v>PFES1162672747_0001</v>
      </c>
      <c r="L1844" s="13">
        <v>1</v>
      </c>
      <c r="M1844" s="13">
        <v>1</v>
      </c>
    </row>
    <row r="1845" spans="1:13">
      <c r="A1845" s="6">
        <v>43509</v>
      </c>
      <c r="B1845" s="7">
        <v>0.68819444444444444</v>
      </c>
      <c r="C1845" s="13" t="str">
        <f>"FES1162672964"</f>
        <v>FES1162672964</v>
      </c>
      <c r="D1845" s="13" t="s">
        <v>18</v>
      </c>
      <c r="E1845" s="13" t="s">
        <v>891</v>
      </c>
      <c r="F1845" s="13" t="str">
        <f>"2170674230 "</f>
        <v xml:space="preserve">2170674230 </v>
      </c>
      <c r="G1845" s="13" t="str">
        <f t="shared" si="60"/>
        <v>ON1</v>
      </c>
      <c r="H1845" s="13" t="s">
        <v>20</v>
      </c>
      <c r="I1845" s="13" t="s">
        <v>408</v>
      </c>
      <c r="J1845" s="13" t="str">
        <f>""</f>
        <v/>
      </c>
      <c r="K1845" s="13" t="str">
        <f>"PFES1162672964_0001"</f>
        <v>PFES1162672964_0001</v>
      </c>
      <c r="L1845" s="13">
        <v>1</v>
      </c>
      <c r="M1845" s="13">
        <v>4</v>
      </c>
    </row>
    <row r="1846" spans="1:13">
      <c r="A1846" s="6">
        <v>43509</v>
      </c>
      <c r="B1846" s="7">
        <v>0.68611111111111101</v>
      </c>
      <c r="C1846" s="13" t="str">
        <f>"FES1162672916"</f>
        <v>FES1162672916</v>
      </c>
      <c r="D1846" s="13" t="s">
        <v>18</v>
      </c>
      <c r="E1846" s="13" t="s">
        <v>293</v>
      </c>
      <c r="F1846" s="13" t="str">
        <f>"2170671271 "</f>
        <v xml:space="preserve">2170671271 </v>
      </c>
      <c r="G1846" s="13" t="str">
        <f t="shared" si="60"/>
        <v>ON1</v>
      </c>
      <c r="H1846" s="13" t="s">
        <v>20</v>
      </c>
      <c r="I1846" s="13" t="s">
        <v>294</v>
      </c>
      <c r="J1846" s="13" t="str">
        <f>""</f>
        <v/>
      </c>
      <c r="K1846" s="13" t="str">
        <f>"PFES1162672916_0001"</f>
        <v>PFES1162672916_0001</v>
      </c>
      <c r="L1846" s="13">
        <v>1</v>
      </c>
      <c r="M1846" s="13">
        <v>2</v>
      </c>
    </row>
    <row r="1847" spans="1:13">
      <c r="A1847" s="6">
        <v>43509</v>
      </c>
      <c r="B1847" s="7">
        <v>0.68611111111111101</v>
      </c>
      <c r="C1847" s="13" t="str">
        <f>"FES1162672942"</f>
        <v>FES1162672942</v>
      </c>
      <c r="D1847" s="13" t="s">
        <v>18</v>
      </c>
      <c r="E1847" s="13" t="s">
        <v>296</v>
      </c>
      <c r="F1847" s="13" t="str">
        <f>"21706716058 "</f>
        <v xml:space="preserve">21706716058 </v>
      </c>
      <c r="G1847" s="13" t="str">
        <f t="shared" si="60"/>
        <v>ON1</v>
      </c>
      <c r="H1847" s="13" t="s">
        <v>20</v>
      </c>
      <c r="I1847" s="13" t="s">
        <v>93</v>
      </c>
      <c r="J1847" s="13" t="str">
        <f>""</f>
        <v/>
      </c>
      <c r="K1847" s="13" t="str">
        <f>"PFES1162672942_0001"</f>
        <v>PFES1162672942_0001</v>
      </c>
      <c r="L1847" s="13">
        <v>1</v>
      </c>
      <c r="M1847" s="13">
        <v>3</v>
      </c>
    </row>
    <row r="1848" spans="1:13">
      <c r="A1848" s="6">
        <v>43509</v>
      </c>
      <c r="B1848" s="7">
        <v>0.68611111111111101</v>
      </c>
      <c r="C1848" s="13" t="str">
        <f>"FES1162672969"</f>
        <v>FES1162672969</v>
      </c>
      <c r="D1848" s="13" t="s">
        <v>18</v>
      </c>
      <c r="E1848" s="13" t="s">
        <v>857</v>
      </c>
      <c r="F1848" s="13" t="str">
        <f>"2170674237 "</f>
        <v xml:space="preserve">2170674237 </v>
      </c>
      <c r="G1848" s="13" t="str">
        <f t="shared" si="60"/>
        <v>ON1</v>
      </c>
      <c r="H1848" s="13" t="s">
        <v>20</v>
      </c>
      <c r="I1848" s="13" t="s">
        <v>353</v>
      </c>
      <c r="J1848" s="13" t="str">
        <f>""</f>
        <v/>
      </c>
      <c r="K1848" s="13" t="str">
        <f>"PFES1162672969_0001"</f>
        <v>PFES1162672969_0001</v>
      </c>
      <c r="L1848" s="13">
        <v>1</v>
      </c>
      <c r="M1848" s="13">
        <v>1</v>
      </c>
    </row>
    <row r="1849" spans="1:13">
      <c r="A1849" s="6">
        <v>43509</v>
      </c>
      <c r="B1849" s="7">
        <v>0.68472222222222223</v>
      </c>
      <c r="C1849" s="13" t="str">
        <f>"FES1162672970"</f>
        <v>FES1162672970</v>
      </c>
      <c r="D1849" s="13" t="s">
        <v>18</v>
      </c>
      <c r="E1849" s="13" t="s">
        <v>176</v>
      </c>
      <c r="F1849" s="13" t="str">
        <f>"2170674238 "</f>
        <v xml:space="preserve">2170674238 </v>
      </c>
      <c r="G1849" s="13" t="str">
        <f t="shared" si="60"/>
        <v>ON1</v>
      </c>
      <c r="H1849" s="13" t="s">
        <v>20</v>
      </c>
      <c r="I1849" s="13" t="s">
        <v>708</v>
      </c>
      <c r="J1849" s="13" t="str">
        <f>""</f>
        <v/>
      </c>
      <c r="K1849" s="13" t="str">
        <f>"PFES1162672970_0001"</f>
        <v>PFES1162672970_0001</v>
      </c>
      <c r="L1849" s="13">
        <v>1</v>
      </c>
      <c r="M1849" s="13">
        <v>1</v>
      </c>
    </row>
    <row r="1850" spans="1:13">
      <c r="A1850" s="6">
        <v>43509</v>
      </c>
      <c r="B1850" s="7">
        <v>0.68402777777777779</v>
      </c>
      <c r="C1850" s="13" t="str">
        <f>"FES1162672927"</f>
        <v>FES1162672927</v>
      </c>
      <c r="D1850" s="13" t="s">
        <v>18</v>
      </c>
      <c r="E1850" s="13" t="s">
        <v>339</v>
      </c>
      <c r="F1850" s="13" t="str">
        <f>"2170670865 "</f>
        <v xml:space="preserve">2170670865 </v>
      </c>
      <c r="G1850" s="13" t="str">
        <f t="shared" si="60"/>
        <v>ON1</v>
      </c>
      <c r="H1850" s="13" t="s">
        <v>20</v>
      </c>
      <c r="I1850" s="13" t="s">
        <v>37</v>
      </c>
      <c r="J1850" s="13" t="str">
        <f>""</f>
        <v/>
      </c>
      <c r="K1850" s="13" t="str">
        <f>"PFES1162672927_0001"</f>
        <v>PFES1162672927_0001</v>
      </c>
      <c r="L1850" s="13">
        <v>1</v>
      </c>
      <c r="M1850" s="13">
        <v>3</v>
      </c>
    </row>
    <row r="1851" spans="1:13">
      <c r="A1851" s="6">
        <v>43509</v>
      </c>
      <c r="B1851" s="7">
        <v>0.68402777777777779</v>
      </c>
      <c r="C1851" s="13" t="str">
        <f>"FES1162672959"</f>
        <v>FES1162672959</v>
      </c>
      <c r="D1851" s="13" t="s">
        <v>18</v>
      </c>
      <c r="E1851" s="13" t="s">
        <v>225</v>
      </c>
      <c r="F1851" s="13" t="str">
        <f>"2170674223 "</f>
        <v xml:space="preserve">2170674223 </v>
      </c>
      <c r="G1851" s="13" t="str">
        <f t="shared" si="60"/>
        <v>ON1</v>
      </c>
      <c r="H1851" s="13" t="s">
        <v>20</v>
      </c>
      <c r="I1851" s="13" t="s">
        <v>226</v>
      </c>
      <c r="J1851" s="13" t="str">
        <f>""</f>
        <v/>
      </c>
      <c r="K1851" s="13" t="str">
        <f>"PFES1162672959_0001"</f>
        <v>PFES1162672959_0001</v>
      </c>
      <c r="L1851" s="13">
        <v>1</v>
      </c>
      <c r="M1851" s="13">
        <v>4</v>
      </c>
    </row>
    <row r="1852" spans="1:13">
      <c r="A1852" s="6">
        <v>43509</v>
      </c>
      <c r="B1852" s="7">
        <v>0.68333333333333324</v>
      </c>
      <c r="C1852" s="13" t="str">
        <f>"FES1162672960"</f>
        <v>FES1162672960</v>
      </c>
      <c r="D1852" s="13" t="s">
        <v>18</v>
      </c>
      <c r="E1852" s="13" t="s">
        <v>104</v>
      </c>
      <c r="F1852" s="13" t="str">
        <f>"2170674225 "</f>
        <v xml:space="preserve">2170674225 </v>
      </c>
      <c r="G1852" s="13" t="str">
        <f t="shared" si="60"/>
        <v>ON1</v>
      </c>
      <c r="H1852" s="13" t="s">
        <v>20</v>
      </c>
      <c r="I1852" s="13" t="s">
        <v>105</v>
      </c>
      <c r="J1852" s="13" t="str">
        <f>""</f>
        <v/>
      </c>
      <c r="K1852" s="13" t="str">
        <f>"PFES1162672960_0001"</f>
        <v>PFES1162672960_0001</v>
      </c>
      <c r="L1852" s="13">
        <v>1</v>
      </c>
      <c r="M1852" s="13">
        <v>3</v>
      </c>
    </row>
    <row r="1853" spans="1:13">
      <c r="A1853" s="6">
        <v>43509</v>
      </c>
      <c r="B1853" s="7">
        <v>0.68263888888888891</v>
      </c>
      <c r="C1853" s="13" t="str">
        <f>"FES1162672799"</f>
        <v>FES1162672799</v>
      </c>
      <c r="D1853" s="13" t="s">
        <v>18</v>
      </c>
      <c r="E1853" s="13" t="s">
        <v>508</v>
      </c>
      <c r="F1853" s="13" t="str">
        <f>"2170673618 "</f>
        <v xml:space="preserve">2170673618 </v>
      </c>
      <c r="G1853" s="13" t="str">
        <f t="shared" si="60"/>
        <v>ON1</v>
      </c>
      <c r="H1853" s="13" t="s">
        <v>20</v>
      </c>
      <c r="I1853" s="13" t="s">
        <v>509</v>
      </c>
      <c r="J1853" s="13" t="str">
        <f>""</f>
        <v/>
      </c>
      <c r="K1853" s="13" t="str">
        <f>"PFES1162672799_0001"</f>
        <v>PFES1162672799_0001</v>
      </c>
      <c r="L1853" s="13">
        <v>1</v>
      </c>
      <c r="M1853" s="13">
        <v>2</v>
      </c>
    </row>
    <row r="1854" spans="1:13">
      <c r="A1854" s="6">
        <v>43509</v>
      </c>
      <c r="B1854" s="7">
        <v>0.68263888888888891</v>
      </c>
      <c r="C1854" s="13" t="str">
        <f>"FES1162672929"</f>
        <v>FES1162672929</v>
      </c>
      <c r="D1854" s="13" t="s">
        <v>18</v>
      </c>
      <c r="E1854" s="13" t="s">
        <v>892</v>
      </c>
      <c r="F1854" s="13" t="str">
        <f>"2170674179 "</f>
        <v xml:space="preserve">2170674179 </v>
      </c>
      <c r="G1854" s="13" t="str">
        <f t="shared" si="60"/>
        <v>ON1</v>
      </c>
      <c r="H1854" s="13" t="s">
        <v>20</v>
      </c>
      <c r="I1854" s="13" t="s">
        <v>101</v>
      </c>
      <c r="J1854" s="13" t="str">
        <f>""</f>
        <v/>
      </c>
      <c r="K1854" s="13" t="str">
        <f>"PFES1162672929_0001"</f>
        <v>PFES1162672929_0001</v>
      </c>
      <c r="L1854" s="13">
        <v>1</v>
      </c>
      <c r="M1854" s="13">
        <v>9</v>
      </c>
    </row>
    <row r="1855" spans="1:13">
      <c r="A1855" s="6">
        <v>43509</v>
      </c>
      <c r="B1855" s="7">
        <v>0.68194444444444446</v>
      </c>
      <c r="C1855" s="13" t="str">
        <f>"FES1162672949"</f>
        <v>FES1162672949</v>
      </c>
      <c r="D1855" s="13" t="s">
        <v>18</v>
      </c>
      <c r="E1855" s="13" t="s">
        <v>649</v>
      </c>
      <c r="F1855" s="13" t="str">
        <f>"2170673800 "</f>
        <v xml:space="preserve">2170673800 </v>
      </c>
      <c r="G1855" s="13" t="str">
        <f t="shared" si="60"/>
        <v>ON1</v>
      </c>
      <c r="H1855" s="13" t="s">
        <v>20</v>
      </c>
      <c r="I1855" s="13" t="s">
        <v>650</v>
      </c>
      <c r="J1855" s="13" t="str">
        <f>""</f>
        <v/>
      </c>
      <c r="K1855" s="13" t="str">
        <f>"PFES1162672949_0001"</f>
        <v>PFES1162672949_0001</v>
      </c>
      <c r="L1855" s="13">
        <v>1</v>
      </c>
      <c r="M1855" s="13">
        <v>2</v>
      </c>
    </row>
    <row r="1856" spans="1:13">
      <c r="A1856" s="6">
        <v>43509</v>
      </c>
      <c r="B1856" s="7">
        <v>0.68125000000000002</v>
      </c>
      <c r="C1856" s="13" t="str">
        <f>"FES1162672948"</f>
        <v>FES1162672948</v>
      </c>
      <c r="D1856" s="13" t="s">
        <v>18</v>
      </c>
      <c r="E1856" s="13" t="s">
        <v>150</v>
      </c>
      <c r="F1856" s="13" t="str">
        <f>"2170673863 "</f>
        <v xml:space="preserve">2170673863 </v>
      </c>
      <c r="G1856" s="13" t="str">
        <f t="shared" si="60"/>
        <v>ON1</v>
      </c>
      <c r="H1856" s="13" t="s">
        <v>20</v>
      </c>
      <c r="I1856" s="13" t="s">
        <v>137</v>
      </c>
      <c r="J1856" s="13" t="str">
        <f>""</f>
        <v/>
      </c>
      <c r="K1856" s="13" t="str">
        <f>"PFES1162672948_0001"</f>
        <v>PFES1162672948_0001</v>
      </c>
      <c r="L1856" s="13">
        <v>1</v>
      </c>
      <c r="M1856" s="13">
        <v>2</v>
      </c>
    </row>
    <row r="1857" spans="1:13">
      <c r="A1857" s="6">
        <v>43509</v>
      </c>
      <c r="B1857" s="7">
        <v>0.68055555555555547</v>
      </c>
      <c r="C1857" s="13" t="str">
        <f>"FES1162672899"</f>
        <v>FES1162672899</v>
      </c>
      <c r="D1857" s="13" t="s">
        <v>18</v>
      </c>
      <c r="E1857" s="13" t="s">
        <v>92</v>
      </c>
      <c r="F1857" s="13" t="str">
        <f>"2170674168 "</f>
        <v xml:space="preserve">2170674168 </v>
      </c>
      <c r="G1857" s="13" t="str">
        <f t="shared" si="60"/>
        <v>ON1</v>
      </c>
      <c r="H1857" s="13" t="s">
        <v>20</v>
      </c>
      <c r="I1857" s="13" t="s">
        <v>93</v>
      </c>
      <c r="J1857" s="13" t="str">
        <f>""</f>
        <v/>
      </c>
      <c r="K1857" s="13" t="str">
        <f>"PFES1162672899_0001"</f>
        <v>PFES1162672899_0001</v>
      </c>
      <c r="L1857" s="13">
        <v>1</v>
      </c>
      <c r="M1857" s="13">
        <v>3</v>
      </c>
    </row>
    <row r="1858" spans="1:13">
      <c r="A1858" s="6">
        <v>43509</v>
      </c>
      <c r="B1858" s="7">
        <v>0.68055555555555547</v>
      </c>
      <c r="C1858" s="13" t="str">
        <f>"FES1162672920"</f>
        <v>FES1162672920</v>
      </c>
      <c r="D1858" s="13" t="s">
        <v>18</v>
      </c>
      <c r="E1858" s="13" t="s">
        <v>776</v>
      </c>
      <c r="F1858" s="13" t="str">
        <f>"2170671584 "</f>
        <v xml:space="preserve">2170671584 </v>
      </c>
      <c r="G1858" s="13" t="str">
        <f t="shared" si="60"/>
        <v>ON1</v>
      </c>
      <c r="H1858" s="13" t="s">
        <v>20</v>
      </c>
      <c r="I1858" s="13" t="s">
        <v>103</v>
      </c>
      <c r="J1858" s="13" t="str">
        <f>""</f>
        <v/>
      </c>
      <c r="K1858" s="13" t="str">
        <f>"PFES1162672920_0001"</f>
        <v>PFES1162672920_0001</v>
      </c>
      <c r="L1858" s="13">
        <v>1</v>
      </c>
      <c r="M1858" s="13">
        <v>1</v>
      </c>
    </row>
    <row r="1859" spans="1:13">
      <c r="A1859" s="6">
        <v>43509</v>
      </c>
      <c r="B1859" s="7">
        <v>0.67986111111111114</v>
      </c>
      <c r="C1859" s="13" t="str">
        <f>"FES1162672886"</f>
        <v>FES1162672886</v>
      </c>
      <c r="D1859" s="13" t="s">
        <v>18</v>
      </c>
      <c r="E1859" s="13" t="s">
        <v>78</v>
      </c>
      <c r="F1859" s="13" t="str">
        <f>"2170674152 "</f>
        <v xml:space="preserve">2170674152 </v>
      </c>
      <c r="G1859" s="13" t="str">
        <f t="shared" si="60"/>
        <v>ON1</v>
      </c>
      <c r="H1859" s="13" t="s">
        <v>20</v>
      </c>
      <c r="I1859" s="13" t="s">
        <v>79</v>
      </c>
      <c r="J1859" s="13" t="str">
        <f>""</f>
        <v/>
      </c>
      <c r="K1859" s="13" t="str">
        <f>"PFES1162672886_0001"</f>
        <v>PFES1162672886_0001</v>
      </c>
      <c r="L1859" s="13">
        <v>1</v>
      </c>
      <c r="M1859" s="13">
        <v>4</v>
      </c>
    </row>
    <row r="1860" spans="1:13">
      <c r="A1860" s="6">
        <v>43509</v>
      </c>
      <c r="B1860" s="7">
        <v>0.67847222222222225</v>
      </c>
      <c r="C1860" s="13" t="str">
        <f>"FES1162672887"</f>
        <v>FES1162672887</v>
      </c>
      <c r="D1860" s="13" t="s">
        <v>18</v>
      </c>
      <c r="E1860" s="13" t="s">
        <v>209</v>
      </c>
      <c r="F1860" s="13" t="str">
        <f>"2170674123 "</f>
        <v xml:space="preserve">2170674123 </v>
      </c>
      <c r="G1860" s="13" t="str">
        <f t="shared" si="60"/>
        <v>ON1</v>
      </c>
      <c r="H1860" s="13" t="s">
        <v>20</v>
      </c>
      <c r="I1860" s="13" t="s">
        <v>210</v>
      </c>
      <c r="J1860" s="13" t="str">
        <f>""</f>
        <v/>
      </c>
      <c r="K1860" s="13" t="str">
        <f>"PFES1162672887_0001"</f>
        <v>PFES1162672887_0001</v>
      </c>
      <c r="L1860" s="13">
        <v>1</v>
      </c>
      <c r="M1860" s="13">
        <v>9</v>
      </c>
    </row>
    <row r="1861" spans="1:13">
      <c r="A1861" s="6">
        <v>43509</v>
      </c>
      <c r="B1861" s="7">
        <v>0.48333333333333334</v>
      </c>
      <c r="C1861" s="13" t="str">
        <f>"FES1162672748"</f>
        <v>FES1162672748</v>
      </c>
      <c r="D1861" s="13" t="s">
        <v>18</v>
      </c>
      <c r="E1861" s="13" t="s">
        <v>893</v>
      </c>
      <c r="F1861" s="13" t="str">
        <f>"2170673735 "</f>
        <v xml:space="preserve">2170673735 </v>
      </c>
      <c r="G1861" s="13" t="str">
        <f t="shared" si="60"/>
        <v>ON1</v>
      </c>
      <c r="H1861" s="13" t="s">
        <v>20</v>
      </c>
      <c r="I1861" s="13" t="s">
        <v>188</v>
      </c>
      <c r="J1861" s="13" t="str">
        <f>""</f>
        <v/>
      </c>
      <c r="K1861" s="13" t="str">
        <f>"PFES1162672748_0001"</f>
        <v>PFES1162672748_0001</v>
      </c>
      <c r="L1861" s="13">
        <v>1</v>
      </c>
      <c r="M1861" s="13">
        <v>1</v>
      </c>
    </row>
    <row r="1862" spans="1:13">
      <c r="A1862" s="6">
        <v>43509</v>
      </c>
      <c r="B1862" s="7">
        <v>0.4777777777777778</v>
      </c>
      <c r="C1862" s="13" t="str">
        <f>"FES1162672751"</f>
        <v>FES1162672751</v>
      </c>
      <c r="D1862" s="13" t="s">
        <v>18</v>
      </c>
      <c r="E1862" s="13" t="s">
        <v>894</v>
      </c>
      <c r="F1862" s="13" t="str">
        <f>"2170674010 "</f>
        <v xml:space="preserve">2170674010 </v>
      </c>
      <c r="G1862" s="13" t="str">
        <f t="shared" si="60"/>
        <v>ON1</v>
      </c>
      <c r="H1862" s="13" t="s">
        <v>20</v>
      </c>
      <c r="I1862" s="13" t="s">
        <v>390</v>
      </c>
      <c r="J1862" s="13" t="str">
        <f>""</f>
        <v/>
      </c>
      <c r="K1862" s="13" t="str">
        <f>"PFES1162672751_0001"</f>
        <v>PFES1162672751_0001</v>
      </c>
      <c r="L1862" s="13">
        <v>1</v>
      </c>
      <c r="M1862" s="13">
        <v>1</v>
      </c>
    </row>
    <row r="1863" spans="1:13">
      <c r="A1863" s="6">
        <v>43509</v>
      </c>
      <c r="B1863" s="7">
        <v>0.4777777777777778</v>
      </c>
      <c r="C1863" s="13" t="str">
        <f>"FES1162672768"</f>
        <v>FES1162672768</v>
      </c>
      <c r="D1863" s="13" t="s">
        <v>18</v>
      </c>
      <c r="E1863" s="13" t="s">
        <v>146</v>
      </c>
      <c r="F1863" s="13" t="str">
        <f>"2170674034 "</f>
        <v xml:space="preserve">2170674034 </v>
      </c>
      <c r="G1863" s="13" t="str">
        <f t="shared" si="60"/>
        <v>ON1</v>
      </c>
      <c r="H1863" s="13" t="s">
        <v>20</v>
      </c>
      <c r="I1863" s="13" t="s">
        <v>147</v>
      </c>
      <c r="J1863" s="13" t="str">
        <f>""</f>
        <v/>
      </c>
      <c r="K1863" s="13" t="str">
        <f>"PFES1162672768_0001"</f>
        <v>PFES1162672768_0001</v>
      </c>
      <c r="L1863" s="13">
        <v>1</v>
      </c>
      <c r="M1863" s="13">
        <v>1</v>
      </c>
    </row>
    <row r="1864" spans="1:13">
      <c r="A1864" s="6">
        <v>43509</v>
      </c>
      <c r="B1864" s="7">
        <v>0.4770833333333333</v>
      </c>
      <c r="C1864" s="13" t="str">
        <f>"FES1162672782"</f>
        <v>FES1162672782</v>
      </c>
      <c r="D1864" s="13" t="s">
        <v>18</v>
      </c>
      <c r="E1864" s="13" t="s">
        <v>895</v>
      </c>
      <c r="F1864" s="13" t="str">
        <f>"2170674047 "</f>
        <v xml:space="preserve">2170674047 </v>
      </c>
      <c r="G1864" s="13" t="str">
        <f t="shared" si="60"/>
        <v>ON1</v>
      </c>
      <c r="H1864" s="13" t="s">
        <v>20</v>
      </c>
      <c r="I1864" s="13" t="s">
        <v>896</v>
      </c>
      <c r="J1864" s="13" t="str">
        <f>""</f>
        <v/>
      </c>
      <c r="K1864" s="13" t="str">
        <f>"PFES1162672782_0001"</f>
        <v>PFES1162672782_0001</v>
      </c>
      <c r="L1864" s="13">
        <v>1</v>
      </c>
      <c r="M1864" s="13">
        <v>1</v>
      </c>
    </row>
    <row r="1865" spans="1:13">
      <c r="A1865" s="6">
        <v>43509</v>
      </c>
      <c r="B1865" s="7">
        <v>0.47638888888888892</v>
      </c>
      <c r="C1865" s="13" t="str">
        <f>"FES1162672786"</f>
        <v>FES1162672786</v>
      </c>
      <c r="D1865" s="13" t="s">
        <v>18</v>
      </c>
      <c r="E1865" s="13" t="s">
        <v>897</v>
      </c>
      <c r="F1865" s="13" t="str">
        <f>"2170674054 "</f>
        <v xml:space="preserve">2170674054 </v>
      </c>
      <c r="G1865" s="13" t="str">
        <f t="shared" si="60"/>
        <v>ON1</v>
      </c>
      <c r="H1865" s="13" t="s">
        <v>20</v>
      </c>
      <c r="I1865" s="13" t="s">
        <v>898</v>
      </c>
      <c r="J1865" s="13" t="str">
        <f>""</f>
        <v/>
      </c>
      <c r="K1865" s="13" t="str">
        <f>"PFES1162672786_0001"</f>
        <v>PFES1162672786_0001</v>
      </c>
      <c r="L1865" s="13">
        <v>1</v>
      </c>
      <c r="M1865" s="13">
        <v>1</v>
      </c>
    </row>
    <row r="1866" spans="1:13">
      <c r="A1866" s="6">
        <v>43509</v>
      </c>
      <c r="B1866" s="7">
        <v>0.47569444444444442</v>
      </c>
      <c r="C1866" s="13" t="str">
        <f>"FES1162672777"</f>
        <v>FES1162672777</v>
      </c>
      <c r="D1866" s="13" t="s">
        <v>18</v>
      </c>
      <c r="E1866" s="13" t="s">
        <v>899</v>
      </c>
      <c r="F1866" s="13" t="str">
        <f>"2170674041 "</f>
        <v xml:space="preserve">2170674041 </v>
      </c>
      <c r="G1866" s="13" t="str">
        <f t="shared" si="60"/>
        <v>ON1</v>
      </c>
      <c r="H1866" s="13" t="s">
        <v>20</v>
      </c>
      <c r="I1866" s="13" t="s">
        <v>143</v>
      </c>
      <c r="J1866" s="13" t="str">
        <f>""</f>
        <v/>
      </c>
      <c r="K1866" s="13" t="str">
        <f>"PFES1162672777_0001"</f>
        <v>PFES1162672777_0001</v>
      </c>
      <c r="L1866" s="13">
        <v>1</v>
      </c>
      <c r="M1866" s="13">
        <v>1</v>
      </c>
    </row>
    <row r="1867" spans="1:13">
      <c r="A1867" s="6">
        <v>43509</v>
      </c>
      <c r="B1867" s="7">
        <v>0.46875</v>
      </c>
      <c r="C1867" s="13" t="str">
        <f>"FES1162672714"</f>
        <v>FES1162672714</v>
      </c>
      <c r="D1867" s="13" t="s">
        <v>18</v>
      </c>
      <c r="E1867" s="13" t="s">
        <v>47</v>
      </c>
      <c r="F1867" s="13" t="str">
        <f>"2170667065 "</f>
        <v xml:space="preserve">2170667065 </v>
      </c>
      <c r="G1867" s="13" t="str">
        <f t="shared" si="60"/>
        <v>ON1</v>
      </c>
      <c r="H1867" s="13" t="s">
        <v>20</v>
      </c>
      <c r="I1867" s="13" t="s">
        <v>48</v>
      </c>
      <c r="J1867" s="13" t="str">
        <f>""</f>
        <v/>
      </c>
      <c r="K1867" s="13" t="str">
        <f>"PFES1162672714_0001"</f>
        <v>PFES1162672714_0001</v>
      </c>
      <c r="L1867" s="13">
        <v>1</v>
      </c>
      <c r="M1867" s="13">
        <v>13</v>
      </c>
    </row>
    <row r="1868" spans="1:13">
      <c r="A1868" s="6">
        <v>43509</v>
      </c>
      <c r="B1868" s="7">
        <v>0.46736111111111112</v>
      </c>
      <c r="C1868" s="13" t="str">
        <f>"FES1162672715"</f>
        <v>FES1162672715</v>
      </c>
      <c r="D1868" s="13" t="s">
        <v>18</v>
      </c>
      <c r="E1868" s="13" t="s">
        <v>47</v>
      </c>
      <c r="F1868" s="13" t="str">
        <f>"2170668964 "</f>
        <v xml:space="preserve">2170668964 </v>
      </c>
      <c r="G1868" s="13" t="str">
        <f t="shared" si="60"/>
        <v>ON1</v>
      </c>
      <c r="H1868" s="13" t="s">
        <v>20</v>
      </c>
      <c r="I1868" s="13" t="s">
        <v>48</v>
      </c>
      <c r="J1868" s="13" t="str">
        <f>""</f>
        <v/>
      </c>
      <c r="K1868" s="13" t="str">
        <f>"PFES1162672715_0001"</f>
        <v>PFES1162672715_0001</v>
      </c>
      <c r="L1868" s="13">
        <v>1</v>
      </c>
      <c r="M1868" s="13">
        <v>1</v>
      </c>
    </row>
    <row r="1869" spans="1:13">
      <c r="A1869" s="6">
        <v>43509</v>
      </c>
      <c r="B1869" s="7">
        <v>0.46666666666666662</v>
      </c>
      <c r="C1869" s="13" t="str">
        <f>"FES1162672736"</f>
        <v>FES1162672736</v>
      </c>
      <c r="D1869" s="13" t="s">
        <v>18</v>
      </c>
      <c r="E1869" s="13" t="s">
        <v>309</v>
      </c>
      <c r="F1869" s="13" t="str">
        <f>"2170673997 "</f>
        <v xml:space="preserve">2170673997 </v>
      </c>
      <c r="G1869" s="13" t="str">
        <f t="shared" si="60"/>
        <v>ON1</v>
      </c>
      <c r="H1869" s="13" t="s">
        <v>20</v>
      </c>
      <c r="I1869" s="13" t="s">
        <v>310</v>
      </c>
      <c r="J1869" s="13" t="str">
        <f>""</f>
        <v/>
      </c>
      <c r="K1869" s="13" t="str">
        <f>"PFES1162672736_0001"</f>
        <v>PFES1162672736_0001</v>
      </c>
      <c r="L1869" s="13">
        <v>1</v>
      </c>
      <c r="M1869" s="13">
        <v>10</v>
      </c>
    </row>
    <row r="1870" spans="1:13">
      <c r="A1870" s="6">
        <v>43509</v>
      </c>
      <c r="B1870" s="7">
        <v>0.46527777777777773</v>
      </c>
      <c r="C1870" s="13" t="str">
        <f>"FES1162672753"</f>
        <v>FES1162672753</v>
      </c>
      <c r="D1870" s="13" t="s">
        <v>18</v>
      </c>
      <c r="E1870" s="13" t="s">
        <v>312</v>
      </c>
      <c r="F1870" s="13" t="str">
        <f>"2170674014 "</f>
        <v xml:space="preserve">2170674014 </v>
      </c>
      <c r="G1870" s="13" t="str">
        <f t="shared" si="60"/>
        <v>ON1</v>
      </c>
      <c r="H1870" s="13" t="s">
        <v>20</v>
      </c>
      <c r="I1870" s="13" t="s">
        <v>70</v>
      </c>
      <c r="J1870" s="13" t="str">
        <f>""</f>
        <v/>
      </c>
      <c r="K1870" s="13" t="str">
        <f>"PFES1162672753_0001"</f>
        <v>PFES1162672753_0001</v>
      </c>
      <c r="L1870" s="13">
        <v>1</v>
      </c>
      <c r="M1870" s="13">
        <v>1</v>
      </c>
    </row>
    <row r="1871" spans="1:13">
      <c r="A1871" s="6">
        <v>43509</v>
      </c>
      <c r="B1871" s="7">
        <v>0.46388888888888885</v>
      </c>
      <c r="C1871" s="13" t="str">
        <f>"FES1162672706"</f>
        <v>FES1162672706</v>
      </c>
      <c r="D1871" s="13" t="s">
        <v>18</v>
      </c>
      <c r="E1871" s="13" t="s">
        <v>355</v>
      </c>
      <c r="F1871" s="13" t="str">
        <f>"2170673606 "</f>
        <v xml:space="preserve">2170673606 </v>
      </c>
      <c r="G1871" s="13" t="str">
        <f t="shared" si="60"/>
        <v>ON1</v>
      </c>
      <c r="H1871" s="13" t="s">
        <v>20</v>
      </c>
      <c r="I1871" s="13" t="s">
        <v>59</v>
      </c>
      <c r="J1871" s="13" t="str">
        <f>""</f>
        <v/>
      </c>
      <c r="K1871" s="13" t="str">
        <f>"PFES1162672706_0001"</f>
        <v>PFES1162672706_0001</v>
      </c>
      <c r="L1871" s="13">
        <v>1</v>
      </c>
      <c r="M1871" s="13">
        <v>2</v>
      </c>
    </row>
    <row r="1872" spans="1:13">
      <c r="A1872" s="6">
        <v>43509</v>
      </c>
      <c r="B1872" s="7">
        <v>0.46319444444444446</v>
      </c>
      <c r="C1872" s="13" t="str">
        <f>"FES1162672739"</f>
        <v>FES1162672739</v>
      </c>
      <c r="D1872" s="13" t="s">
        <v>18</v>
      </c>
      <c r="E1872" s="13" t="s">
        <v>299</v>
      </c>
      <c r="F1872" s="13" t="str">
        <f>"2170674001 "</f>
        <v xml:space="preserve">2170674001 </v>
      </c>
      <c r="G1872" s="13" t="str">
        <f t="shared" si="60"/>
        <v>ON1</v>
      </c>
      <c r="H1872" s="13" t="s">
        <v>20</v>
      </c>
      <c r="I1872" s="13" t="s">
        <v>43</v>
      </c>
      <c r="J1872" s="13" t="str">
        <f>""</f>
        <v/>
      </c>
      <c r="K1872" s="13" t="str">
        <f>"PFES1162672739_0001"</f>
        <v>PFES1162672739_0001</v>
      </c>
      <c r="L1872" s="13">
        <v>1</v>
      </c>
      <c r="M1872" s="13">
        <v>2</v>
      </c>
    </row>
    <row r="1873" spans="1:13">
      <c r="A1873" s="6">
        <v>43509</v>
      </c>
      <c r="B1873" s="7">
        <v>0.46111111111111108</v>
      </c>
      <c r="C1873" s="13" t="str">
        <f>"FES1162672713"</f>
        <v>FES1162672713</v>
      </c>
      <c r="D1873" s="13" t="s">
        <v>18</v>
      </c>
      <c r="E1873" s="13" t="s">
        <v>900</v>
      </c>
      <c r="F1873" s="13" t="str">
        <f>"2170673993 "</f>
        <v xml:space="preserve">2170673993 </v>
      </c>
      <c r="G1873" s="13" t="str">
        <f t="shared" si="60"/>
        <v>ON1</v>
      </c>
      <c r="H1873" s="13" t="s">
        <v>20</v>
      </c>
      <c r="I1873" s="13" t="s">
        <v>23</v>
      </c>
      <c r="J1873" s="13" t="str">
        <f>""</f>
        <v/>
      </c>
      <c r="K1873" s="13" t="str">
        <f>"PFES1162672713_0001"</f>
        <v>PFES1162672713_0001</v>
      </c>
      <c r="L1873" s="13">
        <v>1</v>
      </c>
      <c r="M1873" s="13">
        <v>7</v>
      </c>
    </row>
    <row r="1874" spans="1:13">
      <c r="A1874" s="6">
        <v>43509</v>
      </c>
      <c r="B1874" s="7">
        <v>0.4597222222222222</v>
      </c>
      <c r="C1874" s="13" t="str">
        <f>"FES1162672735"</f>
        <v>FES1162672735</v>
      </c>
      <c r="D1874" s="13" t="s">
        <v>18</v>
      </c>
      <c r="E1874" s="13" t="s">
        <v>901</v>
      </c>
      <c r="F1874" s="13" t="str">
        <f>"2170673964 "</f>
        <v xml:space="preserve">2170673964 </v>
      </c>
      <c r="G1874" s="13" t="str">
        <f t="shared" si="60"/>
        <v>ON1</v>
      </c>
      <c r="H1874" s="13" t="s">
        <v>20</v>
      </c>
      <c r="I1874" s="13" t="s">
        <v>586</v>
      </c>
      <c r="J1874" s="13" t="str">
        <f>""</f>
        <v/>
      </c>
      <c r="K1874" s="13" t="str">
        <f>"PFES1162672735_0001"</f>
        <v>PFES1162672735_0001</v>
      </c>
      <c r="L1874" s="13">
        <v>1</v>
      </c>
      <c r="M1874" s="13">
        <v>7</v>
      </c>
    </row>
    <row r="1875" spans="1:13">
      <c r="A1875" s="6">
        <v>43509</v>
      </c>
      <c r="B1875" s="7">
        <v>0.45833333333333331</v>
      </c>
      <c r="C1875" s="13" t="str">
        <f>"FES1162672711"</f>
        <v>FES1162672711</v>
      </c>
      <c r="D1875" s="13" t="s">
        <v>18</v>
      </c>
      <c r="E1875" s="13" t="s">
        <v>19</v>
      </c>
      <c r="F1875" s="13" t="str">
        <f>"2170673378 "</f>
        <v xml:space="preserve">2170673378 </v>
      </c>
      <c r="G1875" s="13" t="str">
        <f t="shared" si="60"/>
        <v>ON1</v>
      </c>
      <c r="H1875" s="13" t="s">
        <v>20</v>
      </c>
      <c r="I1875" s="13" t="s">
        <v>21</v>
      </c>
      <c r="J1875" s="13" t="str">
        <f>""</f>
        <v/>
      </c>
      <c r="K1875" s="13" t="str">
        <f>"PFES1162672711_0001"</f>
        <v>PFES1162672711_0001</v>
      </c>
      <c r="L1875" s="13">
        <v>2</v>
      </c>
      <c r="M1875" s="13">
        <v>18</v>
      </c>
    </row>
    <row r="1876" spans="1:13">
      <c r="A1876" s="6">
        <v>43509</v>
      </c>
      <c r="B1876" s="7">
        <v>0.45833333333333331</v>
      </c>
      <c r="C1876" s="13" t="str">
        <f>"FES1162672711"</f>
        <v>FES1162672711</v>
      </c>
      <c r="D1876" s="13" t="s">
        <v>18</v>
      </c>
      <c r="E1876" s="13" t="s">
        <v>19</v>
      </c>
      <c r="F1876" s="13" t="str">
        <f>"2170673378 "</f>
        <v xml:space="preserve">2170673378 </v>
      </c>
      <c r="G1876" s="13" t="str">
        <f t="shared" si="60"/>
        <v>ON1</v>
      </c>
      <c r="H1876" s="13" t="s">
        <v>20</v>
      </c>
      <c r="I1876" s="13" t="s">
        <v>21</v>
      </c>
      <c r="J1876" s="13"/>
      <c r="K1876" s="13" t="str">
        <f>"PFES1162672711_0002"</f>
        <v>PFES1162672711_0002</v>
      </c>
      <c r="L1876" s="13">
        <v>2</v>
      </c>
      <c r="M1876" s="13">
        <v>18</v>
      </c>
    </row>
    <row r="1877" spans="1:13">
      <c r="A1877" s="6">
        <v>43509</v>
      </c>
      <c r="B1877" s="7">
        <v>0.45694444444444443</v>
      </c>
      <c r="C1877" s="13" t="str">
        <f>"FES1162672734"</f>
        <v>FES1162672734</v>
      </c>
      <c r="D1877" s="13" t="s">
        <v>18</v>
      </c>
      <c r="E1877" s="13" t="s">
        <v>764</v>
      </c>
      <c r="F1877" s="13" t="str">
        <f>"2170673941 "</f>
        <v xml:space="preserve">2170673941 </v>
      </c>
      <c r="G1877" s="13" t="str">
        <f>"ON2"</f>
        <v>ON2</v>
      </c>
      <c r="H1877" s="13" t="s">
        <v>20</v>
      </c>
      <c r="I1877" s="13" t="s">
        <v>158</v>
      </c>
      <c r="J1877" s="13" t="str">
        <f>"FRAGILE OIL"</f>
        <v>FRAGILE OIL</v>
      </c>
      <c r="K1877" s="13" t="str">
        <f>"PFES1162672734_0001"</f>
        <v>PFES1162672734_0001</v>
      </c>
      <c r="L1877" s="13">
        <v>1</v>
      </c>
      <c r="M1877" s="13">
        <v>4</v>
      </c>
    </row>
    <row r="1878" spans="1:13">
      <c r="A1878" s="6">
        <v>43509</v>
      </c>
      <c r="B1878" s="7">
        <v>0.45555555555555555</v>
      </c>
      <c r="C1878" s="13" t="str">
        <f>"FES1162672703"</f>
        <v>FES1162672703</v>
      </c>
      <c r="D1878" s="13" t="s">
        <v>18</v>
      </c>
      <c r="E1878" s="13" t="s">
        <v>40</v>
      </c>
      <c r="F1878" s="13" t="str">
        <f>"2170673983 "</f>
        <v xml:space="preserve">2170673983 </v>
      </c>
      <c r="G1878" s="13" t="str">
        <f t="shared" ref="G1878:G1936" si="61">"ON1"</f>
        <v>ON1</v>
      </c>
      <c r="H1878" s="13" t="s">
        <v>20</v>
      </c>
      <c r="I1878" s="13" t="s">
        <v>41</v>
      </c>
      <c r="J1878" s="13" t="str">
        <f>""</f>
        <v/>
      </c>
      <c r="K1878" s="13" t="str">
        <f>"PFES1162672703_0001"</f>
        <v>PFES1162672703_0001</v>
      </c>
      <c r="L1878" s="13">
        <v>1</v>
      </c>
      <c r="M1878" s="13">
        <v>4</v>
      </c>
    </row>
    <row r="1879" spans="1:13">
      <c r="A1879" s="6">
        <v>43509</v>
      </c>
      <c r="B1879" s="7">
        <v>0.45416666666666666</v>
      </c>
      <c r="C1879" s="13" t="str">
        <f>"FES1162672769"</f>
        <v>FES1162672769</v>
      </c>
      <c r="D1879" s="13" t="s">
        <v>18</v>
      </c>
      <c r="E1879" s="13" t="s">
        <v>129</v>
      </c>
      <c r="F1879" s="13" t="str">
        <f>"2170674036 "</f>
        <v xml:space="preserve">2170674036 </v>
      </c>
      <c r="G1879" s="13" t="str">
        <f t="shared" si="61"/>
        <v>ON1</v>
      </c>
      <c r="H1879" s="13" t="s">
        <v>20</v>
      </c>
      <c r="I1879" s="13" t="s">
        <v>130</v>
      </c>
      <c r="J1879" s="13" t="str">
        <f>""</f>
        <v/>
      </c>
      <c r="K1879" s="13" t="str">
        <f>"PFES1162672769_0001"</f>
        <v>PFES1162672769_0001</v>
      </c>
      <c r="L1879" s="13">
        <v>1</v>
      </c>
      <c r="M1879" s="13">
        <v>2</v>
      </c>
    </row>
    <row r="1880" spans="1:13">
      <c r="A1880" s="6">
        <v>43509</v>
      </c>
      <c r="B1880" s="7">
        <v>0.45416666666666666</v>
      </c>
      <c r="C1880" s="13" t="str">
        <f>"FES1162672721"</f>
        <v>FES1162672721</v>
      </c>
      <c r="D1880" s="13" t="s">
        <v>18</v>
      </c>
      <c r="E1880" s="13" t="s">
        <v>289</v>
      </c>
      <c r="F1880" s="13" t="str">
        <f>"2170672393 "</f>
        <v xml:space="preserve">2170672393 </v>
      </c>
      <c r="G1880" s="13" t="str">
        <f t="shared" si="61"/>
        <v>ON1</v>
      </c>
      <c r="H1880" s="13" t="s">
        <v>20</v>
      </c>
      <c r="I1880" s="13" t="s">
        <v>290</v>
      </c>
      <c r="J1880" s="13" t="str">
        <f>""</f>
        <v/>
      </c>
      <c r="K1880" s="13" t="str">
        <f>"PFES1162672721_0001"</f>
        <v>PFES1162672721_0001</v>
      </c>
      <c r="L1880" s="13">
        <v>1</v>
      </c>
      <c r="M1880" s="13">
        <v>1</v>
      </c>
    </row>
    <row r="1881" spans="1:13">
      <c r="A1881" s="6">
        <v>43509</v>
      </c>
      <c r="B1881" s="7">
        <v>0.40416666666666662</v>
      </c>
      <c r="C1881" s="13" t="str">
        <f>"009935791978"</f>
        <v>009935791978</v>
      </c>
      <c r="D1881" s="13" t="s">
        <v>18</v>
      </c>
      <c r="E1881" s="13" t="s">
        <v>152</v>
      </c>
      <c r="F1881" s="13" t="str">
        <f>"2170668027 "</f>
        <v xml:space="preserve">2170668027 </v>
      </c>
      <c r="G1881" s="13" t="str">
        <f t="shared" si="61"/>
        <v>ON1</v>
      </c>
      <c r="H1881" s="13" t="s">
        <v>20</v>
      </c>
      <c r="I1881" s="13" t="s">
        <v>153</v>
      </c>
      <c r="J1881" s="13" t="str">
        <f>""</f>
        <v/>
      </c>
      <c r="K1881" s="13" t="str">
        <f>"P009935791978_0001"</f>
        <v>P009935791978_0001</v>
      </c>
      <c r="L1881" s="13">
        <v>1</v>
      </c>
      <c r="M1881" s="13">
        <v>1</v>
      </c>
    </row>
    <row r="1882" spans="1:13">
      <c r="A1882" s="6">
        <v>43509</v>
      </c>
      <c r="B1882" s="7">
        <v>0.39930555555555558</v>
      </c>
      <c r="C1882" s="13" t="str">
        <f>"FES1162672767"</f>
        <v>FES1162672767</v>
      </c>
      <c r="D1882" s="13" t="s">
        <v>18</v>
      </c>
      <c r="E1882" s="13" t="s">
        <v>129</v>
      </c>
      <c r="F1882" s="13" t="str">
        <f>"2170674033 "</f>
        <v xml:space="preserve">2170674033 </v>
      </c>
      <c r="G1882" s="13" t="str">
        <f t="shared" si="61"/>
        <v>ON1</v>
      </c>
      <c r="H1882" s="13" t="s">
        <v>20</v>
      </c>
      <c r="I1882" s="13" t="s">
        <v>130</v>
      </c>
      <c r="J1882" s="13" t="str">
        <f>""</f>
        <v/>
      </c>
      <c r="K1882" s="13" t="str">
        <f>"PFES1162672767_0001"</f>
        <v>PFES1162672767_0001</v>
      </c>
      <c r="L1882" s="13">
        <v>1</v>
      </c>
      <c r="M1882" s="13">
        <v>1</v>
      </c>
    </row>
    <row r="1883" spans="1:13">
      <c r="A1883" s="6">
        <v>43509</v>
      </c>
      <c r="B1883" s="7">
        <v>0.39930555555555558</v>
      </c>
      <c r="C1883" s="13" t="str">
        <f>"FES1162672762"</f>
        <v>FES1162672762</v>
      </c>
      <c r="D1883" s="13" t="s">
        <v>18</v>
      </c>
      <c r="E1883" s="13" t="s">
        <v>902</v>
      </c>
      <c r="F1883" s="13" t="str">
        <f>"2170674026 "</f>
        <v xml:space="preserve">2170674026 </v>
      </c>
      <c r="G1883" s="13" t="str">
        <f t="shared" si="61"/>
        <v>ON1</v>
      </c>
      <c r="H1883" s="13" t="s">
        <v>20</v>
      </c>
      <c r="I1883" s="13" t="s">
        <v>903</v>
      </c>
      <c r="J1883" s="13" t="str">
        <f>""</f>
        <v/>
      </c>
      <c r="K1883" s="13" t="str">
        <f>"PFES1162672762_0001"</f>
        <v>PFES1162672762_0001</v>
      </c>
      <c r="L1883" s="13">
        <v>1</v>
      </c>
      <c r="M1883" s="13">
        <v>1</v>
      </c>
    </row>
    <row r="1884" spans="1:13">
      <c r="A1884" s="6">
        <v>43509</v>
      </c>
      <c r="B1884" s="7">
        <v>0.39861111111111108</v>
      </c>
      <c r="C1884" s="13" t="str">
        <f>"FES1162672760"</f>
        <v>FES1162672760</v>
      </c>
      <c r="D1884" s="13" t="s">
        <v>18</v>
      </c>
      <c r="E1884" s="13" t="s">
        <v>904</v>
      </c>
      <c r="F1884" s="13" t="str">
        <f>"2170674023 "</f>
        <v xml:space="preserve">2170674023 </v>
      </c>
      <c r="G1884" s="13" t="str">
        <f t="shared" si="61"/>
        <v>ON1</v>
      </c>
      <c r="H1884" s="13" t="s">
        <v>20</v>
      </c>
      <c r="I1884" s="13" t="s">
        <v>905</v>
      </c>
      <c r="J1884" s="13" t="str">
        <f>""</f>
        <v/>
      </c>
      <c r="K1884" s="13" t="str">
        <f>"PFES1162672760_0001"</f>
        <v>PFES1162672760_0001</v>
      </c>
      <c r="L1884" s="13">
        <v>1</v>
      </c>
      <c r="M1884" s="13">
        <v>1</v>
      </c>
    </row>
    <row r="1885" spans="1:13">
      <c r="A1885" s="6">
        <v>43509</v>
      </c>
      <c r="B1885" s="7">
        <v>0.3979166666666667</v>
      </c>
      <c r="C1885" s="13" t="str">
        <f>"FES1162672707"</f>
        <v>FES1162672707</v>
      </c>
      <c r="D1885" s="13" t="s">
        <v>18</v>
      </c>
      <c r="E1885" s="13" t="s">
        <v>906</v>
      </c>
      <c r="F1885" s="13" t="str">
        <f>"2170673989 "</f>
        <v xml:space="preserve">2170673989 </v>
      </c>
      <c r="G1885" s="13" t="str">
        <f t="shared" si="61"/>
        <v>ON1</v>
      </c>
      <c r="H1885" s="13" t="s">
        <v>20</v>
      </c>
      <c r="I1885" s="13" t="s">
        <v>747</v>
      </c>
      <c r="J1885" s="13" t="str">
        <f>""</f>
        <v/>
      </c>
      <c r="K1885" s="13" t="str">
        <f>"PFES1162672707_0001"</f>
        <v>PFES1162672707_0001</v>
      </c>
      <c r="L1885" s="13">
        <v>1</v>
      </c>
      <c r="M1885" s="13">
        <v>1</v>
      </c>
    </row>
    <row r="1886" spans="1:13">
      <c r="A1886" s="6">
        <v>43509</v>
      </c>
      <c r="B1886" s="7">
        <v>0.3979166666666667</v>
      </c>
      <c r="C1886" s="13" t="str">
        <f>"FES1162672720"</f>
        <v>FES1162672720</v>
      </c>
      <c r="D1886" s="13" t="s">
        <v>18</v>
      </c>
      <c r="E1886" s="13" t="s">
        <v>308</v>
      </c>
      <c r="F1886" s="13" t="str">
        <f>"2170672322 "</f>
        <v xml:space="preserve">2170672322 </v>
      </c>
      <c r="G1886" s="13" t="str">
        <f t="shared" si="61"/>
        <v>ON1</v>
      </c>
      <c r="H1886" s="13" t="s">
        <v>20</v>
      </c>
      <c r="I1886" s="13" t="s">
        <v>143</v>
      </c>
      <c r="J1886" s="13" t="str">
        <f>""</f>
        <v/>
      </c>
      <c r="K1886" s="13" t="str">
        <f>"PFES1162672720_0001"</f>
        <v>PFES1162672720_0001</v>
      </c>
      <c r="L1886" s="13">
        <v>1</v>
      </c>
      <c r="M1886" s="13">
        <v>1</v>
      </c>
    </row>
    <row r="1887" spans="1:13">
      <c r="A1887" s="6">
        <v>43509</v>
      </c>
      <c r="B1887" s="7">
        <v>0.3972222222222222</v>
      </c>
      <c r="C1887" s="13" t="str">
        <f>"FES1162672701"</f>
        <v>FES1162672701</v>
      </c>
      <c r="D1887" s="13" t="s">
        <v>18</v>
      </c>
      <c r="E1887" s="13" t="s">
        <v>330</v>
      </c>
      <c r="F1887" s="13" t="str">
        <f>"2170673980 "</f>
        <v xml:space="preserve">2170673980 </v>
      </c>
      <c r="G1887" s="13" t="str">
        <f t="shared" si="61"/>
        <v>ON1</v>
      </c>
      <c r="H1887" s="13" t="s">
        <v>20</v>
      </c>
      <c r="I1887" s="13" t="s">
        <v>237</v>
      </c>
      <c r="J1887" s="13" t="str">
        <f>""</f>
        <v/>
      </c>
      <c r="K1887" s="13" t="str">
        <f>"PFES1162672701_0001"</f>
        <v>PFES1162672701_0001</v>
      </c>
      <c r="L1887" s="13">
        <v>1</v>
      </c>
      <c r="M1887" s="13">
        <v>1</v>
      </c>
    </row>
    <row r="1888" spans="1:13">
      <c r="A1888" s="6">
        <v>43509</v>
      </c>
      <c r="B1888" s="7">
        <v>0.39444444444444443</v>
      </c>
      <c r="C1888" s="13" t="str">
        <f>"FES1162672737"</f>
        <v>FES1162672737</v>
      </c>
      <c r="D1888" s="13" t="s">
        <v>18</v>
      </c>
      <c r="E1888" s="13" t="s">
        <v>907</v>
      </c>
      <c r="F1888" s="13" t="str">
        <f>"2170673998 "</f>
        <v xml:space="preserve">2170673998 </v>
      </c>
      <c r="G1888" s="13" t="str">
        <f t="shared" si="61"/>
        <v>ON1</v>
      </c>
      <c r="H1888" s="13" t="s">
        <v>20</v>
      </c>
      <c r="I1888" s="13" t="s">
        <v>635</v>
      </c>
      <c r="J1888" s="13" t="str">
        <f>""</f>
        <v/>
      </c>
      <c r="K1888" s="13" t="str">
        <f>"PFES1162672737_0001"</f>
        <v>PFES1162672737_0001</v>
      </c>
      <c r="L1888" s="13">
        <v>1</v>
      </c>
      <c r="M1888" s="13">
        <v>1</v>
      </c>
    </row>
    <row r="1889" spans="1:13">
      <c r="A1889" s="6">
        <v>43509</v>
      </c>
      <c r="B1889" s="7">
        <v>0.39305555555555555</v>
      </c>
      <c r="C1889" s="13" t="str">
        <f>"FES1162672731"</f>
        <v>FES1162672731</v>
      </c>
      <c r="D1889" s="13" t="s">
        <v>18</v>
      </c>
      <c r="E1889" s="13" t="s">
        <v>269</v>
      </c>
      <c r="F1889" s="13" t="str">
        <f>"2170673793 "</f>
        <v xml:space="preserve">2170673793 </v>
      </c>
      <c r="G1889" s="13" t="str">
        <f t="shared" si="61"/>
        <v>ON1</v>
      </c>
      <c r="H1889" s="13" t="s">
        <v>20</v>
      </c>
      <c r="I1889" s="13" t="s">
        <v>270</v>
      </c>
      <c r="J1889" s="13" t="str">
        <f>""</f>
        <v/>
      </c>
      <c r="K1889" s="13" t="str">
        <f>"PFES1162672731_0001"</f>
        <v>PFES1162672731_0001</v>
      </c>
      <c r="L1889" s="13">
        <v>1</v>
      </c>
      <c r="M1889" s="13">
        <v>1</v>
      </c>
    </row>
    <row r="1890" spans="1:13">
      <c r="A1890" s="6">
        <v>43509</v>
      </c>
      <c r="B1890" s="7">
        <v>0.39027777777777778</v>
      </c>
      <c r="C1890" s="13" t="str">
        <f>"FES1162672761"</f>
        <v>FES1162672761</v>
      </c>
      <c r="D1890" s="13" t="s">
        <v>18</v>
      </c>
      <c r="E1890" s="13" t="s">
        <v>384</v>
      </c>
      <c r="F1890" s="13" t="str">
        <f>"2170674025 "</f>
        <v xml:space="preserve">2170674025 </v>
      </c>
      <c r="G1890" s="13" t="str">
        <f t="shared" si="61"/>
        <v>ON1</v>
      </c>
      <c r="H1890" s="13" t="s">
        <v>20</v>
      </c>
      <c r="I1890" s="13" t="s">
        <v>29</v>
      </c>
      <c r="J1890" s="13" t="str">
        <f>""</f>
        <v/>
      </c>
      <c r="K1890" s="13" t="str">
        <f>"PFES1162672761_0001"</f>
        <v>PFES1162672761_0001</v>
      </c>
      <c r="L1890" s="13">
        <v>1</v>
      </c>
      <c r="M1890" s="13">
        <v>1</v>
      </c>
    </row>
    <row r="1891" spans="1:13">
      <c r="A1891" s="6">
        <v>43509</v>
      </c>
      <c r="B1891" s="7">
        <v>0.38819444444444445</v>
      </c>
      <c r="C1891" s="13" t="str">
        <f>"FES1162672738"</f>
        <v>FES1162672738</v>
      </c>
      <c r="D1891" s="13" t="s">
        <v>18</v>
      </c>
      <c r="E1891" s="13" t="s">
        <v>259</v>
      </c>
      <c r="F1891" s="13" t="str">
        <f>"2170674000 "</f>
        <v xml:space="preserve">2170674000 </v>
      </c>
      <c r="G1891" s="13" t="str">
        <f t="shared" si="61"/>
        <v>ON1</v>
      </c>
      <c r="H1891" s="13" t="s">
        <v>20</v>
      </c>
      <c r="I1891" s="13" t="s">
        <v>260</v>
      </c>
      <c r="J1891" s="13" t="str">
        <f>""</f>
        <v/>
      </c>
      <c r="K1891" s="13" t="str">
        <f>"PFES1162672738_0001"</f>
        <v>PFES1162672738_0001</v>
      </c>
      <c r="L1891" s="13">
        <v>1</v>
      </c>
      <c r="M1891" s="13">
        <v>1</v>
      </c>
    </row>
    <row r="1892" spans="1:13">
      <c r="A1892" s="6">
        <v>43509</v>
      </c>
      <c r="B1892" s="7">
        <v>0.38750000000000001</v>
      </c>
      <c r="C1892" s="13" t="str">
        <f>"FES1162672728"</f>
        <v>FES1162672728</v>
      </c>
      <c r="D1892" s="13" t="s">
        <v>18</v>
      </c>
      <c r="E1892" s="13" t="s">
        <v>727</v>
      </c>
      <c r="F1892" s="13" t="str">
        <f>"2170673265 "</f>
        <v xml:space="preserve">2170673265 </v>
      </c>
      <c r="G1892" s="13" t="str">
        <f t="shared" si="61"/>
        <v>ON1</v>
      </c>
      <c r="H1892" s="13" t="s">
        <v>20</v>
      </c>
      <c r="I1892" s="13" t="s">
        <v>555</v>
      </c>
      <c r="J1892" s="13" t="str">
        <f>""</f>
        <v/>
      </c>
      <c r="K1892" s="13" t="str">
        <f>"PFES1162672728_0001"</f>
        <v>PFES1162672728_0001</v>
      </c>
      <c r="L1892" s="13">
        <v>1</v>
      </c>
      <c r="M1892" s="13">
        <v>1</v>
      </c>
    </row>
    <row r="1893" spans="1:13">
      <c r="A1893" s="6">
        <v>43509</v>
      </c>
      <c r="B1893" s="7">
        <v>0.38750000000000001</v>
      </c>
      <c r="C1893" s="13" t="str">
        <f>"FES1162672723"</f>
        <v>FES1162672723</v>
      </c>
      <c r="D1893" s="13" t="s">
        <v>18</v>
      </c>
      <c r="E1893" s="13" t="s">
        <v>116</v>
      </c>
      <c r="F1893" s="13" t="str">
        <f>"2170672485 "</f>
        <v xml:space="preserve">2170672485 </v>
      </c>
      <c r="G1893" s="13" t="str">
        <f t="shared" si="61"/>
        <v>ON1</v>
      </c>
      <c r="H1893" s="13" t="s">
        <v>20</v>
      </c>
      <c r="I1893" s="13" t="s">
        <v>117</v>
      </c>
      <c r="J1893" s="13" t="str">
        <f>""</f>
        <v/>
      </c>
      <c r="K1893" s="13" t="str">
        <f>"PFES1162672723_0001"</f>
        <v>PFES1162672723_0001</v>
      </c>
      <c r="L1893" s="13">
        <v>1</v>
      </c>
      <c r="M1893" s="13">
        <v>1</v>
      </c>
    </row>
    <row r="1894" spans="1:13">
      <c r="A1894" s="6">
        <v>43509</v>
      </c>
      <c r="B1894" s="7">
        <v>0.38680555555555557</v>
      </c>
      <c r="C1894" s="13" t="str">
        <f>"FES1162672727"</f>
        <v>FES1162672727</v>
      </c>
      <c r="D1894" s="13" t="s">
        <v>18</v>
      </c>
      <c r="E1894" s="13" t="s">
        <v>306</v>
      </c>
      <c r="F1894" s="13" t="str">
        <f>"2170673264 "</f>
        <v xml:space="preserve">2170673264 </v>
      </c>
      <c r="G1894" s="13" t="str">
        <f t="shared" si="61"/>
        <v>ON1</v>
      </c>
      <c r="H1894" s="13" t="s">
        <v>20</v>
      </c>
      <c r="I1894" s="13" t="s">
        <v>228</v>
      </c>
      <c r="J1894" s="13" t="str">
        <f>""</f>
        <v/>
      </c>
      <c r="K1894" s="13" t="str">
        <f>"PFES1162672727_0001"</f>
        <v>PFES1162672727_0001</v>
      </c>
      <c r="L1894" s="13">
        <v>1</v>
      </c>
      <c r="M1894" s="13">
        <v>1</v>
      </c>
    </row>
    <row r="1895" spans="1:13">
      <c r="A1895" s="6">
        <v>43509</v>
      </c>
      <c r="B1895" s="7">
        <v>0.38611111111111113</v>
      </c>
      <c r="C1895" s="13" t="str">
        <f>"FES1162672729"</f>
        <v>FES1162672729</v>
      </c>
      <c r="D1895" s="13" t="s">
        <v>18</v>
      </c>
      <c r="E1895" s="13" t="s">
        <v>295</v>
      </c>
      <c r="F1895" s="13" t="str">
        <f>"2170673590 "</f>
        <v xml:space="preserve">2170673590 </v>
      </c>
      <c r="G1895" s="13" t="str">
        <f t="shared" si="61"/>
        <v>ON1</v>
      </c>
      <c r="H1895" s="13" t="s">
        <v>20</v>
      </c>
      <c r="I1895" s="13" t="s">
        <v>53</v>
      </c>
      <c r="J1895" s="13" t="str">
        <f>""</f>
        <v/>
      </c>
      <c r="K1895" s="13" t="str">
        <f>"PFES1162672729_0001"</f>
        <v>PFES1162672729_0001</v>
      </c>
      <c r="L1895" s="13">
        <v>1</v>
      </c>
      <c r="M1895" s="13">
        <v>1</v>
      </c>
    </row>
    <row r="1896" spans="1:13">
      <c r="A1896" s="6">
        <v>43509</v>
      </c>
      <c r="B1896" s="7">
        <v>0.38611111111111113</v>
      </c>
      <c r="C1896" s="13" t="str">
        <f>"FES1162672722"</f>
        <v>FES1162672722</v>
      </c>
      <c r="D1896" s="13" t="s">
        <v>18</v>
      </c>
      <c r="E1896" s="13" t="s">
        <v>229</v>
      </c>
      <c r="F1896" s="13" t="str">
        <f>"2170672403 "</f>
        <v xml:space="preserve">2170672403 </v>
      </c>
      <c r="G1896" s="13" t="str">
        <f t="shared" si="61"/>
        <v>ON1</v>
      </c>
      <c r="H1896" s="13" t="s">
        <v>20</v>
      </c>
      <c r="I1896" s="13" t="s">
        <v>111</v>
      </c>
      <c r="J1896" s="13" t="str">
        <f>""</f>
        <v/>
      </c>
      <c r="K1896" s="13" t="str">
        <f>"PFES1162672722_0001"</f>
        <v>PFES1162672722_0001</v>
      </c>
      <c r="L1896" s="13">
        <v>1</v>
      </c>
      <c r="M1896" s="13">
        <v>1</v>
      </c>
    </row>
    <row r="1897" spans="1:13">
      <c r="A1897" s="6">
        <v>43509</v>
      </c>
      <c r="B1897" s="7">
        <v>0.38541666666666669</v>
      </c>
      <c r="C1897" s="13" t="str">
        <f>"FES1162672709"</f>
        <v>FES1162672709</v>
      </c>
      <c r="D1897" s="13" t="s">
        <v>18</v>
      </c>
      <c r="E1897" s="13" t="s">
        <v>604</v>
      </c>
      <c r="F1897" s="13" t="str">
        <f>"2170673991 "</f>
        <v xml:space="preserve">2170673991 </v>
      </c>
      <c r="G1897" s="13" t="str">
        <f t="shared" si="61"/>
        <v>ON1</v>
      </c>
      <c r="H1897" s="13" t="s">
        <v>20</v>
      </c>
      <c r="I1897" s="13" t="s">
        <v>149</v>
      </c>
      <c r="J1897" s="13" t="str">
        <f>""</f>
        <v/>
      </c>
      <c r="K1897" s="13" t="str">
        <f>"PFES1162672709_0001"</f>
        <v>PFES1162672709_0001</v>
      </c>
      <c r="L1897" s="13">
        <v>1</v>
      </c>
      <c r="M1897" s="13">
        <v>1</v>
      </c>
    </row>
    <row r="1898" spans="1:13">
      <c r="A1898" s="6">
        <v>43509</v>
      </c>
      <c r="B1898" s="7">
        <v>0.38541666666666669</v>
      </c>
      <c r="C1898" s="13" t="str">
        <f>"FES1162672717"</f>
        <v>FES1162672717</v>
      </c>
      <c r="D1898" s="13" t="s">
        <v>18</v>
      </c>
      <c r="E1898" s="13" t="s">
        <v>727</v>
      </c>
      <c r="F1898" s="13" t="str">
        <f>"2170672091 "</f>
        <v xml:space="preserve">2170672091 </v>
      </c>
      <c r="G1898" s="13" t="str">
        <f t="shared" si="61"/>
        <v>ON1</v>
      </c>
      <c r="H1898" s="13" t="s">
        <v>20</v>
      </c>
      <c r="I1898" s="13" t="s">
        <v>555</v>
      </c>
      <c r="J1898" s="13" t="str">
        <f>""</f>
        <v/>
      </c>
      <c r="K1898" s="13" t="str">
        <f>"PFES1162672717_0001"</f>
        <v>PFES1162672717_0001</v>
      </c>
      <c r="L1898" s="13">
        <v>1</v>
      </c>
      <c r="M1898" s="13">
        <v>1</v>
      </c>
    </row>
    <row r="1899" spans="1:13">
      <c r="A1899" s="6">
        <v>43509</v>
      </c>
      <c r="B1899" s="7">
        <v>0.3833333333333333</v>
      </c>
      <c r="C1899" s="13" t="str">
        <f>"FES1162672730"</f>
        <v>FES1162672730</v>
      </c>
      <c r="D1899" s="13" t="s">
        <v>18</v>
      </c>
      <c r="E1899" s="13" t="s">
        <v>590</v>
      </c>
      <c r="F1899" s="13" t="str">
        <f>"2170673694 "</f>
        <v xml:space="preserve">2170673694 </v>
      </c>
      <c r="G1899" s="13" t="str">
        <f t="shared" si="61"/>
        <v>ON1</v>
      </c>
      <c r="H1899" s="13" t="s">
        <v>20</v>
      </c>
      <c r="I1899" s="13" t="s">
        <v>99</v>
      </c>
      <c r="J1899" s="13" t="str">
        <f>""</f>
        <v/>
      </c>
      <c r="K1899" s="13" t="str">
        <f>"PFES1162672730_0001"</f>
        <v>PFES1162672730_0001</v>
      </c>
      <c r="L1899" s="13">
        <v>1</v>
      </c>
      <c r="M1899" s="13">
        <v>1</v>
      </c>
    </row>
    <row r="1900" spans="1:13">
      <c r="A1900" s="6">
        <v>43509</v>
      </c>
      <c r="B1900" s="7">
        <v>0.3833333333333333</v>
      </c>
      <c r="C1900" s="13" t="str">
        <f>"FES1162672732"</f>
        <v>FES1162672732</v>
      </c>
      <c r="D1900" s="13" t="s">
        <v>18</v>
      </c>
      <c r="E1900" s="13" t="s">
        <v>363</v>
      </c>
      <c r="F1900" s="13" t="str">
        <f>"2170673829 "</f>
        <v xml:space="preserve">2170673829 </v>
      </c>
      <c r="G1900" s="13" t="str">
        <f t="shared" si="61"/>
        <v>ON1</v>
      </c>
      <c r="H1900" s="13" t="s">
        <v>20</v>
      </c>
      <c r="I1900" s="13" t="s">
        <v>364</v>
      </c>
      <c r="J1900" s="13" t="str">
        <f>""</f>
        <v/>
      </c>
      <c r="K1900" s="13" t="str">
        <f>"PFES1162672732_0001"</f>
        <v>PFES1162672732_0001</v>
      </c>
      <c r="L1900" s="13">
        <v>1</v>
      </c>
      <c r="M1900" s="13">
        <v>1</v>
      </c>
    </row>
    <row r="1901" spans="1:13">
      <c r="A1901" s="6">
        <v>43509</v>
      </c>
      <c r="B1901" s="7">
        <v>0.38263888888888892</v>
      </c>
      <c r="C1901" s="13" t="str">
        <f>"FES1162672743"</f>
        <v>FES1162672743</v>
      </c>
      <c r="D1901" s="13" t="s">
        <v>18</v>
      </c>
      <c r="E1901" s="13" t="s">
        <v>908</v>
      </c>
      <c r="F1901" s="13" t="str">
        <f>"2170674006 "</f>
        <v xml:space="preserve">2170674006 </v>
      </c>
      <c r="G1901" s="13" t="str">
        <f t="shared" si="61"/>
        <v>ON1</v>
      </c>
      <c r="H1901" s="13" t="s">
        <v>20</v>
      </c>
      <c r="I1901" s="13" t="s">
        <v>93</v>
      </c>
      <c r="J1901" s="13" t="str">
        <f>""</f>
        <v/>
      </c>
      <c r="K1901" s="13" t="str">
        <f>"PFES1162672743_0001"</f>
        <v>PFES1162672743_0001</v>
      </c>
      <c r="L1901" s="13">
        <v>1</v>
      </c>
      <c r="M1901" s="13">
        <v>1</v>
      </c>
    </row>
    <row r="1902" spans="1:13">
      <c r="A1902" s="6">
        <v>43509</v>
      </c>
      <c r="B1902" s="7">
        <v>0.38194444444444442</v>
      </c>
      <c r="C1902" s="13" t="str">
        <f>"FES1162672724"</f>
        <v>FES1162672724</v>
      </c>
      <c r="D1902" s="13" t="s">
        <v>18</v>
      </c>
      <c r="E1902" s="13" t="s">
        <v>527</v>
      </c>
      <c r="F1902" s="13" t="str">
        <f>"2170672537 "</f>
        <v xml:space="preserve">2170672537 </v>
      </c>
      <c r="G1902" s="13" t="str">
        <f t="shared" si="61"/>
        <v>ON1</v>
      </c>
      <c r="H1902" s="13" t="s">
        <v>20</v>
      </c>
      <c r="I1902" s="13" t="s">
        <v>276</v>
      </c>
      <c r="J1902" s="13" t="str">
        <f>""</f>
        <v/>
      </c>
      <c r="K1902" s="13" t="str">
        <f>"PFES1162672724_0001"</f>
        <v>PFES1162672724_0001</v>
      </c>
      <c r="L1902" s="13">
        <v>1</v>
      </c>
      <c r="M1902" s="13">
        <v>1</v>
      </c>
    </row>
    <row r="1903" spans="1:13">
      <c r="A1903" s="6">
        <v>43509</v>
      </c>
      <c r="B1903" s="7">
        <v>0.38125000000000003</v>
      </c>
      <c r="C1903" s="13" t="str">
        <f>"FES1162672733"</f>
        <v>FES1162672733</v>
      </c>
      <c r="D1903" s="13" t="s">
        <v>18</v>
      </c>
      <c r="E1903" s="13" t="s">
        <v>365</v>
      </c>
      <c r="F1903" s="13" t="str">
        <f>"2170673929 "</f>
        <v xml:space="preserve">2170673929 </v>
      </c>
      <c r="G1903" s="13" t="str">
        <f t="shared" si="61"/>
        <v>ON1</v>
      </c>
      <c r="H1903" s="13" t="s">
        <v>20</v>
      </c>
      <c r="I1903" s="13" t="s">
        <v>139</v>
      </c>
      <c r="J1903" s="13" t="str">
        <f>""</f>
        <v/>
      </c>
      <c r="K1903" s="13" t="str">
        <f>"PFES1162672733_0001"</f>
        <v>PFES1162672733_0001</v>
      </c>
      <c r="L1903" s="13">
        <v>1</v>
      </c>
      <c r="M1903" s="13">
        <v>1</v>
      </c>
    </row>
    <row r="1904" spans="1:13">
      <c r="A1904" s="6">
        <v>43510</v>
      </c>
      <c r="B1904" s="7">
        <v>0.68611111111111101</v>
      </c>
      <c r="C1904" s="14" t="str">
        <f>"FES1162673323"</f>
        <v>FES1162673323</v>
      </c>
      <c r="D1904" s="14" t="s">
        <v>18</v>
      </c>
      <c r="E1904" s="14" t="s">
        <v>225</v>
      </c>
      <c r="F1904" s="14" t="str">
        <f>"2170674531 "</f>
        <v xml:space="preserve">2170674531 </v>
      </c>
      <c r="G1904" s="14" t="str">
        <f t="shared" si="61"/>
        <v>ON1</v>
      </c>
      <c r="H1904" s="14" t="s">
        <v>20</v>
      </c>
      <c r="I1904" s="14" t="s">
        <v>226</v>
      </c>
      <c r="J1904" s="14" t="str">
        <f>""</f>
        <v/>
      </c>
      <c r="K1904" s="14" t="str">
        <f>"PFES1162673323_0001"</f>
        <v>PFES1162673323_0001</v>
      </c>
      <c r="L1904" s="14">
        <v>1</v>
      </c>
      <c r="M1904" s="14">
        <v>3</v>
      </c>
    </row>
    <row r="1905" spans="1:13">
      <c r="A1905" s="6">
        <v>43510</v>
      </c>
      <c r="B1905" s="7">
        <v>0.68611111111111101</v>
      </c>
      <c r="C1905" s="14" t="str">
        <f>"FES1162673331"</f>
        <v>FES1162673331</v>
      </c>
      <c r="D1905" s="14" t="s">
        <v>18</v>
      </c>
      <c r="E1905" s="14" t="s">
        <v>670</v>
      </c>
      <c r="F1905" s="14" t="str">
        <f>"2170674509 "</f>
        <v xml:space="preserve">2170674509 </v>
      </c>
      <c r="G1905" s="14" t="str">
        <f t="shared" si="61"/>
        <v>ON1</v>
      </c>
      <c r="H1905" s="14" t="s">
        <v>20</v>
      </c>
      <c r="I1905" s="14" t="s">
        <v>213</v>
      </c>
      <c r="J1905" s="14" t="str">
        <f>""</f>
        <v/>
      </c>
      <c r="K1905" s="14" t="str">
        <f>"PFES1162673331_0001"</f>
        <v>PFES1162673331_0001</v>
      </c>
      <c r="L1905" s="14">
        <v>1</v>
      </c>
      <c r="M1905" s="14">
        <v>1</v>
      </c>
    </row>
    <row r="1906" spans="1:13">
      <c r="A1906" s="6">
        <v>43510</v>
      </c>
      <c r="B1906" s="7">
        <v>0.68541666666666667</v>
      </c>
      <c r="C1906" s="14" t="str">
        <f>"FES11626733335"</f>
        <v>FES11626733335</v>
      </c>
      <c r="D1906" s="14" t="s">
        <v>18</v>
      </c>
      <c r="E1906" s="14" t="s">
        <v>214</v>
      </c>
      <c r="F1906" s="14" t="str">
        <f>"2170674539 "</f>
        <v xml:space="preserve">2170674539 </v>
      </c>
      <c r="G1906" s="14" t="str">
        <f t="shared" si="61"/>
        <v>ON1</v>
      </c>
      <c r="H1906" s="14" t="s">
        <v>20</v>
      </c>
      <c r="I1906" s="14" t="s">
        <v>215</v>
      </c>
      <c r="J1906" s="14" t="str">
        <f>""</f>
        <v/>
      </c>
      <c r="K1906" s="14" t="str">
        <f>"PFES11626733335_0001"</f>
        <v>PFES11626733335_0001</v>
      </c>
      <c r="L1906" s="14">
        <v>1</v>
      </c>
      <c r="M1906" s="14">
        <v>1</v>
      </c>
    </row>
    <row r="1907" spans="1:13">
      <c r="A1907" s="6">
        <v>43510</v>
      </c>
      <c r="B1907" s="7">
        <v>0.68472222222222223</v>
      </c>
      <c r="C1907" s="14" t="str">
        <f>"FES1162673333"</f>
        <v>FES1162673333</v>
      </c>
      <c r="D1907" s="14" t="s">
        <v>18</v>
      </c>
      <c r="E1907" s="14" t="s">
        <v>214</v>
      </c>
      <c r="F1907" s="14" t="str">
        <f>"2170674537 "</f>
        <v xml:space="preserve">2170674537 </v>
      </c>
      <c r="G1907" s="14" t="str">
        <f t="shared" si="61"/>
        <v>ON1</v>
      </c>
      <c r="H1907" s="14" t="s">
        <v>20</v>
      </c>
      <c r="I1907" s="14" t="s">
        <v>215</v>
      </c>
      <c r="J1907" s="14" t="str">
        <f>""</f>
        <v/>
      </c>
      <c r="K1907" s="14" t="str">
        <f>"PFES1162673333_0001"</f>
        <v>PFES1162673333_0001</v>
      </c>
      <c r="L1907" s="14">
        <v>1</v>
      </c>
      <c r="M1907" s="14">
        <v>1</v>
      </c>
    </row>
    <row r="1908" spans="1:13">
      <c r="A1908" s="6">
        <v>43510</v>
      </c>
      <c r="B1908" s="7">
        <v>0.68472222222222223</v>
      </c>
      <c r="C1908" s="14" t="str">
        <f>"FES1162673334"</f>
        <v>FES1162673334</v>
      </c>
      <c r="D1908" s="14" t="s">
        <v>18</v>
      </c>
      <c r="E1908" s="14" t="s">
        <v>750</v>
      </c>
      <c r="F1908" s="14" t="str">
        <f>"2170674538 "</f>
        <v xml:space="preserve">2170674538 </v>
      </c>
      <c r="G1908" s="14" t="str">
        <f t="shared" si="61"/>
        <v>ON1</v>
      </c>
      <c r="H1908" s="14" t="s">
        <v>20</v>
      </c>
      <c r="I1908" s="14" t="s">
        <v>67</v>
      </c>
      <c r="J1908" s="14" t="str">
        <f>""</f>
        <v/>
      </c>
      <c r="K1908" s="14" t="str">
        <f>"PFES1162673334_0001"</f>
        <v>PFES1162673334_0001</v>
      </c>
      <c r="L1908" s="14">
        <v>1</v>
      </c>
      <c r="M1908" s="14">
        <v>1</v>
      </c>
    </row>
    <row r="1909" spans="1:13">
      <c r="A1909" s="6">
        <v>43510</v>
      </c>
      <c r="B1909" s="7">
        <v>0.68402777777777779</v>
      </c>
      <c r="C1909" s="14" t="str">
        <f>"FES1162673332"</f>
        <v>FES1162673332</v>
      </c>
      <c r="D1909" s="14" t="s">
        <v>18</v>
      </c>
      <c r="E1909" s="14" t="s">
        <v>454</v>
      </c>
      <c r="F1909" s="14" t="str">
        <f>"2170674523 "</f>
        <v xml:space="preserve">2170674523 </v>
      </c>
      <c r="G1909" s="14" t="str">
        <f t="shared" si="61"/>
        <v>ON1</v>
      </c>
      <c r="H1909" s="14" t="s">
        <v>20</v>
      </c>
      <c r="I1909" s="14" t="s">
        <v>455</v>
      </c>
      <c r="J1909" s="14" t="str">
        <f>""</f>
        <v/>
      </c>
      <c r="K1909" s="14" t="str">
        <f>"PFES1162673332_0001"</f>
        <v>PFES1162673332_0001</v>
      </c>
      <c r="L1909" s="14">
        <v>1</v>
      </c>
      <c r="M1909" s="14">
        <v>1</v>
      </c>
    </row>
    <row r="1910" spans="1:13">
      <c r="A1910" s="6">
        <v>43510</v>
      </c>
      <c r="B1910" s="7">
        <v>0.68263888888888891</v>
      </c>
      <c r="C1910" s="14" t="str">
        <f>"FES1162673330"</f>
        <v>FES1162673330</v>
      </c>
      <c r="D1910" s="14" t="s">
        <v>18</v>
      </c>
      <c r="E1910" s="14" t="s">
        <v>467</v>
      </c>
      <c r="F1910" s="14" t="str">
        <f>"2170674503 "</f>
        <v xml:space="preserve">2170674503 </v>
      </c>
      <c r="G1910" s="14" t="str">
        <f t="shared" si="61"/>
        <v>ON1</v>
      </c>
      <c r="H1910" s="14" t="s">
        <v>20</v>
      </c>
      <c r="I1910" s="14" t="s">
        <v>29</v>
      </c>
      <c r="J1910" s="14" t="str">
        <f>""</f>
        <v/>
      </c>
      <c r="K1910" s="14" t="str">
        <f>"PFES1162673330_0001"</f>
        <v>PFES1162673330_0001</v>
      </c>
      <c r="L1910" s="14">
        <v>1</v>
      </c>
      <c r="M1910" s="14">
        <v>3</v>
      </c>
    </row>
    <row r="1911" spans="1:13">
      <c r="A1911" s="6">
        <v>43510</v>
      </c>
      <c r="B1911" s="7">
        <v>0.68125000000000002</v>
      </c>
      <c r="C1911" s="14" t="str">
        <f>"FES1162673328"</f>
        <v>FES1162673328</v>
      </c>
      <c r="D1911" s="14" t="s">
        <v>18</v>
      </c>
      <c r="E1911" s="14" t="s">
        <v>843</v>
      </c>
      <c r="F1911" s="14" t="str">
        <f>"2170674134 "</f>
        <v xml:space="preserve">2170674134 </v>
      </c>
      <c r="G1911" s="14" t="str">
        <f t="shared" si="61"/>
        <v>ON1</v>
      </c>
      <c r="H1911" s="14" t="s">
        <v>20</v>
      </c>
      <c r="I1911" s="14" t="s">
        <v>513</v>
      </c>
      <c r="J1911" s="14" t="str">
        <f>""</f>
        <v/>
      </c>
      <c r="K1911" s="14" t="str">
        <f>"PFES1162673328_0001"</f>
        <v>PFES1162673328_0001</v>
      </c>
      <c r="L1911" s="14">
        <v>2</v>
      </c>
      <c r="M1911" s="14">
        <v>7</v>
      </c>
    </row>
    <row r="1912" spans="1:13">
      <c r="A1912" s="6">
        <v>43496</v>
      </c>
      <c r="B1912" s="7">
        <v>0.68194444444444446</v>
      </c>
      <c r="C1912" s="14" t="str">
        <f>"FES1162673328"</f>
        <v>FES1162673328</v>
      </c>
      <c r="D1912" s="14" t="s">
        <v>18</v>
      </c>
      <c r="E1912" s="14" t="s">
        <v>132</v>
      </c>
      <c r="F1912" s="14" t="str">
        <f>"217067259 "</f>
        <v xml:space="preserve">217067259 </v>
      </c>
      <c r="G1912" s="14" t="str">
        <f t="shared" si="61"/>
        <v>ON1</v>
      </c>
      <c r="H1912" s="14" t="s">
        <v>20</v>
      </c>
      <c r="I1912" s="14" t="s">
        <v>133</v>
      </c>
      <c r="J1912" s="14" t="str">
        <f>""</f>
        <v/>
      </c>
      <c r="K1912" s="14" t="str">
        <f>"PFES1162673328_0002"</f>
        <v>PFES1162673328_0002</v>
      </c>
      <c r="L1912" s="14">
        <v>1</v>
      </c>
      <c r="M1912" s="14">
        <v>1</v>
      </c>
    </row>
    <row r="1913" spans="1:13">
      <c r="A1913" s="6">
        <v>43510</v>
      </c>
      <c r="B1913" s="7">
        <v>0.68055555555555547</v>
      </c>
      <c r="C1913" s="14" t="str">
        <f>"FES1162673321"</f>
        <v>FES1162673321</v>
      </c>
      <c r="D1913" s="14" t="s">
        <v>18</v>
      </c>
      <c r="E1913" s="14" t="s">
        <v>909</v>
      </c>
      <c r="F1913" s="14" t="str">
        <f>"2170674528 "</f>
        <v xml:space="preserve">2170674528 </v>
      </c>
      <c r="G1913" s="14" t="str">
        <f t="shared" si="61"/>
        <v>ON1</v>
      </c>
      <c r="H1913" s="14" t="s">
        <v>20</v>
      </c>
      <c r="I1913" s="14" t="s">
        <v>126</v>
      </c>
      <c r="J1913" s="14" t="str">
        <f>""</f>
        <v/>
      </c>
      <c r="K1913" s="14" t="str">
        <f>"PFES1162673321_0001"</f>
        <v>PFES1162673321_0001</v>
      </c>
      <c r="L1913" s="14">
        <v>1</v>
      </c>
      <c r="M1913" s="14">
        <v>1</v>
      </c>
    </row>
    <row r="1914" spans="1:13">
      <c r="A1914" s="6">
        <v>43510</v>
      </c>
      <c r="B1914" s="7">
        <v>0.67986111111111114</v>
      </c>
      <c r="C1914" s="14" t="str">
        <f>"FES1162673327"</f>
        <v>FES1162673327</v>
      </c>
      <c r="D1914" s="14" t="s">
        <v>18</v>
      </c>
      <c r="E1914" s="14" t="s">
        <v>601</v>
      </c>
      <c r="F1914" s="14" t="str">
        <f>"2170673729 "</f>
        <v xml:space="preserve">2170673729 </v>
      </c>
      <c r="G1914" s="14" t="str">
        <f t="shared" si="61"/>
        <v>ON1</v>
      </c>
      <c r="H1914" s="14" t="s">
        <v>20</v>
      </c>
      <c r="I1914" s="14" t="s">
        <v>602</v>
      </c>
      <c r="J1914" s="14" t="str">
        <f>""</f>
        <v/>
      </c>
      <c r="K1914" s="14" t="str">
        <f>"PFES1162673327_0001"</f>
        <v>PFES1162673327_0001</v>
      </c>
      <c r="L1914" s="14">
        <v>1</v>
      </c>
      <c r="M1914" s="14">
        <v>1</v>
      </c>
    </row>
    <row r="1915" spans="1:13">
      <c r="A1915" s="6">
        <v>43510</v>
      </c>
      <c r="B1915" s="7">
        <v>0.67847222222222225</v>
      </c>
      <c r="C1915" s="14" t="str">
        <f>"FES1162673315"</f>
        <v>FES1162673315</v>
      </c>
      <c r="D1915" s="14" t="s">
        <v>18</v>
      </c>
      <c r="E1915" s="14" t="s">
        <v>19</v>
      </c>
      <c r="F1915" s="14" t="str">
        <f>"2170674513 "</f>
        <v xml:space="preserve">2170674513 </v>
      </c>
      <c r="G1915" s="14" t="str">
        <f t="shared" si="61"/>
        <v>ON1</v>
      </c>
      <c r="H1915" s="14" t="s">
        <v>20</v>
      </c>
      <c r="I1915" s="14" t="s">
        <v>21</v>
      </c>
      <c r="J1915" s="14" t="str">
        <f>""</f>
        <v/>
      </c>
      <c r="K1915" s="14" t="str">
        <f>"PFES1162673315_0001"</f>
        <v>PFES1162673315_0001</v>
      </c>
      <c r="L1915" s="14">
        <v>1</v>
      </c>
      <c r="M1915" s="14">
        <v>3</v>
      </c>
    </row>
    <row r="1916" spans="1:13">
      <c r="A1916" s="6">
        <v>43510</v>
      </c>
      <c r="B1916" s="7">
        <v>0.6777777777777777</v>
      </c>
      <c r="C1916" s="14" t="str">
        <f>"FES1162673322"</f>
        <v>FES1162673322</v>
      </c>
      <c r="D1916" s="14" t="s">
        <v>18</v>
      </c>
      <c r="E1916" s="14" t="s">
        <v>581</v>
      </c>
      <c r="F1916" s="14" t="str">
        <f>"2170674530 "</f>
        <v xml:space="preserve">2170674530 </v>
      </c>
      <c r="G1916" s="14" t="str">
        <f t="shared" si="61"/>
        <v>ON1</v>
      </c>
      <c r="H1916" s="14" t="s">
        <v>20</v>
      </c>
      <c r="I1916" s="14" t="s">
        <v>504</v>
      </c>
      <c r="J1916" s="14" t="str">
        <f>""</f>
        <v/>
      </c>
      <c r="K1916" s="14" t="str">
        <f>"PFES1162673322_0001"</f>
        <v>PFES1162673322_0001</v>
      </c>
      <c r="L1916" s="14">
        <v>1</v>
      </c>
      <c r="M1916" s="14">
        <v>12</v>
      </c>
    </row>
    <row r="1917" spans="1:13">
      <c r="A1917" s="6">
        <v>43510</v>
      </c>
      <c r="B1917" s="7">
        <v>0.67708333333333337</v>
      </c>
      <c r="C1917" s="14" t="str">
        <f>"FES1162673325"</f>
        <v>FES1162673325</v>
      </c>
      <c r="D1917" s="14" t="s">
        <v>18</v>
      </c>
      <c r="E1917" s="14" t="s">
        <v>216</v>
      </c>
      <c r="F1917" s="14" t="str">
        <f>"2170672066 "</f>
        <v xml:space="preserve">2170672066 </v>
      </c>
      <c r="G1917" s="14" t="str">
        <f t="shared" si="61"/>
        <v>ON1</v>
      </c>
      <c r="H1917" s="14" t="s">
        <v>20</v>
      </c>
      <c r="I1917" s="14" t="s">
        <v>124</v>
      </c>
      <c r="J1917" s="14" t="str">
        <f>""</f>
        <v/>
      </c>
      <c r="K1917" s="14" t="str">
        <f>"PFES1162673325_0001"</f>
        <v>PFES1162673325_0001</v>
      </c>
      <c r="L1917" s="14">
        <v>1</v>
      </c>
      <c r="M1917" s="14">
        <v>13</v>
      </c>
    </row>
    <row r="1918" spans="1:13">
      <c r="A1918" s="6">
        <v>43510</v>
      </c>
      <c r="B1918" s="7">
        <v>0.6743055555555556</v>
      </c>
      <c r="C1918" s="14" t="str">
        <f>"FES1162673311"</f>
        <v>FES1162673311</v>
      </c>
      <c r="D1918" s="14" t="s">
        <v>18</v>
      </c>
      <c r="E1918" s="14" t="s">
        <v>207</v>
      </c>
      <c r="F1918" s="14" t="str">
        <f>"2170674507 "</f>
        <v xml:space="preserve">2170674507 </v>
      </c>
      <c r="G1918" s="14" t="str">
        <f t="shared" si="61"/>
        <v>ON1</v>
      </c>
      <c r="H1918" s="14" t="s">
        <v>20</v>
      </c>
      <c r="I1918" s="14" t="s">
        <v>208</v>
      </c>
      <c r="J1918" s="14" t="str">
        <f>""</f>
        <v/>
      </c>
      <c r="K1918" s="14" t="str">
        <f>"PFES1162673311_0001"</f>
        <v>PFES1162673311_0001</v>
      </c>
      <c r="L1918" s="14">
        <v>1</v>
      </c>
      <c r="M1918" s="14">
        <v>4</v>
      </c>
    </row>
    <row r="1919" spans="1:13">
      <c r="A1919" s="6">
        <v>43510</v>
      </c>
      <c r="B1919" s="7">
        <v>0.67361111111111116</v>
      </c>
      <c r="C1919" s="14" t="str">
        <f>"FES1162673230"</f>
        <v>FES1162673230</v>
      </c>
      <c r="D1919" s="14" t="s">
        <v>18</v>
      </c>
      <c r="E1919" s="14" t="s">
        <v>305</v>
      </c>
      <c r="F1919" s="14" t="str">
        <f>"2170674419 "</f>
        <v xml:space="preserve">2170674419 </v>
      </c>
      <c r="G1919" s="14" t="str">
        <f t="shared" si="61"/>
        <v>ON1</v>
      </c>
      <c r="H1919" s="14" t="s">
        <v>20</v>
      </c>
      <c r="I1919" s="14" t="s">
        <v>197</v>
      </c>
      <c r="J1919" s="14" t="str">
        <f>""</f>
        <v/>
      </c>
      <c r="K1919" s="14" t="str">
        <f>"PFES1162673230_0001"</f>
        <v>PFES1162673230_0001</v>
      </c>
      <c r="L1919" s="14">
        <v>1</v>
      </c>
      <c r="M1919" s="14">
        <v>5</v>
      </c>
    </row>
    <row r="1920" spans="1:13">
      <c r="A1920" s="6">
        <v>43510</v>
      </c>
      <c r="B1920" s="7">
        <v>0.67291666666666661</v>
      </c>
      <c r="C1920" s="14" t="str">
        <f>"FES1162673324"</f>
        <v>FES1162673324</v>
      </c>
      <c r="D1920" s="14" t="s">
        <v>18</v>
      </c>
      <c r="E1920" s="14" t="s">
        <v>910</v>
      </c>
      <c r="F1920" s="14" t="str">
        <f>"2170673269 "</f>
        <v xml:space="preserve">2170673269 </v>
      </c>
      <c r="G1920" s="14" t="str">
        <f t="shared" si="61"/>
        <v>ON1</v>
      </c>
      <c r="H1920" s="14" t="s">
        <v>20</v>
      </c>
      <c r="I1920" s="14" t="s">
        <v>336</v>
      </c>
      <c r="J1920" s="14" t="str">
        <f>""</f>
        <v/>
      </c>
      <c r="K1920" s="14" t="str">
        <f>"PFES1162673324_0001"</f>
        <v>PFES1162673324_0001</v>
      </c>
      <c r="L1920" s="14">
        <v>1</v>
      </c>
      <c r="M1920" s="14">
        <v>1</v>
      </c>
    </row>
    <row r="1921" spans="1:13">
      <c r="A1921" s="6">
        <v>43510</v>
      </c>
      <c r="B1921" s="7">
        <v>0.67222222222222217</v>
      </c>
      <c r="C1921" s="14" t="str">
        <f>"FES1162673316"</f>
        <v>FES1162673316</v>
      </c>
      <c r="D1921" s="14" t="s">
        <v>18</v>
      </c>
      <c r="E1921" s="14" t="s">
        <v>207</v>
      </c>
      <c r="F1921" s="14" t="str">
        <f>"2170674517 "</f>
        <v xml:space="preserve">2170674517 </v>
      </c>
      <c r="G1921" s="14" t="str">
        <f t="shared" si="61"/>
        <v>ON1</v>
      </c>
      <c r="H1921" s="14" t="s">
        <v>20</v>
      </c>
      <c r="I1921" s="14" t="s">
        <v>208</v>
      </c>
      <c r="J1921" s="14" t="str">
        <f>""</f>
        <v/>
      </c>
      <c r="K1921" s="14" t="str">
        <f>"PFES1162673316_0001"</f>
        <v>PFES1162673316_0001</v>
      </c>
      <c r="L1921" s="14">
        <v>1</v>
      </c>
      <c r="M1921" s="14">
        <v>6</v>
      </c>
    </row>
    <row r="1922" spans="1:13">
      <c r="A1922" s="6">
        <v>43510</v>
      </c>
      <c r="B1922" s="7">
        <v>0.66319444444444442</v>
      </c>
      <c r="C1922" s="14" t="str">
        <f>"FES1162673216"</f>
        <v>FES1162673216</v>
      </c>
      <c r="D1922" s="14" t="s">
        <v>18</v>
      </c>
      <c r="E1922" s="14" t="s">
        <v>305</v>
      </c>
      <c r="F1922" s="14" t="str">
        <f>"2170674402 "</f>
        <v xml:space="preserve">2170674402 </v>
      </c>
      <c r="G1922" s="14" t="str">
        <f t="shared" si="61"/>
        <v>ON1</v>
      </c>
      <c r="H1922" s="14" t="s">
        <v>20</v>
      </c>
      <c r="I1922" s="14" t="s">
        <v>197</v>
      </c>
      <c r="J1922" s="14" t="str">
        <f>""</f>
        <v/>
      </c>
      <c r="K1922" s="14" t="str">
        <f>"PFES1162673216_0001"</f>
        <v>PFES1162673216_0001</v>
      </c>
      <c r="L1922" s="14">
        <v>1</v>
      </c>
      <c r="M1922" s="14">
        <v>1</v>
      </c>
    </row>
    <row r="1923" spans="1:13">
      <c r="A1923" s="6">
        <v>43510</v>
      </c>
      <c r="B1923" s="7">
        <v>0.66249999999999998</v>
      </c>
      <c r="C1923" s="14" t="str">
        <f>"FES1162672122"</f>
        <v>FES1162672122</v>
      </c>
      <c r="D1923" s="14" t="s">
        <v>18</v>
      </c>
      <c r="E1923" s="14" t="s">
        <v>275</v>
      </c>
      <c r="F1923" s="14" t="str">
        <f>"2170673458 "</f>
        <v xml:space="preserve">2170673458 </v>
      </c>
      <c r="G1923" s="14" t="str">
        <f t="shared" si="61"/>
        <v>ON1</v>
      </c>
      <c r="H1923" s="14" t="s">
        <v>20</v>
      </c>
      <c r="I1923" s="14" t="s">
        <v>276</v>
      </c>
      <c r="J1923" s="14" t="str">
        <f>""</f>
        <v/>
      </c>
      <c r="K1923" s="14" t="str">
        <f>"PFES1162672122_0001"</f>
        <v>PFES1162672122_0001</v>
      </c>
      <c r="L1923" s="14">
        <v>1</v>
      </c>
      <c r="M1923" s="14">
        <v>1</v>
      </c>
    </row>
    <row r="1924" spans="1:13">
      <c r="A1924" s="6">
        <v>43510</v>
      </c>
      <c r="B1924" s="7">
        <v>0.66180555555555554</v>
      </c>
      <c r="C1924" s="14" t="str">
        <f>"FES1162673310"</f>
        <v>FES1162673310</v>
      </c>
      <c r="D1924" s="14" t="s">
        <v>18</v>
      </c>
      <c r="E1924" s="14" t="s">
        <v>58</v>
      </c>
      <c r="F1924" s="14" t="str">
        <f>"2170674506 "</f>
        <v xml:space="preserve">2170674506 </v>
      </c>
      <c r="G1924" s="14" t="str">
        <f t="shared" si="61"/>
        <v>ON1</v>
      </c>
      <c r="H1924" s="14" t="s">
        <v>20</v>
      </c>
      <c r="I1924" s="14" t="s">
        <v>59</v>
      </c>
      <c r="J1924" s="14" t="str">
        <f>""</f>
        <v/>
      </c>
      <c r="K1924" s="14" t="str">
        <f>"PFES1162673310_0001"</f>
        <v>PFES1162673310_0001</v>
      </c>
      <c r="L1924" s="14">
        <v>1</v>
      </c>
      <c r="M1924" s="14">
        <v>1</v>
      </c>
    </row>
    <row r="1925" spans="1:13">
      <c r="A1925" s="6">
        <v>43510</v>
      </c>
      <c r="B1925" s="7">
        <v>0.66180555555555554</v>
      </c>
      <c r="C1925" s="14" t="str">
        <f>"FES1162673288"</f>
        <v>FES1162673288</v>
      </c>
      <c r="D1925" s="14" t="s">
        <v>18</v>
      </c>
      <c r="E1925" s="14" t="s">
        <v>334</v>
      </c>
      <c r="F1925" s="14" t="str">
        <f>"2170673971 "</f>
        <v xml:space="preserve">2170673971 </v>
      </c>
      <c r="G1925" s="14" t="str">
        <f t="shared" si="61"/>
        <v>ON1</v>
      </c>
      <c r="H1925" s="14" t="s">
        <v>20</v>
      </c>
      <c r="I1925" s="14" t="s">
        <v>242</v>
      </c>
      <c r="J1925" s="14" t="str">
        <f>""</f>
        <v/>
      </c>
      <c r="K1925" s="14" t="str">
        <f>"PFES1162673288_0001"</f>
        <v>PFES1162673288_0001</v>
      </c>
      <c r="L1925" s="14">
        <v>1</v>
      </c>
      <c r="M1925" s="14">
        <v>7</v>
      </c>
    </row>
    <row r="1926" spans="1:13">
      <c r="A1926" s="6">
        <v>43510</v>
      </c>
      <c r="B1926" s="7">
        <v>0.66111111111111109</v>
      </c>
      <c r="C1926" s="14" t="str">
        <f>"FES1162673308"</f>
        <v>FES1162673308</v>
      </c>
      <c r="D1926" s="14" t="s">
        <v>18</v>
      </c>
      <c r="E1926" s="14" t="s">
        <v>19</v>
      </c>
      <c r="F1926" s="14" t="str">
        <f>"2170674502 "</f>
        <v xml:space="preserve">2170674502 </v>
      </c>
      <c r="G1926" s="14" t="str">
        <f t="shared" si="61"/>
        <v>ON1</v>
      </c>
      <c r="H1926" s="14" t="s">
        <v>20</v>
      </c>
      <c r="I1926" s="14" t="s">
        <v>21</v>
      </c>
      <c r="J1926" s="14" t="str">
        <f>""</f>
        <v/>
      </c>
      <c r="K1926" s="14" t="str">
        <f>"PFES1162673308_0001"</f>
        <v>PFES1162673308_0001</v>
      </c>
      <c r="L1926" s="14">
        <v>1</v>
      </c>
      <c r="M1926" s="14">
        <v>1</v>
      </c>
    </row>
    <row r="1927" spans="1:13">
      <c r="A1927" s="6">
        <v>43510</v>
      </c>
      <c r="B1927" s="7">
        <v>0.66041666666666665</v>
      </c>
      <c r="C1927" s="14" t="str">
        <f>"FES1162673270"</f>
        <v>FES1162673270</v>
      </c>
      <c r="D1927" s="14" t="s">
        <v>18</v>
      </c>
      <c r="E1927" s="14" t="s">
        <v>537</v>
      </c>
      <c r="F1927" s="14" t="str">
        <f>"2170673676 "</f>
        <v xml:space="preserve">2170673676 </v>
      </c>
      <c r="G1927" s="14" t="str">
        <f t="shared" si="61"/>
        <v>ON1</v>
      </c>
      <c r="H1927" s="14" t="s">
        <v>20</v>
      </c>
      <c r="I1927" s="14" t="s">
        <v>93</v>
      </c>
      <c r="J1927" s="14" t="str">
        <f>""</f>
        <v/>
      </c>
      <c r="K1927" s="14" t="str">
        <f>"PFES1162673270_0001"</f>
        <v>PFES1162673270_0001</v>
      </c>
      <c r="L1927" s="14">
        <v>1</v>
      </c>
      <c r="M1927" s="14">
        <v>4</v>
      </c>
    </row>
    <row r="1928" spans="1:13">
      <c r="A1928" s="6">
        <v>43510</v>
      </c>
      <c r="B1928" s="7">
        <v>0.66041666666666665</v>
      </c>
      <c r="C1928" s="14" t="str">
        <f>"FES1162673296"</f>
        <v>FES1162673296</v>
      </c>
      <c r="D1928" s="14" t="s">
        <v>18</v>
      </c>
      <c r="E1928" s="14" t="s">
        <v>151</v>
      </c>
      <c r="F1928" s="14" t="str">
        <f>"2170674487 "</f>
        <v xml:space="preserve">2170674487 </v>
      </c>
      <c r="G1928" s="14" t="str">
        <f t="shared" si="61"/>
        <v>ON1</v>
      </c>
      <c r="H1928" s="14" t="s">
        <v>20</v>
      </c>
      <c r="I1928" s="14" t="s">
        <v>63</v>
      </c>
      <c r="J1928" s="14" t="str">
        <f>""</f>
        <v/>
      </c>
      <c r="K1928" s="14" t="str">
        <f>"PFES1162673296_0001"</f>
        <v>PFES1162673296_0001</v>
      </c>
      <c r="L1928" s="14">
        <v>1</v>
      </c>
      <c r="M1928" s="14">
        <v>1</v>
      </c>
    </row>
    <row r="1929" spans="1:13">
      <c r="A1929" s="6">
        <v>43510</v>
      </c>
      <c r="B1929" s="7">
        <v>0.66041666666666665</v>
      </c>
      <c r="C1929" s="14" t="str">
        <f>"FES1162673286"</f>
        <v>FES1162673286</v>
      </c>
      <c r="D1929" s="14" t="s">
        <v>18</v>
      </c>
      <c r="E1929" s="14" t="s">
        <v>911</v>
      </c>
      <c r="F1929" s="14" t="str">
        <f>"2170674475 "</f>
        <v xml:space="preserve">2170674475 </v>
      </c>
      <c r="G1929" s="14" t="str">
        <f t="shared" si="61"/>
        <v>ON1</v>
      </c>
      <c r="H1929" s="14" t="s">
        <v>20</v>
      </c>
      <c r="I1929" s="14" t="s">
        <v>396</v>
      </c>
      <c r="J1929" s="14" t="str">
        <f>""</f>
        <v/>
      </c>
      <c r="K1929" s="14" t="str">
        <f>"PFES1162673286_0001"</f>
        <v>PFES1162673286_0001</v>
      </c>
      <c r="L1929" s="14">
        <v>1</v>
      </c>
      <c r="M1929" s="14">
        <v>1</v>
      </c>
    </row>
    <row r="1930" spans="1:13">
      <c r="A1930" s="6">
        <v>43510</v>
      </c>
      <c r="B1930" s="7">
        <v>0.65972222222222221</v>
      </c>
      <c r="C1930" s="14" t="str">
        <f>"FES1162673207"</f>
        <v>FES1162673207</v>
      </c>
      <c r="D1930" s="14" t="s">
        <v>18</v>
      </c>
      <c r="E1930" s="14" t="s">
        <v>629</v>
      </c>
      <c r="F1930" s="14" t="str">
        <f>"2170674390 "</f>
        <v xml:space="preserve">2170674390 </v>
      </c>
      <c r="G1930" s="14" t="str">
        <f t="shared" si="61"/>
        <v>ON1</v>
      </c>
      <c r="H1930" s="14" t="s">
        <v>20</v>
      </c>
      <c r="I1930" s="14" t="s">
        <v>420</v>
      </c>
      <c r="J1930" s="14" t="str">
        <f>""</f>
        <v/>
      </c>
      <c r="K1930" s="14" t="str">
        <f>"PFES1162673207_0001"</f>
        <v>PFES1162673207_0001</v>
      </c>
      <c r="L1930" s="14">
        <v>1</v>
      </c>
      <c r="M1930" s="14">
        <v>3</v>
      </c>
    </row>
    <row r="1931" spans="1:13">
      <c r="A1931" s="6">
        <v>43510</v>
      </c>
      <c r="B1931" s="7">
        <v>0.65972222222222221</v>
      </c>
      <c r="C1931" s="14" t="str">
        <f>"FES1162673266"</f>
        <v>FES1162673266</v>
      </c>
      <c r="D1931" s="14" t="s">
        <v>18</v>
      </c>
      <c r="E1931" s="14" t="s">
        <v>912</v>
      </c>
      <c r="F1931" s="14" t="str">
        <f>"2170674454 "</f>
        <v xml:space="preserve">2170674454 </v>
      </c>
      <c r="G1931" s="14" t="str">
        <f t="shared" si="61"/>
        <v>ON1</v>
      </c>
      <c r="H1931" s="14" t="s">
        <v>20</v>
      </c>
      <c r="I1931" s="14" t="s">
        <v>55</v>
      </c>
      <c r="J1931" s="14" t="str">
        <f>""</f>
        <v/>
      </c>
      <c r="K1931" s="14" t="str">
        <f>"PFES1162673266_0001"</f>
        <v>PFES1162673266_0001</v>
      </c>
      <c r="L1931" s="14">
        <v>1</v>
      </c>
      <c r="M1931" s="14">
        <v>1</v>
      </c>
    </row>
    <row r="1932" spans="1:13">
      <c r="A1932" s="6">
        <v>43510</v>
      </c>
      <c r="B1932" s="7">
        <v>0.65902777777777777</v>
      </c>
      <c r="C1932" s="14" t="str">
        <f>"FES1162673295"</f>
        <v>FES1162673295</v>
      </c>
      <c r="D1932" s="14" t="s">
        <v>18</v>
      </c>
      <c r="E1932" s="14" t="s">
        <v>913</v>
      </c>
      <c r="F1932" s="14" t="str">
        <f>"2170674485 "</f>
        <v xml:space="preserve">2170674485 </v>
      </c>
      <c r="G1932" s="14" t="str">
        <f t="shared" si="61"/>
        <v>ON1</v>
      </c>
      <c r="H1932" s="14" t="s">
        <v>20</v>
      </c>
      <c r="I1932" s="14" t="s">
        <v>635</v>
      </c>
      <c r="J1932" s="14" t="str">
        <f>""</f>
        <v/>
      </c>
      <c r="K1932" s="14" t="str">
        <f>"PFES1162673295_0001"</f>
        <v>PFES1162673295_0001</v>
      </c>
      <c r="L1932" s="14">
        <v>1</v>
      </c>
      <c r="M1932" s="14">
        <v>3</v>
      </c>
    </row>
    <row r="1933" spans="1:13">
      <c r="A1933" s="6">
        <v>43510</v>
      </c>
      <c r="B1933" s="7">
        <v>0.65902777777777777</v>
      </c>
      <c r="C1933" s="14" t="str">
        <f>"FES1162673234"</f>
        <v>FES1162673234</v>
      </c>
      <c r="D1933" s="14" t="s">
        <v>18</v>
      </c>
      <c r="E1933" s="14" t="s">
        <v>629</v>
      </c>
      <c r="F1933" s="14" t="str">
        <f>"2170674425 "</f>
        <v xml:space="preserve">2170674425 </v>
      </c>
      <c r="G1933" s="14" t="str">
        <f t="shared" si="61"/>
        <v>ON1</v>
      </c>
      <c r="H1933" s="14" t="s">
        <v>20</v>
      </c>
      <c r="I1933" s="14" t="s">
        <v>420</v>
      </c>
      <c r="J1933" s="14" t="str">
        <f>""</f>
        <v/>
      </c>
      <c r="K1933" s="14" t="str">
        <f>"PFES1162673234_0001"</f>
        <v>PFES1162673234_0001</v>
      </c>
      <c r="L1933" s="14">
        <v>1</v>
      </c>
      <c r="M1933" s="14">
        <v>1</v>
      </c>
    </row>
    <row r="1934" spans="1:13">
      <c r="A1934" s="6">
        <v>43510</v>
      </c>
      <c r="B1934" s="7">
        <v>0.65833333333333333</v>
      </c>
      <c r="C1934" s="14" t="str">
        <f>"FES1162673284"</f>
        <v>FES1162673284</v>
      </c>
      <c r="D1934" s="14" t="s">
        <v>18</v>
      </c>
      <c r="E1934" s="14" t="s">
        <v>642</v>
      </c>
      <c r="F1934" s="14" t="str">
        <f>"2170674472 "</f>
        <v xml:space="preserve">2170674472 </v>
      </c>
      <c r="G1934" s="14" t="str">
        <f t="shared" si="61"/>
        <v>ON1</v>
      </c>
      <c r="H1934" s="14" t="s">
        <v>20</v>
      </c>
      <c r="I1934" s="14" t="s">
        <v>43</v>
      </c>
      <c r="J1934" s="14" t="str">
        <f>""</f>
        <v/>
      </c>
      <c r="K1934" s="14" t="str">
        <f>"PFES1162673284_0001"</f>
        <v>PFES1162673284_0001</v>
      </c>
      <c r="L1934" s="14">
        <v>1</v>
      </c>
      <c r="M1934" s="14">
        <v>1</v>
      </c>
    </row>
    <row r="1935" spans="1:13">
      <c r="A1935" s="6">
        <v>43510</v>
      </c>
      <c r="B1935" s="7">
        <v>0.65763888888888888</v>
      </c>
      <c r="C1935" s="14" t="str">
        <f>"FES1162673283"</f>
        <v>FES1162673283</v>
      </c>
      <c r="D1935" s="14" t="s">
        <v>18</v>
      </c>
      <c r="E1935" s="14" t="s">
        <v>19</v>
      </c>
      <c r="F1935" s="14" t="str">
        <f>"2170674471 "</f>
        <v xml:space="preserve">2170674471 </v>
      </c>
      <c r="G1935" s="14" t="str">
        <f t="shared" si="61"/>
        <v>ON1</v>
      </c>
      <c r="H1935" s="14" t="s">
        <v>20</v>
      </c>
      <c r="I1935" s="14" t="s">
        <v>21</v>
      </c>
      <c r="J1935" s="14" t="str">
        <f>""</f>
        <v/>
      </c>
      <c r="K1935" s="14" t="str">
        <f>"PFES1162673283_0001"</f>
        <v>PFES1162673283_0001</v>
      </c>
      <c r="L1935" s="14">
        <v>1</v>
      </c>
      <c r="M1935" s="14">
        <v>1</v>
      </c>
    </row>
    <row r="1936" spans="1:13">
      <c r="A1936" s="6">
        <v>43510</v>
      </c>
      <c r="B1936" s="7">
        <v>0.65555555555555556</v>
      </c>
      <c r="C1936" s="14" t="str">
        <f>"FES1162673301"</f>
        <v>FES1162673301</v>
      </c>
      <c r="D1936" s="14" t="s">
        <v>18</v>
      </c>
      <c r="E1936" s="14" t="s">
        <v>223</v>
      </c>
      <c r="F1936" s="14" t="str">
        <f>"2170673724 "</f>
        <v xml:space="preserve">2170673724 </v>
      </c>
      <c r="G1936" s="14" t="str">
        <f t="shared" si="61"/>
        <v>ON1</v>
      </c>
      <c r="H1936" s="14" t="s">
        <v>20</v>
      </c>
      <c r="I1936" s="14" t="s">
        <v>81</v>
      </c>
      <c r="J1936" s="14" t="str">
        <f>""</f>
        <v/>
      </c>
      <c r="K1936" s="14" t="str">
        <f>"PFES1162673301_0001"</f>
        <v>PFES1162673301_0001</v>
      </c>
      <c r="L1936" s="14">
        <v>1</v>
      </c>
      <c r="M1936" s="14">
        <v>4</v>
      </c>
    </row>
    <row r="1937" spans="1:13">
      <c r="A1937" s="6">
        <v>43510</v>
      </c>
      <c r="B1937" s="7">
        <v>0.65277777777777779</v>
      </c>
      <c r="C1937" s="14" t="str">
        <f>"FES1162673312"</f>
        <v>FES1162673312</v>
      </c>
      <c r="D1937" s="14" t="s">
        <v>18</v>
      </c>
      <c r="E1937" s="14" t="s">
        <v>451</v>
      </c>
      <c r="F1937" s="14" t="str">
        <f>"2170674508 "</f>
        <v xml:space="preserve">2170674508 </v>
      </c>
      <c r="G1937" s="14" t="str">
        <f>"DBC"</f>
        <v>DBC</v>
      </c>
      <c r="H1937" s="14" t="s">
        <v>20</v>
      </c>
      <c r="I1937" s="14" t="s">
        <v>149</v>
      </c>
      <c r="J1937" s="14" t="str">
        <f>""</f>
        <v/>
      </c>
      <c r="K1937" s="14" t="str">
        <f>"PFES1162673312_0001"</f>
        <v>PFES1162673312_0001</v>
      </c>
      <c r="L1937" s="14">
        <v>2</v>
      </c>
      <c r="M1937" s="14">
        <v>20</v>
      </c>
    </row>
    <row r="1938" spans="1:13">
      <c r="A1938" s="6">
        <v>43496</v>
      </c>
      <c r="B1938" s="7">
        <v>0.66180555555555554</v>
      </c>
      <c r="C1938" s="14" t="str">
        <f>"FES1162673312"</f>
        <v>FES1162673312</v>
      </c>
      <c r="D1938" s="14" t="s">
        <v>18</v>
      </c>
      <c r="E1938" s="14" t="s">
        <v>914</v>
      </c>
      <c r="F1938" s="14" t="str">
        <f>"2170671979 "</f>
        <v xml:space="preserve">2170671979 </v>
      </c>
      <c r="G1938" s="14" t="str">
        <f t="shared" ref="G1938:G1979" si="62">"ON1"</f>
        <v>ON1</v>
      </c>
      <c r="H1938" s="14" t="s">
        <v>20</v>
      </c>
      <c r="I1938" s="14" t="s">
        <v>341</v>
      </c>
      <c r="J1938" s="14" t="str">
        <f>""</f>
        <v/>
      </c>
      <c r="K1938" s="14" t="str">
        <f>"PFES1162673312_0002"</f>
        <v>PFES1162673312_0002</v>
      </c>
      <c r="L1938" s="14">
        <v>1</v>
      </c>
      <c r="M1938" s="14">
        <v>1</v>
      </c>
    </row>
    <row r="1939" spans="1:13">
      <c r="A1939" s="6">
        <v>43510</v>
      </c>
      <c r="B1939" s="7">
        <v>0.65208333333333335</v>
      </c>
      <c r="C1939" s="14" t="str">
        <f>"FES1162673289"</f>
        <v>FES1162673289</v>
      </c>
      <c r="D1939" s="14" t="s">
        <v>18</v>
      </c>
      <c r="E1939" s="14" t="s">
        <v>634</v>
      </c>
      <c r="F1939" s="14" t="str">
        <f>"2170674477 "</f>
        <v xml:space="preserve">2170674477 </v>
      </c>
      <c r="G1939" s="14" t="str">
        <f t="shared" si="62"/>
        <v>ON1</v>
      </c>
      <c r="H1939" s="14" t="s">
        <v>20</v>
      </c>
      <c r="I1939" s="14" t="s">
        <v>635</v>
      </c>
      <c r="J1939" s="14" t="str">
        <f>""</f>
        <v/>
      </c>
      <c r="K1939" s="14" t="str">
        <f>"PFES1162673289_0001"</f>
        <v>PFES1162673289_0001</v>
      </c>
      <c r="L1939" s="14">
        <v>1</v>
      </c>
      <c r="M1939" s="14">
        <v>2</v>
      </c>
    </row>
    <row r="1940" spans="1:13">
      <c r="A1940" s="6">
        <v>43510</v>
      </c>
      <c r="B1940" s="7">
        <v>0.65208333333333335</v>
      </c>
      <c r="C1940" s="14" t="str">
        <f>"FES1162673212"</f>
        <v>FES1162673212</v>
      </c>
      <c r="D1940" s="14" t="s">
        <v>18</v>
      </c>
      <c r="E1940" s="14" t="s">
        <v>305</v>
      </c>
      <c r="F1940" s="14" t="str">
        <f>"2170674398 "</f>
        <v xml:space="preserve">2170674398 </v>
      </c>
      <c r="G1940" s="14" t="str">
        <f t="shared" si="62"/>
        <v>ON1</v>
      </c>
      <c r="H1940" s="14" t="s">
        <v>20</v>
      </c>
      <c r="I1940" s="14" t="s">
        <v>197</v>
      </c>
      <c r="J1940" s="14" t="str">
        <f>""</f>
        <v/>
      </c>
      <c r="K1940" s="14" t="str">
        <f>"PFES1162673212_0001"</f>
        <v>PFES1162673212_0001</v>
      </c>
      <c r="L1940" s="14">
        <v>1</v>
      </c>
      <c r="M1940" s="14">
        <v>1</v>
      </c>
    </row>
    <row r="1941" spans="1:13">
      <c r="A1941" s="6">
        <v>43510</v>
      </c>
      <c r="B1941" s="7">
        <v>0.65138888888888891</v>
      </c>
      <c r="C1941" s="14" t="str">
        <f>"FES1162673275"</f>
        <v>FES1162673275</v>
      </c>
      <c r="D1941" s="14" t="s">
        <v>18</v>
      </c>
      <c r="E1941" s="14" t="s">
        <v>195</v>
      </c>
      <c r="F1941" s="14" t="str">
        <f>"2170674463 "</f>
        <v xml:space="preserve">2170674463 </v>
      </c>
      <c r="G1941" s="14" t="str">
        <f t="shared" si="62"/>
        <v>ON1</v>
      </c>
      <c r="H1941" s="14" t="s">
        <v>20</v>
      </c>
      <c r="I1941" s="14" t="s">
        <v>96</v>
      </c>
      <c r="J1941" s="14" t="str">
        <f>""</f>
        <v/>
      </c>
      <c r="K1941" s="14" t="str">
        <f>"PFES1162673275_0001"</f>
        <v>PFES1162673275_0001</v>
      </c>
      <c r="L1941" s="14">
        <v>1</v>
      </c>
      <c r="M1941" s="14">
        <v>7</v>
      </c>
    </row>
    <row r="1942" spans="1:13">
      <c r="A1942" s="6">
        <v>43510</v>
      </c>
      <c r="B1942" s="7">
        <v>0.65069444444444446</v>
      </c>
      <c r="C1942" s="14" t="str">
        <f>"FES1162673271"</f>
        <v>FES1162673271</v>
      </c>
      <c r="D1942" s="14" t="s">
        <v>18</v>
      </c>
      <c r="E1942" s="14" t="s">
        <v>350</v>
      </c>
      <c r="F1942" s="14" t="str">
        <f>"2170674013 "</f>
        <v xml:space="preserve">2170674013 </v>
      </c>
      <c r="G1942" s="14" t="str">
        <f t="shared" si="62"/>
        <v>ON1</v>
      </c>
      <c r="H1942" s="14" t="s">
        <v>20</v>
      </c>
      <c r="I1942" s="14" t="s">
        <v>351</v>
      </c>
      <c r="J1942" s="14" t="str">
        <f>""</f>
        <v/>
      </c>
      <c r="K1942" s="14" t="str">
        <f>"PFES1162673271_0001"</f>
        <v>PFES1162673271_0001</v>
      </c>
      <c r="L1942" s="14">
        <v>1</v>
      </c>
      <c r="M1942" s="14">
        <v>2</v>
      </c>
    </row>
    <row r="1943" spans="1:13">
      <c r="A1943" s="6">
        <v>43510</v>
      </c>
      <c r="B1943" s="7">
        <v>0.65069444444444446</v>
      </c>
      <c r="C1943" s="14" t="str">
        <f>"FES1162673313"</f>
        <v>FES1162673313</v>
      </c>
      <c r="D1943" s="14" t="s">
        <v>18</v>
      </c>
      <c r="E1943" s="14" t="s">
        <v>915</v>
      </c>
      <c r="F1943" s="14" t="str">
        <f>"2170673074 "</f>
        <v xml:space="preserve">2170673074 </v>
      </c>
      <c r="G1943" s="14" t="str">
        <f t="shared" si="62"/>
        <v>ON1</v>
      </c>
      <c r="H1943" s="14" t="s">
        <v>20</v>
      </c>
      <c r="I1943" s="14" t="s">
        <v>143</v>
      </c>
      <c r="J1943" s="14" t="str">
        <f>""</f>
        <v/>
      </c>
      <c r="K1943" s="14" t="str">
        <f>"PFES1162673313_0001"</f>
        <v>PFES1162673313_0001</v>
      </c>
      <c r="L1943" s="14">
        <v>1</v>
      </c>
      <c r="M1943" s="14">
        <v>1</v>
      </c>
    </row>
    <row r="1944" spans="1:13">
      <c r="A1944" s="6">
        <v>43510</v>
      </c>
      <c r="B1944" s="7">
        <v>0.6430555555555556</v>
      </c>
      <c r="C1944" s="14" t="str">
        <f>"FES1162673290"</f>
        <v>FES1162673290</v>
      </c>
      <c r="D1944" s="14" t="s">
        <v>18</v>
      </c>
      <c r="E1944" s="14" t="s">
        <v>916</v>
      </c>
      <c r="F1944" s="14" t="str">
        <f>"2170674478 "</f>
        <v xml:space="preserve">2170674478 </v>
      </c>
      <c r="G1944" s="14" t="str">
        <f t="shared" si="62"/>
        <v>ON1</v>
      </c>
      <c r="H1944" s="14" t="s">
        <v>20</v>
      </c>
      <c r="I1944" s="14" t="s">
        <v>228</v>
      </c>
      <c r="J1944" s="14" t="str">
        <f>""</f>
        <v/>
      </c>
      <c r="K1944" s="14" t="str">
        <f>"PFES1162673290_0001"</f>
        <v>PFES1162673290_0001</v>
      </c>
      <c r="L1944" s="14">
        <v>1</v>
      </c>
      <c r="M1944" s="14">
        <v>1</v>
      </c>
    </row>
    <row r="1945" spans="1:13">
      <c r="A1945" s="6">
        <v>43510</v>
      </c>
      <c r="B1945" s="7">
        <v>0.64236111111111105</v>
      </c>
      <c r="C1945" s="14" t="str">
        <f>"FES1162673307"</f>
        <v>FES1162673307</v>
      </c>
      <c r="D1945" s="14" t="s">
        <v>18</v>
      </c>
      <c r="E1945" s="14" t="s">
        <v>634</v>
      </c>
      <c r="F1945" s="14" t="str">
        <f>"2170674501 "</f>
        <v xml:space="preserve">2170674501 </v>
      </c>
      <c r="G1945" s="14" t="str">
        <f t="shared" si="62"/>
        <v>ON1</v>
      </c>
      <c r="H1945" s="14" t="s">
        <v>20</v>
      </c>
      <c r="I1945" s="14" t="s">
        <v>635</v>
      </c>
      <c r="J1945" s="14" t="str">
        <f>""</f>
        <v/>
      </c>
      <c r="K1945" s="14" t="str">
        <f>"PFES1162673307_0001"</f>
        <v>PFES1162673307_0001</v>
      </c>
      <c r="L1945" s="14">
        <v>1</v>
      </c>
      <c r="M1945" s="14">
        <v>1</v>
      </c>
    </row>
    <row r="1946" spans="1:13">
      <c r="A1946" s="6">
        <v>43510</v>
      </c>
      <c r="B1946" s="7">
        <v>0.64236111111111105</v>
      </c>
      <c r="C1946" s="14" t="str">
        <f>"FES1162673214"</f>
        <v>FES1162673214</v>
      </c>
      <c r="D1946" s="14" t="s">
        <v>18</v>
      </c>
      <c r="E1946" s="14" t="s">
        <v>305</v>
      </c>
      <c r="F1946" s="14" t="str">
        <f>"2170674400 "</f>
        <v xml:space="preserve">2170674400 </v>
      </c>
      <c r="G1946" s="14" t="str">
        <f t="shared" si="62"/>
        <v>ON1</v>
      </c>
      <c r="H1946" s="14" t="s">
        <v>20</v>
      </c>
      <c r="I1946" s="14" t="s">
        <v>197</v>
      </c>
      <c r="J1946" s="14" t="str">
        <f>""</f>
        <v/>
      </c>
      <c r="K1946" s="14" t="str">
        <f>"PFES1162673214_0001"</f>
        <v>PFES1162673214_0001</v>
      </c>
      <c r="L1946" s="14">
        <v>1</v>
      </c>
      <c r="M1946" s="14">
        <v>1</v>
      </c>
    </row>
    <row r="1947" spans="1:13">
      <c r="A1947" s="6">
        <v>43510</v>
      </c>
      <c r="B1947" s="7">
        <v>0.64166666666666672</v>
      </c>
      <c r="C1947" s="14" t="str">
        <f>"FES1162673211"</f>
        <v>FES1162673211</v>
      </c>
      <c r="D1947" s="14" t="s">
        <v>18</v>
      </c>
      <c r="E1947" s="14" t="s">
        <v>305</v>
      </c>
      <c r="F1947" s="14" t="str">
        <f>"2170674396 "</f>
        <v xml:space="preserve">2170674396 </v>
      </c>
      <c r="G1947" s="14" t="str">
        <f t="shared" si="62"/>
        <v>ON1</v>
      </c>
      <c r="H1947" s="14" t="s">
        <v>20</v>
      </c>
      <c r="I1947" s="14" t="s">
        <v>197</v>
      </c>
      <c r="J1947" s="14" t="str">
        <f>""</f>
        <v/>
      </c>
      <c r="K1947" s="14" t="str">
        <f>"PFES1162673211_0001"</f>
        <v>PFES1162673211_0001</v>
      </c>
      <c r="L1947" s="14">
        <v>1</v>
      </c>
      <c r="M1947" s="14">
        <v>1</v>
      </c>
    </row>
    <row r="1948" spans="1:13">
      <c r="A1948" s="6">
        <v>43510</v>
      </c>
      <c r="B1948" s="7">
        <v>0.64097222222222217</v>
      </c>
      <c r="C1948" s="14" t="str">
        <f>"FES1162673292"</f>
        <v>FES1162673292</v>
      </c>
      <c r="D1948" s="14" t="s">
        <v>18</v>
      </c>
      <c r="E1948" s="14" t="s">
        <v>917</v>
      </c>
      <c r="F1948" s="14" t="str">
        <f>"21706744482 "</f>
        <v xml:space="preserve">21706744482 </v>
      </c>
      <c r="G1948" s="14" t="str">
        <f t="shared" si="62"/>
        <v>ON1</v>
      </c>
      <c r="H1948" s="14" t="s">
        <v>20</v>
      </c>
      <c r="I1948" s="14" t="s">
        <v>918</v>
      </c>
      <c r="J1948" s="14" t="str">
        <f>""</f>
        <v/>
      </c>
      <c r="K1948" s="14" t="str">
        <f>"PFES1162673292_0001"</f>
        <v>PFES1162673292_0001</v>
      </c>
      <c r="L1948" s="14">
        <v>1</v>
      </c>
      <c r="M1948" s="14">
        <v>1</v>
      </c>
    </row>
    <row r="1949" spans="1:13">
      <c r="A1949" s="6">
        <v>43510</v>
      </c>
      <c r="B1949" s="7">
        <v>0.64097222222222217</v>
      </c>
      <c r="C1949" s="14" t="str">
        <f>"FES1162673281"</f>
        <v>FES1162673281</v>
      </c>
      <c r="D1949" s="14" t="s">
        <v>18</v>
      </c>
      <c r="E1949" s="14" t="s">
        <v>150</v>
      </c>
      <c r="F1949" s="14" t="str">
        <f>"2170674457 "</f>
        <v xml:space="preserve">2170674457 </v>
      </c>
      <c r="G1949" s="14" t="str">
        <f t="shared" si="62"/>
        <v>ON1</v>
      </c>
      <c r="H1949" s="14" t="s">
        <v>20</v>
      </c>
      <c r="I1949" s="14" t="s">
        <v>137</v>
      </c>
      <c r="J1949" s="14" t="str">
        <f>""</f>
        <v/>
      </c>
      <c r="K1949" s="14" t="str">
        <f>"PFES1162673281_0001"</f>
        <v>PFES1162673281_0001</v>
      </c>
      <c r="L1949" s="14">
        <v>1</v>
      </c>
      <c r="M1949" s="14">
        <v>2</v>
      </c>
    </row>
    <row r="1950" spans="1:13">
      <c r="A1950" s="6">
        <v>43510</v>
      </c>
      <c r="B1950" s="7">
        <v>0.64097222222222217</v>
      </c>
      <c r="C1950" s="14" t="str">
        <f>"FES1162673298"</f>
        <v>FES1162673298</v>
      </c>
      <c r="D1950" s="14" t="s">
        <v>18</v>
      </c>
      <c r="E1950" s="14" t="s">
        <v>94</v>
      </c>
      <c r="F1950" s="14" t="str">
        <f>"2170674492 "</f>
        <v xml:space="preserve">2170674492 </v>
      </c>
      <c r="G1950" s="14" t="str">
        <f t="shared" si="62"/>
        <v>ON1</v>
      </c>
      <c r="H1950" s="14" t="s">
        <v>20</v>
      </c>
      <c r="I1950" s="14" t="s">
        <v>29</v>
      </c>
      <c r="J1950" s="14" t="str">
        <f>""</f>
        <v/>
      </c>
      <c r="K1950" s="14" t="str">
        <f>"PFES1162673298_0001"</f>
        <v>PFES1162673298_0001</v>
      </c>
      <c r="L1950" s="14">
        <v>1</v>
      </c>
      <c r="M1950" s="14">
        <v>1</v>
      </c>
    </row>
    <row r="1951" spans="1:13">
      <c r="A1951" s="6">
        <v>43510</v>
      </c>
      <c r="B1951" s="7">
        <v>0.63888888888888895</v>
      </c>
      <c r="C1951" s="14" t="str">
        <f>"FES1162673267"</f>
        <v>FES1162673267</v>
      </c>
      <c r="D1951" s="14" t="s">
        <v>18</v>
      </c>
      <c r="E1951" s="14" t="s">
        <v>180</v>
      </c>
      <c r="F1951" s="14" t="str">
        <f>"2170674455 "</f>
        <v xml:space="preserve">2170674455 </v>
      </c>
      <c r="G1951" s="14" t="str">
        <f t="shared" si="62"/>
        <v>ON1</v>
      </c>
      <c r="H1951" s="14" t="s">
        <v>20</v>
      </c>
      <c r="I1951" s="14" t="s">
        <v>93</v>
      </c>
      <c r="J1951" s="14" t="str">
        <f>""</f>
        <v/>
      </c>
      <c r="K1951" s="14" t="str">
        <f>"PFES1162673267_0001"</f>
        <v>PFES1162673267_0001</v>
      </c>
      <c r="L1951" s="14">
        <v>1</v>
      </c>
      <c r="M1951" s="14">
        <v>2</v>
      </c>
    </row>
    <row r="1952" spans="1:13">
      <c r="A1952" s="6">
        <v>43510</v>
      </c>
      <c r="B1952" s="7">
        <v>0.6381944444444444</v>
      </c>
      <c r="C1952" s="14" t="str">
        <f>"FES1162673280"</f>
        <v>FES1162673280</v>
      </c>
      <c r="D1952" s="14" t="s">
        <v>18</v>
      </c>
      <c r="E1952" s="14" t="s">
        <v>776</v>
      </c>
      <c r="F1952" s="14" t="str">
        <f>"2170673766 "</f>
        <v xml:space="preserve">2170673766 </v>
      </c>
      <c r="G1952" s="14" t="str">
        <f t="shared" si="62"/>
        <v>ON1</v>
      </c>
      <c r="H1952" s="14" t="s">
        <v>20</v>
      </c>
      <c r="I1952" s="14" t="s">
        <v>103</v>
      </c>
      <c r="J1952" s="14"/>
      <c r="K1952" s="14" t="str">
        <f>"PFES1162673280_0001"</f>
        <v>PFES1162673280_0001</v>
      </c>
      <c r="L1952" s="14">
        <v>1</v>
      </c>
      <c r="M1952" s="14">
        <v>1</v>
      </c>
    </row>
    <row r="1953" spans="1:13">
      <c r="A1953" s="6">
        <v>43510</v>
      </c>
      <c r="B1953" s="7">
        <v>0.63750000000000007</v>
      </c>
      <c r="C1953" s="14" t="str">
        <f>"FES1162673240"</f>
        <v>FES1162673240</v>
      </c>
      <c r="D1953" s="14" t="s">
        <v>18</v>
      </c>
      <c r="E1953" s="14" t="s">
        <v>146</v>
      </c>
      <c r="F1953" s="14" t="str">
        <f>"2170674034 "</f>
        <v xml:space="preserve">2170674034 </v>
      </c>
      <c r="G1953" s="14" t="str">
        <f t="shared" si="62"/>
        <v>ON1</v>
      </c>
      <c r="H1953" s="14" t="s">
        <v>20</v>
      </c>
      <c r="I1953" s="14" t="s">
        <v>147</v>
      </c>
      <c r="J1953" s="14" t="str">
        <f>""</f>
        <v/>
      </c>
      <c r="K1953" s="14" t="str">
        <f>"PFES1162673240_0001"</f>
        <v>PFES1162673240_0001</v>
      </c>
      <c r="L1953" s="14">
        <v>1</v>
      </c>
      <c r="M1953" s="14">
        <v>3</v>
      </c>
    </row>
    <row r="1954" spans="1:13">
      <c r="A1954" s="6">
        <v>43510</v>
      </c>
      <c r="B1954" s="7">
        <v>0.63750000000000007</v>
      </c>
      <c r="C1954" s="14" t="str">
        <f>"FES1162673274"</f>
        <v>FES1162673274</v>
      </c>
      <c r="D1954" s="14" t="s">
        <v>18</v>
      </c>
      <c r="E1954" s="14" t="s">
        <v>209</v>
      </c>
      <c r="F1954" s="14" t="str">
        <f>"2170674450 "</f>
        <v xml:space="preserve">2170674450 </v>
      </c>
      <c r="G1954" s="14" t="str">
        <f t="shared" si="62"/>
        <v>ON1</v>
      </c>
      <c r="H1954" s="14" t="s">
        <v>20</v>
      </c>
      <c r="I1954" s="14" t="s">
        <v>210</v>
      </c>
      <c r="J1954" s="14" t="str">
        <f>""</f>
        <v/>
      </c>
      <c r="K1954" s="14" t="str">
        <f>"PFES1162673274_0001"</f>
        <v>PFES1162673274_0001</v>
      </c>
      <c r="L1954" s="14">
        <v>1</v>
      </c>
      <c r="M1954" s="14">
        <v>1</v>
      </c>
    </row>
    <row r="1955" spans="1:13">
      <c r="A1955" s="6">
        <v>43510</v>
      </c>
      <c r="B1955" s="7">
        <v>0.63680555555555551</v>
      </c>
      <c r="C1955" s="14" t="str">
        <f>"FES1162673306"</f>
        <v>FES1162673306</v>
      </c>
      <c r="D1955" s="14" t="s">
        <v>18</v>
      </c>
      <c r="E1955" s="14" t="s">
        <v>780</v>
      </c>
      <c r="F1955" s="14" t="str">
        <f>"2170674497 "</f>
        <v xml:space="preserve">2170674497 </v>
      </c>
      <c r="G1955" s="14" t="str">
        <f t="shared" si="62"/>
        <v>ON1</v>
      </c>
      <c r="H1955" s="14" t="s">
        <v>20</v>
      </c>
      <c r="I1955" s="14" t="s">
        <v>781</v>
      </c>
      <c r="J1955" s="14" t="str">
        <f>""</f>
        <v/>
      </c>
      <c r="K1955" s="14" t="str">
        <f>"PFES1162673306_0001"</f>
        <v>PFES1162673306_0001</v>
      </c>
      <c r="L1955" s="14">
        <v>1</v>
      </c>
      <c r="M1955" s="14">
        <v>1</v>
      </c>
    </row>
    <row r="1956" spans="1:13">
      <c r="A1956" s="6">
        <v>43510</v>
      </c>
      <c r="B1956" s="7">
        <v>0.63680555555555551</v>
      </c>
      <c r="C1956" s="14" t="str">
        <f>"FES1162673300"</f>
        <v>FES1162673300</v>
      </c>
      <c r="D1956" s="14" t="s">
        <v>18</v>
      </c>
      <c r="E1956" s="14" t="s">
        <v>870</v>
      </c>
      <c r="F1956" s="14" t="str">
        <f>"2170674494 "</f>
        <v xml:space="preserve">2170674494 </v>
      </c>
      <c r="G1956" s="14" t="str">
        <f t="shared" si="62"/>
        <v>ON1</v>
      </c>
      <c r="H1956" s="14" t="s">
        <v>20</v>
      </c>
      <c r="I1956" s="14" t="s">
        <v>89</v>
      </c>
      <c r="J1956" s="14" t="str">
        <f>""</f>
        <v/>
      </c>
      <c r="K1956" s="14" t="str">
        <f>"PFES1162673300_0001"</f>
        <v>PFES1162673300_0001</v>
      </c>
      <c r="L1956" s="14">
        <v>1</v>
      </c>
      <c r="M1956" s="14">
        <v>9</v>
      </c>
    </row>
    <row r="1957" spans="1:13">
      <c r="A1957" s="6">
        <v>43510</v>
      </c>
      <c r="B1957" s="7">
        <v>0.63611111111111118</v>
      </c>
      <c r="C1957" s="14" t="str">
        <f>"FES1162673282"</f>
        <v>FES1162673282</v>
      </c>
      <c r="D1957" s="14" t="s">
        <v>18</v>
      </c>
      <c r="E1957" s="14" t="s">
        <v>672</v>
      </c>
      <c r="F1957" s="14" t="str">
        <f>"2170674470 "</f>
        <v xml:space="preserve">2170674470 </v>
      </c>
      <c r="G1957" s="14" t="str">
        <f t="shared" si="62"/>
        <v>ON1</v>
      </c>
      <c r="H1957" s="14" t="s">
        <v>20</v>
      </c>
      <c r="I1957" s="14" t="s">
        <v>31</v>
      </c>
      <c r="J1957" s="14" t="str">
        <f>""</f>
        <v/>
      </c>
      <c r="K1957" s="14" t="str">
        <f>"PFES1162673282_0001"</f>
        <v>PFES1162673282_0001</v>
      </c>
      <c r="L1957" s="14">
        <v>1</v>
      </c>
      <c r="M1957" s="14">
        <v>3</v>
      </c>
    </row>
    <row r="1958" spans="1:13">
      <c r="A1958" s="6">
        <v>43510</v>
      </c>
      <c r="B1958" s="7">
        <v>0.63611111111111118</v>
      </c>
      <c r="C1958" s="14" t="str">
        <f>"FES1162673297"</f>
        <v>FES1162673297</v>
      </c>
      <c r="D1958" s="14" t="s">
        <v>18</v>
      </c>
      <c r="E1958" s="14" t="s">
        <v>919</v>
      </c>
      <c r="F1958" s="14" t="str">
        <f>"2170674489 "</f>
        <v xml:space="preserve">2170674489 </v>
      </c>
      <c r="G1958" s="14" t="str">
        <f t="shared" si="62"/>
        <v>ON1</v>
      </c>
      <c r="H1958" s="14" t="s">
        <v>20</v>
      </c>
      <c r="I1958" s="14" t="s">
        <v>163</v>
      </c>
      <c r="J1958" s="14" t="str">
        <f>""</f>
        <v/>
      </c>
      <c r="K1958" s="14" t="str">
        <f>"PFES1162673297_0001"</f>
        <v>PFES1162673297_0001</v>
      </c>
      <c r="L1958" s="14">
        <v>1</v>
      </c>
      <c r="M1958" s="14">
        <v>1</v>
      </c>
    </row>
    <row r="1959" spans="1:13">
      <c r="A1959" s="6">
        <v>43510</v>
      </c>
      <c r="B1959" s="7">
        <v>0.63611111111111118</v>
      </c>
      <c r="C1959" s="14" t="str">
        <f>"FES1162673303"</f>
        <v>FES1162673303</v>
      </c>
      <c r="D1959" s="14" t="s">
        <v>18</v>
      </c>
      <c r="E1959" s="14" t="s">
        <v>339</v>
      </c>
      <c r="F1959" s="14" t="str">
        <f>"2170674053 "</f>
        <v xml:space="preserve">2170674053 </v>
      </c>
      <c r="G1959" s="14" t="str">
        <f t="shared" si="62"/>
        <v>ON1</v>
      </c>
      <c r="H1959" s="14" t="s">
        <v>20</v>
      </c>
      <c r="I1959" s="14" t="s">
        <v>37</v>
      </c>
      <c r="J1959" s="14" t="str">
        <f>""</f>
        <v/>
      </c>
      <c r="K1959" s="14" t="str">
        <f>"PFES1162673303_0001"</f>
        <v>PFES1162673303_0001</v>
      </c>
      <c r="L1959" s="14">
        <v>1</v>
      </c>
      <c r="M1959" s="14">
        <v>1</v>
      </c>
    </row>
    <row r="1960" spans="1:13">
      <c r="A1960" s="6">
        <v>43510</v>
      </c>
      <c r="B1960" s="7">
        <v>0.63541666666666663</v>
      </c>
      <c r="C1960" s="14" t="str">
        <f>"FES1162673196"</f>
        <v>FES1162673196</v>
      </c>
      <c r="D1960" s="14" t="s">
        <v>18</v>
      </c>
      <c r="E1960" s="14" t="s">
        <v>920</v>
      </c>
      <c r="F1960" s="14" t="str">
        <f>"2170674375 "</f>
        <v xml:space="preserve">2170674375 </v>
      </c>
      <c r="G1960" s="14" t="str">
        <f t="shared" si="62"/>
        <v>ON1</v>
      </c>
      <c r="H1960" s="14" t="s">
        <v>20</v>
      </c>
      <c r="I1960" s="14" t="s">
        <v>921</v>
      </c>
      <c r="J1960" s="14" t="str">
        <f>""</f>
        <v/>
      </c>
      <c r="K1960" s="14" t="str">
        <f>"PFES1162673196_0001"</f>
        <v>PFES1162673196_0001</v>
      </c>
      <c r="L1960" s="14">
        <v>1</v>
      </c>
      <c r="M1960" s="14">
        <v>14</v>
      </c>
    </row>
    <row r="1961" spans="1:13">
      <c r="A1961" s="6">
        <v>43510</v>
      </c>
      <c r="B1961" s="7">
        <v>0.63541666666666663</v>
      </c>
      <c r="C1961" s="14" t="str">
        <f>"FES1162673299"</f>
        <v>FES1162673299</v>
      </c>
      <c r="D1961" s="14" t="s">
        <v>18</v>
      </c>
      <c r="E1961" s="14" t="s">
        <v>922</v>
      </c>
      <c r="F1961" s="14" t="str">
        <f>"2170674493 "</f>
        <v xml:space="preserve">2170674493 </v>
      </c>
      <c r="G1961" s="14" t="str">
        <f t="shared" si="62"/>
        <v>ON1</v>
      </c>
      <c r="H1961" s="14" t="s">
        <v>20</v>
      </c>
      <c r="I1961" s="14" t="s">
        <v>867</v>
      </c>
      <c r="J1961" s="14" t="str">
        <f>""</f>
        <v/>
      </c>
      <c r="K1961" s="14" t="str">
        <f>"PFES1162673299_0001"</f>
        <v>PFES1162673299_0001</v>
      </c>
      <c r="L1961" s="14">
        <v>1</v>
      </c>
      <c r="M1961" s="14">
        <v>1</v>
      </c>
    </row>
    <row r="1962" spans="1:13">
      <c r="A1962" s="6">
        <v>43510</v>
      </c>
      <c r="B1962" s="7">
        <v>0.63402777777777775</v>
      </c>
      <c r="C1962" s="14" t="str">
        <f>"FES1162673072"</f>
        <v>FES1162673072</v>
      </c>
      <c r="D1962" s="14" t="s">
        <v>18</v>
      </c>
      <c r="E1962" s="14" t="s">
        <v>47</v>
      </c>
      <c r="F1962" s="14" t="str">
        <f>"2170667064 "</f>
        <v xml:space="preserve">2170667064 </v>
      </c>
      <c r="G1962" s="14" t="str">
        <f t="shared" si="62"/>
        <v>ON1</v>
      </c>
      <c r="H1962" s="14" t="s">
        <v>20</v>
      </c>
      <c r="I1962" s="14" t="s">
        <v>48</v>
      </c>
      <c r="J1962" s="14" t="str">
        <f>""</f>
        <v/>
      </c>
      <c r="K1962" s="14" t="str">
        <f>"PFES1162673072_0001"</f>
        <v>PFES1162673072_0001</v>
      </c>
      <c r="L1962" s="14">
        <v>1</v>
      </c>
      <c r="M1962" s="14">
        <v>4</v>
      </c>
    </row>
    <row r="1963" spans="1:13">
      <c r="A1963" s="6">
        <v>43510</v>
      </c>
      <c r="B1963" s="7">
        <v>0.63263888888888886</v>
      </c>
      <c r="C1963" s="14" t="str">
        <f>"FES1162673118"</f>
        <v>FES1162673118</v>
      </c>
      <c r="D1963" s="14" t="s">
        <v>18</v>
      </c>
      <c r="E1963" s="14" t="s">
        <v>185</v>
      </c>
      <c r="F1963" s="14" t="str">
        <f>"2170672490 "</f>
        <v xml:space="preserve">2170672490 </v>
      </c>
      <c r="G1963" s="14" t="str">
        <f t="shared" si="62"/>
        <v>ON1</v>
      </c>
      <c r="H1963" s="14" t="s">
        <v>20</v>
      </c>
      <c r="I1963" s="14" t="s">
        <v>93</v>
      </c>
      <c r="J1963" s="14" t="str">
        <f>""</f>
        <v/>
      </c>
      <c r="K1963" s="14" t="str">
        <f>"PFES1162673118_0001"</f>
        <v>PFES1162673118_0001</v>
      </c>
      <c r="L1963" s="14">
        <v>1</v>
      </c>
      <c r="M1963" s="14">
        <v>3</v>
      </c>
    </row>
    <row r="1964" spans="1:13">
      <c r="A1964" s="6">
        <v>43510</v>
      </c>
      <c r="B1964" s="7">
        <v>0.63194444444444442</v>
      </c>
      <c r="C1964" s="14" t="str">
        <f>"FES1162673094"</f>
        <v>FES1162673094</v>
      </c>
      <c r="D1964" s="14" t="s">
        <v>18</v>
      </c>
      <c r="E1964" s="14" t="s">
        <v>28</v>
      </c>
      <c r="F1964" s="14" t="str">
        <f>"2170671860 "</f>
        <v xml:space="preserve">2170671860 </v>
      </c>
      <c r="G1964" s="14" t="str">
        <f t="shared" si="62"/>
        <v>ON1</v>
      </c>
      <c r="H1964" s="14" t="s">
        <v>20</v>
      </c>
      <c r="I1964" s="14" t="s">
        <v>29</v>
      </c>
      <c r="J1964" s="14" t="str">
        <f>""</f>
        <v/>
      </c>
      <c r="K1964" s="14" t="str">
        <f>"PFES1162673094_0001"</f>
        <v>PFES1162673094_0001</v>
      </c>
      <c r="L1964" s="14">
        <v>1</v>
      </c>
      <c r="M1964" s="14">
        <v>5</v>
      </c>
    </row>
    <row r="1965" spans="1:13">
      <c r="A1965" s="6">
        <v>43510</v>
      </c>
      <c r="B1965" s="7">
        <v>0.63124999999999998</v>
      </c>
      <c r="C1965" s="14" t="str">
        <f>"FES1162673016"</f>
        <v>FES1162673016</v>
      </c>
      <c r="D1965" s="14" t="s">
        <v>18</v>
      </c>
      <c r="E1965" s="14" t="s">
        <v>709</v>
      </c>
      <c r="F1965" s="14" t="str">
        <f>"2170674278 "</f>
        <v xml:space="preserve">2170674278 </v>
      </c>
      <c r="G1965" s="14" t="str">
        <f t="shared" si="62"/>
        <v>ON1</v>
      </c>
      <c r="H1965" s="14" t="s">
        <v>20</v>
      </c>
      <c r="I1965" s="14" t="s">
        <v>43</v>
      </c>
      <c r="J1965" s="14" t="str">
        <f>""</f>
        <v/>
      </c>
      <c r="K1965" s="14" t="str">
        <f>"PFES1162673016_0001"</f>
        <v>PFES1162673016_0001</v>
      </c>
      <c r="L1965" s="14">
        <v>1</v>
      </c>
      <c r="M1965" s="14">
        <v>3</v>
      </c>
    </row>
    <row r="1966" spans="1:13">
      <c r="A1966" s="6">
        <v>43510</v>
      </c>
      <c r="B1966" s="7">
        <v>0.62986111111111109</v>
      </c>
      <c r="C1966" s="14" t="str">
        <f>"FES1162673184"</f>
        <v>FES1162673184</v>
      </c>
      <c r="D1966" s="14" t="s">
        <v>18</v>
      </c>
      <c r="E1966" s="14" t="s">
        <v>321</v>
      </c>
      <c r="F1966" s="14" t="str">
        <f>"2170673016 "</f>
        <v xml:space="preserve">2170673016 </v>
      </c>
      <c r="G1966" s="14" t="str">
        <f t="shared" si="62"/>
        <v>ON1</v>
      </c>
      <c r="H1966" s="14" t="s">
        <v>20</v>
      </c>
      <c r="I1966" s="14" t="s">
        <v>322</v>
      </c>
      <c r="J1966" s="14" t="str">
        <f>""</f>
        <v/>
      </c>
      <c r="K1966" s="14" t="str">
        <f>"PFES1162673184_0001"</f>
        <v>PFES1162673184_0001</v>
      </c>
      <c r="L1966" s="14">
        <v>1</v>
      </c>
      <c r="M1966" s="14">
        <v>2</v>
      </c>
    </row>
    <row r="1967" spans="1:13">
      <c r="A1967" s="6">
        <v>43510</v>
      </c>
      <c r="B1967" s="7">
        <v>0.62916666666666665</v>
      </c>
      <c r="C1967" s="14" t="str">
        <f>"FES1162673136"</f>
        <v>FES1162673136</v>
      </c>
      <c r="D1967" s="14" t="s">
        <v>18</v>
      </c>
      <c r="E1967" s="14" t="s">
        <v>73</v>
      </c>
      <c r="F1967" s="14" t="str">
        <f>"2170672719 "</f>
        <v xml:space="preserve">2170672719 </v>
      </c>
      <c r="G1967" s="14" t="str">
        <f t="shared" si="62"/>
        <v>ON1</v>
      </c>
      <c r="H1967" s="14" t="s">
        <v>20</v>
      </c>
      <c r="I1967" s="14" t="s">
        <v>61</v>
      </c>
      <c r="J1967" s="14" t="str">
        <f>""</f>
        <v/>
      </c>
      <c r="K1967" s="14" t="str">
        <f>"PFES1162673136_0001"</f>
        <v>PFES1162673136_0001</v>
      </c>
      <c r="L1967" s="14">
        <v>1</v>
      </c>
      <c r="M1967" s="14">
        <v>2</v>
      </c>
    </row>
    <row r="1968" spans="1:13">
      <c r="A1968" s="6">
        <v>43510</v>
      </c>
      <c r="B1968" s="7">
        <v>0.62916666666666665</v>
      </c>
      <c r="C1968" s="14" t="str">
        <f>"FES1162673305"</f>
        <v>FES1162673305</v>
      </c>
      <c r="D1968" s="14" t="s">
        <v>18</v>
      </c>
      <c r="E1968" s="14" t="s">
        <v>530</v>
      </c>
      <c r="F1968" s="14" t="str">
        <f>"2170674376 "</f>
        <v xml:space="preserve">2170674376 </v>
      </c>
      <c r="G1968" s="14" t="str">
        <f t="shared" si="62"/>
        <v>ON1</v>
      </c>
      <c r="H1968" s="14" t="s">
        <v>20</v>
      </c>
      <c r="I1968" s="14" t="s">
        <v>531</v>
      </c>
      <c r="J1968" s="14" t="str">
        <f>""</f>
        <v/>
      </c>
      <c r="K1968" s="14" t="str">
        <f>"PFES1162673305_0001"</f>
        <v>PFES1162673305_0001</v>
      </c>
      <c r="L1968" s="14">
        <v>1</v>
      </c>
      <c r="M1968" s="14">
        <v>1</v>
      </c>
    </row>
    <row r="1969" spans="1:13">
      <c r="A1969" s="6">
        <v>43510</v>
      </c>
      <c r="B1969" s="7">
        <v>0.62847222222222221</v>
      </c>
      <c r="C1969" s="14" t="str">
        <f>"FES1162673257"</f>
        <v>FES1162673257</v>
      </c>
      <c r="D1969" s="14" t="s">
        <v>18</v>
      </c>
      <c r="E1969" s="14" t="s">
        <v>234</v>
      </c>
      <c r="F1969" s="14" t="str">
        <f>"2170674426 "</f>
        <v xml:space="preserve">2170674426 </v>
      </c>
      <c r="G1969" s="14" t="str">
        <f t="shared" si="62"/>
        <v>ON1</v>
      </c>
      <c r="H1969" s="14" t="s">
        <v>20</v>
      </c>
      <c r="I1969" s="14" t="s">
        <v>233</v>
      </c>
      <c r="J1969" s="14" t="str">
        <f>""</f>
        <v/>
      </c>
      <c r="K1969" s="14" t="str">
        <f>"PFES1162673257_0001"</f>
        <v>PFES1162673257_0001</v>
      </c>
      <c r="L1969" s="14">
        <v>1</v>
      </c>
      <c r="M1969" s="14">
        <v>1</v>
      </c>
    </row>
    <row r="1970" spans="1:13">
      <c r="A1970" s="6">
        <v>43510</v>
      </c>
      <c r="B1970" s="7">
        <v>0.62847222222222221</v>
      </c>
      <c r="C1970" s="14" t="str">
        <f>"FES1162673264"</f>
        <v>FES1162673264</v>
      </c>
      <c r="D1970" s="14" t="s">
        <v>18</v>
      </c>
      <c r="E1970" s="14" t="s">
        <v>923</v>
      </c>
      <c r="F1970" s="14" t="str">
        <f>"2170674452 "</f>
        <v xml:space="preserve">2170674452 </v>
      </c>
      <c r="G1970" s="14" t="str">
        <f t="shared" si="62"/>
        <v>ON1</v>
      </c>
      <c r="H1970" s="14" t="s">
        <v>20</v>
      </c>
      <c r="I1970" s="14" t="s">
        <v>231</v>
      </c>
      <c r="J1970" s="14" t="str">
        <f>""</f>
        <v/>
      </c>
      <c r="K1970" s="14" t="str">
        <f>"PFES1162673264_0001"</f>
        <v>PFES1162673264_0001</v>
      </c>
      <c r="L1970" s="14">
        <v>1</v>
      </c>
      <c r="M1970" s="14">
        <v>1</v>
      </c>
    </row>
    <row r="1971" spans="1:13">
      <c r="A1971" s="6">
        <v>43510</v>
      </c>
      <c r="B1971" s="7">
        <v>0.62777777777777777</v>
      </c>
      <c r="C1971" s="14" t="str">
        <f>"FES1162673197"</f>
        <v>FES1162673197</v>
      </c>
      <c r="D1971" s="14" t="s">
        <v>18</v>
      </c>
      <c r="E1971" s="14" t="s">
        <v>924</v>
      </c>
      <c r="F1971" s="14" t="str">
        <f>"2170674377 "</f>
        <v xml:space="preserve">2170674377 </v>
      </c>
      <c r="G1971" s="14" t="str">
        <f t="shared" si="62"/>
        <v>ON1</v>
      </c>
      <c r="H1971" s="14" t="s">
        <v>20</v>
      </c>
      <c r="I1971" s="14" t="s">
        <v>441</v>
      </c>
      <c r="J1971" s="14" t="str">
        <f>""</f>
        <v/>
      </c>
      <c r="K1971" s="14" t="str">
        <f>"PFES1162673197_0001"</f>
        <v>PFES1162673197_0001</v>
      </c>
      <c r="L1971" s="14">
        <v>1</v>
      </c>
      <c r="M1971" s="14">
        <v>1</v>
      </c>
    </row>
    <row r="1972" spans="1:13">
      <c r="A1972" s="6">
        <v>43510</v>
      </c>
      <c r="B1972" s="7">
        <v>0.62777777777777777</v>
      </c>
      <c r="C1972" s="14" t="str">
        <f>"FES1162673263"</f>
        <v>FES1162673263</v>
      </c>
      <c r="D1972" s="14" t="s">
        <v>18</v>
      </c>
      <c r="E1972" s="14" t="s">
        <v>214</v>
      </c>
      <c r="F1972" s="14" t="str">
        <f>"2170674449 "</f>
        <v xml:space="preserve">2170674449 </v>
      </c>
      <c r="G1972" s="14" t="str">
        <f t="shared" si="62"/>
        <v>ON1</v>
      </c>
      <c r="H1972" s="14" t="s">
        <v>20</v>
      </c>
      <c r="I1972" s="14" t="s">
        <v>215</v>
      </c>
      <c r="J1972" s="14" t="str">
        <f>""</f>
        <v/>
      </c>
      <c r="K1972" s="14" t="str">
        <f>"PFES1162673263_0001"</f>
        <v>PFES1162673263_0001</v>
      </c>
      <c r="L1972" s="14">
        <v>1</v>
      </c>
      <c r="M1972" s="14">
        <v>1</v>
      </c>
    </row>
    <row r="1973" spans="1:13">
      <c r="A1973" s="6">
        <v>43510</v>
      </c>
      <c r="B1973" s="7">
        <v>0.62708333333333333</v>
      </c>
      <c r="C1973" s="14" t="str">
        <f>"FES1162673200"</f>
        <v>FES1162673200</v>
      </c>
      <c r="D1973" s="14" t="s">
        <v>18</v>
      </c>
      <c r="E1973" s="14" t="s">
        <v>432</v>
      </c>
      <c r="F1973" s="14" t="str">
        <f>"2170674261 "</f>
        <v xml:space="preserve">2170674261 </v>
      </c>
      <c r="G1973" s="14" t="str">
        <f t="shared" si="62"/>
        <v>ON1</v>
      </c>
      <c r="H1973" s="14" t="s">
        <v>20</v>
      </c>
      <c r="I1973" s="14" t="s">
        <v>433</v>
      </c>
      <c r="J1973" s="14" t="str">
        <f>""</f>
        <v/>
      </c>
      <c r="K1973" s="14" t="str">
        <f>"PFES1162673200_0001"</f>
        <v>PFES1162673200_0001</v>
      </c>
      <c r="L1973" s="14">
        <v>1</v>
      </c>
      <c r="M1973" s="14">
        <v>1</v>
      </c>
    </row>
    <row r="1974" spans="1:13">
      <c r="A1974" s="6">
        <v>43510</v>
      </c>
      <c r="B1974" s="7">
        <v>0.62708333333333333</v>
      </c>
      <c r="C1974" s="14" t="str">
        <f>"FES1162673029"</f>
        <v>FES1162673029</v>
      </c>
      <c r="D1974" s="14" t="s">
        <v>18</v>
      </c>
      <c r="E1974" s="14" t="s">
        <v>92</v>
      </c>
      <c r="F1974" s="14" t="str">
        <f>"2170674297 "</f>
        <v xml:space="preserve">2170674297 </v>
      </c>
      <c r="G1974" s="14" t="str">
        <f t="shared" si="62"/>
        <v>ON1</v>
      </c>
      <c r="H1974" s="14" t="s">
        <v>20</v>
      </c>
      <c r="I1974" s="14" t="s">
        <v>93</v>
      </c>
      <c r="J1974" s="14" t="str">
        <f>""</f>
        <v/>
      </c>
      <c r="K1974" s="14" t="str">
        <f>"PFES1162673029_0001"</f>
        <v>PFES1162673029_0001</v>
      </c>
      <c r="L1974" s="14">
        <v>1</v>
      </c>
      <c r="M1974" s="14">
        <v>6</v>
      </c>
    </row>
    <row r="1975" spans="1:13">
      <c r="A1975" s="6">
        <v>43510</v>
      </c>
      <c r="B1975" s="7">
        <v>0.62638888888888888</v>
      </c>
      <c r="C1975" s="14" t="str">
        <f>"FES1162673260"</f>
        <v>FES1162673260</v>
      </c>
      <c r="D1975" s="14" t="s">
        <v>18</v>
      </c>
      <c r="E1975" s="14" t="s">
        <v>522</v>
      </c>
      <c r="F1975" s="14" t="str">
        <f>"21700673424 "</f>
        <v xml:space="preserve">21700673424 </v>
      </c>
      <c r="G1975" s="14" t="str">
        <f t="shared" si="62"/>
        <v>ON1</v>
      </c>
      <c r="H1975" s="14" t="s">
        <v>20</v>
      </c>
      <c r="I1975" s="14" t="s">
        <v>388</v>
      </c>
      <c r="J1975" s="14" t="str">
        <f>""</f>
        <v/>
      </c>
      <c r="K1975" s="14" t="str">
        <f>"PFES1162673260_0001"</f>
        <v>PFES1162673260_0001</v>
      </c>
      <c r="L1975" s="14">
        <v>1</v>
      </c>
      <c r="M1975" s="14">
        <v>8</v>
      </c>
    </row>
    <row r="1976" spans="1:13">
      <c r="A1976" s="6">
        <v>43510</v>
      </c>
      <c r="B1976" s="7">
        <v>0.62569444444444444</v>
      </c>
      <c r="C1976" s="14" t="str">
        <f>"FES1162673239"</f>
        <v>FES1162673239</v>
      </c>
      <c r="D1976" s="14" t="s">
        <v>18</v>
      </c>
      <c r="E1976" s="14" t="s">
        <v>882</v>
      </c>
      <c r="F1976" s="14" t="str">
        <f>"2170673239 "</f>
        <v xml:space="preserve">2170673239 </v>
      </c>
      <c r="G1976" s="14" t="str">
        <f t="shared" si="62"/>
        <v>ON1</v>
      </c>
      <c r="H1976" s="14" t="s">
        <v>20</v>
      </c>
      <c r="I1976" s="14" t="s">
        <v>883</v>
      </c>
      <c r="J1976" s="14" t="str">
        <f>""</f>
        <v/>
      </c>
      <c r="K1976" s="14" t="str">
        <f>"PFES1162673239_0001"</f>
        <v>PFES1162673239_0001</v>
      </c>
      <c r="L1976" s="14">
        <v>1</v>
      </c>
      <c r="M1976" s="14">
        <v>3</v>
      </c>
    </row>
    <row r="1977" spans="1:13">
      <c r="A1977" s="6">
        <v>43510</v>
      </c>
      <c r="B1977" s="7">
        <v>0.62569444444444444</v>
      </c>
      <c r="C1977" s="14" t="str">
        <f>"FES1162673237"</f>
        <v>FES1162673237</v>
      </c>
      <c r="D1977" s="14" t="s">
        <v>18</v>
      </c>
      <c r="E1977" s="14" t="s">
        <v>746</v>
      </c>
      <c r="F1977" s="14" t="str">
        <f>"2170673365 "</f>
        <v xml:space="preserve">2170673365 </v>
      </c>
      <c r="G1977" s="14" t="str">
        <f t="shared" si="62"/>
        <v>ON1</v>
      </c>
      <c r="H1977" s="14" t="s">
        <v>20</v>
      </c>
      <c r="I1977" s="14" t="s">
        <v>747</v>
      </c>
      <c r="J1977" s="14" t="str">
        <f>""</f>
        <v/>
      </c>
      <c r="K1977" s="14" t="str">
        <f>"PFES1162673237_0001"</f>
        <v>PFES1162673237_0001</v>
      </c>
      <c r="L1977" s="14">
        <v>1</v>
      </c>
      <c r="M1977" s="14">
        <v>3</v>
      </c>
    </row>
    <row r="1978" spans="1:13">
      <c r="A1978" s="6">
        <v>43510</v>
      </c>
      <c r="B1978" s="7">
        <v>0.625</v>
      </c>
      <c r="C1978" s="14" t="str">
        <f>"FES1162673291"</f>
        <v>FES1162673291</v>
      </c>
      <c r="D1978" s="14" t="s">
        <v>18</v>
      </c>
      <c r="E1978" s="14" t="s">
        <v>30</v>
      </c>
      <c r="F1978" s="14" t="str">
        <f>"2170674480 "</f>
        <v xml:space="preserve">2170674480 </v>
      </c>
      <c r="G1978" s="14" t="str">
        <f t="shared" si="62"/>
        <v>ON1</v>
      </c>
      <c r="H1978" s="14" t="s">
        <v>20</v>
      </c>
      <c r="I1978" s="14" t="s">
        <v>31</v>
      </c>
      <c r="J1978" s="14" t="str">
        <f>""</f>
        <v/>
      </c>
      <c r="K1978" s="14" t="str">
        <f>"PFES1162673291_0001"</f>
        <v>PFES1162673291_0001</v>
      </c>
      <c r="L1978" s="14">
        <v>1</v>
      </c>
      <c r="M1978" s="14">
        <v>1</v>
      </c>
    </row>
    <row r="1979" spans="1:13">
      <c r="A1979" s="6">
        <v>43510</v>
      </c>
      <c r="B1979" s="7">
        <v>0.625</v>
      </c>
      <c r="C1979" s="14" t="str">
        <f>"FES1162673228"</f>
        <v>FES1162673228</v>
      </c>
      <c r="D1979" s="14" t="s">
        <v>18</v>
      </c>
      <c r="E1979" s="14" t="s">
        <v>851</v>
      </c>
      <c r="F1979" s="14" t="str">
        <f>"2170674417 "</f>
        <v xml:space="preserve">2170674417 </v>
      </c>
      <c r="G1979" s="14" t="str">
        <f t="shared" si="62"/>
        <v>ON1</v>
      </c>
      <c r="H1979" s="14" t="s">
        <v>20</v>
      </c>
      <c r="I1979" s="14" t="s">
        <v>33</v>
      </c>
      <c r="J1979" s="14" t="str">
        <f>""</f>
        <v/>
      </c>
      <c r="K1979" s="14" t="str">
        <f>"PFES1162673228_0001"</f>
        <v>PFES1162673228_0001</v>
      </c>
      <c r="L1979" s="14">
        <v>1</v>
      </c>
      <c r="M1979" s="14">
        <v>1</v>
      </c>
    </row>
    <row r="1980" spans="1:13">
      <c r="A1980" s="6">
        <v>43510</v>
      </c>
      <c r="B1980" s="7">
        <v>0.62430555555555556</v>
      </c>
      <c r="C1980" s="14" t="str">
        <f>"FES1162673173"</f>
        <v>FES1162673173</v>
      </c>
      <c r="D1980" s="14" t="s">
        <v>18</v>
      </c>
      <c r="E1980" s="14" t="s">
        <v>382</v>
      </c>
      <c r="F1980" s="14" t="str">
        <f>"2170674340 "</f>
        <v xml:space="preserve">2170674340 </v>
      </c>
      <c r="G1980" s="14" t="str">
        <f>"DBC"</f>
        <v>DBC</v>
      </c>
      <c r="H1980" s="14" t="s">
        <v>20</v>
      </c>
      <c r="I1980" s="14" t="s">
        <v>383</v>
      </c>
      <c r="J1980" s="14" t="str">
        <f>""</f>
        <v/>
      </c>
      <c r="K1980" s="14" t="str">
        <f>"PFES1162673173_0001"</f>
        <v>PFES1162673173_0001</v>
      </c>
      <c r="L1980" s="14">
        <v>1</v>
      </c>
      <c r="M1980" s="14">
        <v>24</v>
      </c>
    </row>
    <row r="1981" spans="1:13">
      <c r="A1981" s="6">
        <v>43510</v>
      </c>
      <c r="B1981" s="7">
        <v>0.62430555555555556</v>
      </c>
      <c r="C1981" s="14" t="str">
        <f>"FES1162673194"</f>
        <v>FES1162673194</v>
      </c>
      <c r="D1981" s="14" t="s">
        <v>18</v>
      </c>
      <c r="E1981" s="14" t="s">
        <v>462</v>
      </c>
      <c r="F1981" s="14" t="str">
        <f>"2170674199 "</f>
        <v xml:space="preserve">2170674199 </v>
      </c>
      <c r="G1981" s="14" t="str">
        <f t="shared" ref="G1981:G2044" si="63">"ON1"</f>
        <v>ON1</v>
      </c>
      <c r="H1981" s="14" t="s">
        <v>20</v>
      </c>
      <c r="I1981" s="14" t="s">
        <v>463</v>
      </c>
      <c r="J1981" s="14" t="str">
        <f>""</f>
        <v/>
      </c>
      <c r="K1981" s="14" t="str">
        <f>"PFES1162673194_0001"</f>
        <v>PFES1162673194_0001</v>
      </c>
      <c r="L1981" s="14">
        <v>1</v>
      </c>
      <c r="M1981" s="14">
        <v>1</v>
      </c>
    </row>
    <row r="1982" spans="1:13">
      <c r="A1982" s="6">
        <v>43510</v>
      </c>
      <c r="B1982" s="7">
        <v>0.62361111111111112</v>
      </c>
      <c r="C1982" s="14" t="str">
        <f>"FES1162673253"</f>
        <v>FES1162673253</v>
      </c>
      <c r="D1982" s="14" t="s">
        <v>18</v>
      </c>
      <c r="E1982" s="14" t="s">
        <v>672</v>
      </c>
      <c r="F1982" s="14" t="str">
        <f>"2170658090 "</f>
        <v xml:space="preserve">2170658090 </v>
      </c>
      <c r="G1982" s="14" t="str">
        <f t="shared" si="63"/>
        <v>ON1</v>
      </c>
      <c r="H1982" s="14" t="s">
        <v>20</v>
      </c>
      <c r="I1982" s="14" t="s">
        <v>31</v>
      </c>
      <c r="J1982" s="14" t="str">
        <f>""</f>
        <v/>
      </c>
      <c r="K1982" s="14" t="str">
        <f>"PFES1162673253_0001"</f>
        <v>PFES1162673253_0001</v>
      </c>
      <c r="L1982" s="14">
        <v>1</v>
      </c>
      <c r="M1982" s="14">
        <v>1</v>
      </c>
    </row>
    <row r="1983" spans="1:13">
      <c r="A1983" s="6">
        <v>43510</v>
      </c>
      <c r="B1983" s="7">
        <v>0.62361111111111112</v>
      </c>
      <c r="C1983" s="14" t="str">
        <f>"FES1162673204"</f>
        <v>FES1162673204</v>
      </c>
      <c r="D1983" s="14" t="s">
        <v>18</v>
      </c>
      <c r="E1983" s="14" t="s">
        <v>372</v>
      </c>
      <c r="F1983" s="14" t="str">
        <f>"2170674386 "</f>
        <v xml:space="preserve">2170674386 </v>
      </c>
      <c r="G1983" s="14" t="str">
        <f t="shared" si="63"/>
        <v>ON1</v>
      </c>
      <c r="H1983" s="14" t="s">
        <v>20</v>
      </c>
      <c r="I1983" s="14" t="s">
        <v>143</v>
      </c>
      <c r="J1983" s="14" t="str">
        <f>""</f>
        <v/>
      </c>
      <c r="K1983" s="14" t="str">
        <f>"PFES1162673204_0001"</f>
        <v>PFES1162673204_0001</v>
      </c>
      <c r="L1983" s="14">
        <v>1</v>
      </c>
      <c r="M1983" s="14">
        <v>1</v>
      </c>
    </row>
    <row r="1984" spans="1:13">
      <c r="A1984" s="6">
        <v>43510</v>
      </c>
      <c r="B1984" s="7">
        <v>0.62361111111111112</v>
      </c>
      <c r="C1984" s="14" t="str">
        <f>"FES1162673132"</f>
        <v>FES1162673132</v>
      </c>
      <c r="D1984" s="14" t="s">
        <v>18</v>
      </c>
      <c r="E1984" s="14" t="s">
        <v>185</v>
      </c>
      <c r="F1984" s="14" t="str">
        <f>"2170672658 "</f>
        <v xml:space="preserve">2170672658 </v>
      </c>
      <c r="G1984" s="14" t="str">
        <f t="shared" si="63"/>
        <v>ON1</v>
      </c>
      <c r="H1984" s="14" t="s">
        <v>20</v>
      </c>
      <c r="I1984" s="14" t="s">
        <v>93</v>
      </c>
      <c r="J1984" s="14" t="str">
        <f>""</f>
        <v/>
      </c>
      <c r="K1984" s="14" t="str">
        <f>"PFES1162673132_0001"</f>
        <v>PFES1162673132_0001</v>
      </c>
      <c r="L1984" s="14">
        <v>1</v>
      </c>
      <c r="M1984" s="14">
        <v>1</v>
      </c>
    </row>
    <row r="1985" spans="1:13">
      <c r="A1985" s="6">
        <v>43510</v>
      </c>
      <c r="B1985" s="7">
        <v>0.62291666666666667</v>
      </c>
      <c r="C1985" s="14" t="str">
        <f>"FES1162673276"</f>
        <v>FES1162673276</v>
      </c>
      <c r="D1985" s="14" t="s">
        <v>18</v>
      </c>
      <c r="E1985" s="14" t="s">
        <v>58</v>
      </c>
      <c r="F1985" s="14" t="str">
        <f>"2170674464 "</f>
        <v xml:space="preserve">2170674464 </v>
      </c>
      <c r="G1985" s="14" t="str">
        <f t="shared" si="63"/>
        <v>ON1</v>
      </c>
      <c r="H1985" s="14" t="s">
        <v>20</v>
      </c>
      <c r="I1985" s="14" t="s">
        <v>59</v>
      </c>
      <c r="J1985" s="14" t="str">
        <f>""</f>
        <v/>
      </c>
      <c r="K1985" s="14" t="str">
        <f>"PFES1162673276_0001"</f>
        <v>PFES1162673276_0001</v>
      </c>
      <c r="L1985" s="14">
        <v>1</v>
      </c>
      <c r="M1985" s="14">
        <v>1</v>
      </c>
    </row>
    <row r="1986" spans="1:13">
      <c r="A1986" s="6">
        <v>43510</v>
      </c>
      <c r="B1986" s="7">
        <v>0.62222222222222223</v>
      </c>
      <c r="C1986" s="14" t="str">
        <f>"FES1162673152"</f>
        <v>FES1162673152</v>
      </c>
      <c r="D1986" s="14" t="s">
        <v>18</v>
      </c>
      <c r="E1986" s="14" t="s">
        <v>114</v>
      </c>
      <c r="F1986" s="14" t="str">
        <f>"2170673959 "</f>
        <v xml:space="preserve">2170673959 </v>
      </c>
      <c r="G1986" s="14" t="str">
        <f t="shared" si="63"/>
        <v>ON1</v>
      </c>
      <c r="H1986" s="14" t="s">
        <v>20</v>
      </c>
      <c r="I1986" s="14" t="s">
        <v>111</v>
      </c>
      <c r="J1986" s="14" t="str">
        <f>""</f>
        <v/>
      </c>
      <c r="K1986" s="14" t="str">
        <f>"PFES1162673152_0001"</f>
        <v>PFES1162673152_0001</v>
      </c>
      <c r="L1986" s="14">
        <v>1</v>
      </c>
      <c r="M1986" s="14">
        <v>2</v>
      </c>
    </row>
    <row r="1987" spans="1:13">
      <c r="A1987" s="6">
        <v>43510</v>
      </c>
      <c r="B1987" s="7">
        <v>0.62222222222222223</v>
      </c>
      <c r="C1987" s="14" t="str">
        <f>"FES1162673231"</f>
        <v>FES1162673231</v>
      </c>
      <c r="D1987" s="14" t="s">
        <v>18</v>
      </c>
      <c r="E1987" s="14" t="s">
        <v>851</v>
      </c>
      <c r="F1987" s="14" t="str">
        <f>"2170674421 "</f>
        <v xml:space="preserve">2170674421 </v>
      </c>
      <c r="G1987" s="14" t="str">
        <f t="shared" si="63"/>
        <v>ON1</v>
      </c>
      <c r="H1987" s="14" t="s">
        <v>20</v>
      </c>
      <c r="I1987" s="14" t="s">
        <v>33</v>
      </c>
      <c r="J1987" s="14" t="str">
        <f>""</f>
        <v/>
      </c>
      <c r="K1987" s="14" t="str">
        <f>"PFES1162673231_0001"</f>
        <v>PFES1162673231_0001</v>
      </c>
      <c r="L1987" s="14">
        <v>1</v>
      </c>
      <c r="M1987" s="14">
        <v>1</v>
      </c>
    </row>
    <row r="1988" spans="1:13">
      <c r="A1988" s="6">
        <v>43510</v>
      </c>
      <c r="B1988" s="7">
        <v>0.62152777777777779</v>
      </c>
      <c r="C1988" s="14" t="str">
        <f>"FES1162673272"</f>
        <v>FES1162673272</v>
      </c>
      <c r="D1988" s="14" t="s">
        <v>18</v>
      </c>
      <c r="E1988" s="14" t="s">
        <v>925</v>
      </c>
      <c r="F1988" s="14" t="str">
        <f>"2170674439 "</f>
        <v xml:space="preserve">2170674439 </v>
      </c>
      <c r="G1988" s="14" t="str">
        <f t="shared" si="63"/>
        <v>ON1</v>
      </c>
      <c r="H1988" s="14" t="s">
        <v>20</v>
      </c>
      <c r="I1988" s="14" t="s">
        <v>926</v>
      </c>
      <c r="J1988" s="14" t="str">
        <f>""</f>
        <v/>
      </c>
      <c r="K1988" s="14" t="str">
        <f>"PFES1162673272_0001"</f>
        <v>PFES1162673272_0001</v>
      </c>
      <c r="L1988" s="14">
        <v>1</v>
      </c>
      <c r="M1988" s="14">
        <v>3</v>
      </c>
    </row>
    <row r="1989" spans="1:13">
      <c r="A1989" s="6">
        <v>43510</v>
      </c>
      <c r="B1989" s="7">
        <v>0.62083333333333335</v>
      </c>
      <c r="C1989" s="14" t="str">
        <f>"FES1162673070"</f>
        <v>FES1162673070</v>
      </c>
      <c r="D1989" s="14" t="s">
        <v>18</v>
      </c>
      <c r="E1989" s="14" t="s">
        <v>78</v>
      </c>
      <c r="F1989" s="14" t="str">
        <f>"2170672950 "</f>
        <v xml:space="preserve">2170672950 </v>
      </c>
      <c r="G1989" s="14" t="str">
        <f t="shared" si="63"/>
        <v>ON1</v>
      </c>
      <c r="H1989" s="14" t="s">
        <v>20</v>
      </c>
      <c r="I1989" s="14" t="s">
        <v>79</v>
      </c>
      <c r="J1989" s="14" t="str">
        <f>""</f>
        <v/>
      </c>
      <c r="K1989" s="14" t="str">
        <f>"PFES1162673070_0001"</f>
        <v>PFES1162673070_0001</v>
      </c>
      <c r="L1989" s="14">
        <v>1</v>
      </c>
      <c r="M1989" s="14">
        <v>2</v>
      </c>
    </row>
    <row r="1990" spans="1:13">
      <c r="A1990" s="6">
        <v>43510</v>
      </c>
      <c r="B1990" s="7">
        <v>0.62013888888888891</v>
      </c>
      <c r="C1990" s="14" t="str">
        <f>"FES1162673205"</f>
        <v>FES1162673205</v>
      </c>
      <c r="D1990" s="14" t="s">
        <v>18</v>
      </c>
      <c r="E1990" s="14" t="s">
        <v>243</v>
      </c>
      <c r="F1990" s="14" t="str">
        <f>"2170674387 "</f>
        <v xml:space="preserve">2170674387 </v>
      </c>
      <c r="G1990" s="14" t="str">
        <f t="shared" si="63"/>
        <v>ON1</v>
      </c>
      <c r="H1990" s="14" t="s">
        <v>20</v>
      </c>
      <c r="I1990" s="14" t="s">
        <v>244</v>
      </c>
      <c r="J1990" s="14" t="str">
        <f>""</f>
        <v/>
      </c>
      <c r="K1990" s="14" t="str">
        <f>"PFES1162673205_0001"</f>
        <v>PFES1162673205_0001</v>
      </c>
      <c r="L1990" s="14">
        <v>1</v>
      </c>
      <c r="M1990" s="14">
        <v>10</v>
      </c>
    </row>
    <row r="1991" spans="1:13">
      <c r="A1991" s="6">
        <v>43510</v>
      </c>
      <c r="B1991" s="7">
        <v>0.62013888888888891</v>
      </c>
      <c r="C1991" s="14" t="str">
        <f>"FES1162673229"</f>
        <v>FES1162673229</v>
      </c>
      <c r="D1991" s="14" t="s">
        <v>18</v>
      </c>
      <c r="E1991" s="14" t="s">
        <v>19</v>
      </c>
      <c r="F1991" s="14" t="str">
        <f>"2170674418 "</f>
        <v xml:space="preserve">2170674418 </v>
      </c>
      <c r="G1991" s="14" t="str">
        <f t="shared" si="63"/>
        <v>ON1</v>
      </c>
      <c r="H1991" s="14" t="s">
        <v>20</v>
      </c>
      <c r="I1991" s="14" t="s">
        <v>21</v>
      </c>
      <c r="J1991" s="14" t="str">
        <f>""</f>
        <v/>
      </c>
      <c r="K1991" s="14" t="str">
        <f>"PFES1162673229_0001"</f>
        <v>PFES1162673229_0001</v>
      </c>
      <c r="L1991" s="14">
        <v>1</v>
      </c>
      <c r="M1991" s="14">
        <v>3</v>
      </c>
    </row>
    <row r="1992" spans="1:13">
      <c r="A1992" s="6">
        <v>43510</v>
      </c>
      <c r="B1992" s="7">
        <v>0.62013888888888891</v>
      </c>
      <c r="C1992" s="14" t="str">
        <f>"FES1162673261"</f>
        <v>FES1162673261</v>
      </c>
      <c r="D1992" s="14" t="s">
        <v>18</v>
      </c>
      <c r="E1992" s="14" t="s">
        <v>218</v>
      </c>
      <c r="F1992" s="14" t="str">
        <f>"2170673548 "</f>
        <v xml:space="preserve">2170673548 </v>
      </c>
      <c r="G1992" s="14" t="str">
        <f t="shared" si="63"/>
        <v>ON1</v>
      </c>
      <c r="H1992" s="14" t="s">
        <v>20</v>
      </c>
      <c r="I1992" s="14" t="s">
        <v>219</v>
      </c>
      <c r="J1992" s="14" t="str">
        <f>""</f>
        <v/>
      </c>
      <c r="K1992" s="14" t="str">
        <f>"PFES1162673261_0001"</f>
        <v>PFES1162673261_0001</v>
      </c>
      <c r="L1992" s="14">
        <v>1</v>
      </c>
      <c r="M1992" s="14">
        <v>11</v>
      </c>
    </row>
    <row r="1993" spans="1:13">
      <c r="A1993" s="6">
        <v>43510</v>
      </c>
      <c r="B1993" s="7">
        <v>0.61944444444444446</v>
      </c>
      <c r="C1993" s="14" t="str">
        <f>"FES1162673268"</f>
        <v>FES1162673268</v>
      </c>
      <c r="D1993" s="14" t="s">
        <v>18</v>
      </c>
      <c r="E1993" s="14" t="s">
        <v>477</v>
      </c>
      <c r="F1993" s="14" t="str">
        <f>"2170674458 "</f>
        <v xml:space="preserve">2170674458 </v>
      </c>
      <c r="G1993" s="14" t="str">
        <f t="shared" si="63"/>
        <v>ON1</v>
      </c>
      <c r="H1993" s="14" t="s">
        <v>20</v>
      </c>
      <c r="I1993" s="14" t="s">
        <v>478</v>
      </c>
      <c r="J1993" s="14" t="str">
        <f>""</f>
        <v/>
      </c>
      <c r="K1993" s="14" t="str">
        <f>"PFES1162673268_0001"</f>
        <v>PFES1162673268_0001</v>
      </c>
      <c r="L1993" s="14">
        <v>1</v>
      </c>
      <c r="M1993" s="14">
        <v>1</v>
      </c>
    </row>
    <row r="1994" spans="1:13">
      <c r="A1994" s="6">
        <v>43510</v>
      </c>
      <c r="B1994" s="7">
        <v>0.61944444444444446</v>
      </c>
      <c r="C1994" s="14" t="str">
        <f>"FES1162673258"</f>
        <v>FES1162673258</v>
      </c>
      <c r="D1994" s="14" t="s">
        <v>18</v>
      </c>
      <c r="E1994" s="14" t="s">
        <v>32</v>
      </c>
      <c r="F1994" s="14" t="str">
        <f>"2170674443 "</f>
        <v xml:space="preserve">2170674443 </v>
      </c>
      <c r="G1994" s="14" t="str">
        <f t="shared" si="63"/>
        <v>ON1</v>
      </c>
      <c r="H1994" s="14" t="s">
        <v>20</v>
      </c>
      <c r="I1994" s="14" t="s">
        <v>33</v>
      </c>
      <c r="J1994" s="14" t="str">
        <f>""</f>
        <v/>
      </c>
      <c r="K1994" s="14" t="str">
        <f>"PFES1162673258_0001"</f>
        <v>PFES1162673258_0001</v>
      </c>
      <c r="L1994" s="14">
        <v>1</v>
      </c>
      <c r="M1994" s="14">
        <v>7</v>
      </c>
    </row>
    <row r="1995" spans="1:13">
      <c r="A1995" s="6">
        <v>43510</v>
      </c>
      <c r="B1995" s="7">
        <v>0.61875000000000002</v>
      </c>
      <c r="C1995" s="14" t="str">
        <f>"FES1162673250"</f>
        <v>FES1162673250</v>
      </c>
      <c r="D1995" s="14" t="s">
        <v>18</v>
      </c>
      <c r="E1995" s="14" t="s">
        <v>19</v>
      </c>
      <c r="F1995" s="14" t="str">
        <f>"2170674442 "</f>
        <v xml:space="preserve">2170674442 </v>
      </c>
      <c r="G1995" s="14" t="str">
        <f t="shared" si="63"/>
        <v>ON1</v>
      </c>
      <c r="H1995" s="14" t="s">
        <v>20</v>
      </c>
      <c r="I1995" s="14" t="s">
        <v>21</v>
      </c>
      <c r="J1995" s="14" t="str">
        <f>""</f>
        <v/>
      </c>
      <c r="K1995" s="14" t="str">
        <f>"PFES1162673250_0001"</f>
        <v>PFES1162673250_0001</v>
      </c>
      <c r="L1995" s="14">
        <v>1</v>
      </c>
      <c r="M1995" s="14">
        <v>4</v>
      </c>
    </row>
    <row r="1996" spans="1:13">
      <c r="A1996" s="6">
        <v>43510</v>
      </c>
      <c r="B1996" s="7">
        <v>0.61805555555555558</v>
      </c>
      <c r="C1996" s="14" t="str">
        <f>"FES1162673256"</f>
        <v>FES1162673256</v>
      </c>
      <c r="D1996" s="14" t="s">
        <v>18</v>
      </c>
      <c r="E1996" s="14" t="s">
        <v>32</v>
      </c>
      <c r="F1996" s="14" t="str">
        <f>"2170672910 "</f>
        <v xml:space="preserve">2170672910 </v>
      </c>
      <c r="G1996" s="14" t="str">
        <f t="shared" si="63"/>
        <v>ON1</v>
      </c>
      <c r="H1996" s="14" t="s">
        <v>20</v>
      </c>
      <c r="I1996" s="14" t="s">
        <v>33</v>
      </c>
      <c r="J1996" s="14" t="str">
        <f>""</f>
        <v/>
      </c>
      <c r="K1996" s="14" t="str">
        <f>"PFES1162673256_0001"</f>
        <v>PFES1162673256_0001</v>
      </c>
      <c r="L1996" s="14">
        <v>1</v>
      </c>
      <c r="M1996" s="14">
        <v>7</v>
      </c>
    </row>
    <row r="1997" spans="1:13">
      <c r="A1997" s="6">
        <v>43510</v>
      </c>
      <c r="B1997" s="7">
        <v>0.61736111111111114</v>
      </c>
      <c r="C1997" s="14" t="str">
        <f>"FES1162672998"</f>
        <v>FES1162672998</v>
      </c>
      <c r="D1997" s="14" t="s">
        <v>18</v>
      </c>
      <c r="E1997" s="14" t="s">
        <v>468</v>
      </c>
      <c r="F1997" s="14" t="str">
        <f>"2170673282 "</f>
        <v xml:space="preserve">2170673282 </v>
      </c>
      <c r="G1997" s="14" t="str">
        <f t="shared" si="63"/>
        <v>ON1</v>
      </c>
      <c r="H1997" s="14" t="s">
        <v>20</v>
      </c>
      <c r="I1997" s="14" t="s">
        <v>188</v>
      </c>
      <c r="J1997" s="14" t="str">
        <f>""</f>
        <v/>
      </c>
      <c r="K1997" s="14" t="str">
        <f>"PFES1162672998_0001"</f>
        <v>PFES1162672998_0001</v>
      </c>
      <c r="L1997" s="14">
        <v>1</v>
      </c>
      <c r="M1997" s="14">
        <v>5</v>
      </c>
    </row>
    <row r="1998" spans="1:13">
      <c r="A1998" s="6">
        <v>43510</v>
      </c>
      <c r="B1998" s="7">
        <v>0.61527777777777781</v>
      </c>
      <c r="C1998" s="14" t="str">
        <f>"FES1162673277"</f>
        <v>FES1162673277</v>
      </c>
      <c r="D1998" s="14" t="s">
        <v>18</v>
      </c>
      <c r="E1998" s="14" t="s">
        <v>634</v>
      </c>
      <c r="F1998" s="14" t="str">
        <f>"2170674465 "</f>
        <v xml:space="preserve">2170674465 </v>
      </c>
      <c r="G1998" s="14" t="str">
        <f t="shared" si="63"/>
        <v>ON1</v>
      </c>
      <c r="H1998" s="14" t="s">
        <v>20</v>
      </c>
      <c r="I1998" s="14" t="s">
        <v>635</v>
      </c>
      <c r="J1998" s="14" t="str">
        <f>""</f>
        <v/>
      </c>
      <c r="K1998" s="14" t="str">
        <f>"PFES1162673277_0001"</f>
        <v>PFES1162673277_0001</v>
      </c>
      <c r="L1998" s="14">
        <v>1</v>
      </c>
      <c r="M1998" s="14">
        <v>1</v>
      </c>
    </row>
    <row r="1999" spans="1:13">
      <c r="A1999" s="6">
        <v>43510</v>
      </c>
      <c r="B1999" s="7">
        <v>0.61458333333333337</v>
      </c>
      <c r="C1999" s="14" t="str">
        <f>"FES1162673223"</f>
        <v>FES1162673223</v>
      </c>
      <c r="D1999" s="14" t="s">
        <v>18</v>
      </c>
      <c r="E1999" s="14" t="s">
        <v>152</v>
      </c>
      <c r="F1999" s="14" t="str">
        <f>"2170674343 "</f>
        <v xml:space="preserve">2170674343 </v>
      </c>
      <c r="G1999" s="14" t="str">
        <f t="shared" si="63"/>
        <v>ON1</v>
      </c>
      <c r="H1999" s="14" t="s">
        <v>20</v>
      </c>
      <c r="I1999" s="14" t="s">
        <v>153</v>
      </c>
      <c r="J1999" s="14" t="str">
        <f>""</f>
        <v/>
      </c>
      <c r="K1999" s="14" t="str">
        <f>"PFES1162673223_0001"</f>
        <v>PFES1162673223_0001</v>
      </c>
      <c r="L1999" s="14">
        <v>1</v>
      </c>
      <c r="M1999" s="14">
        <v>1</v>
      </c>
    </row>
    <row r="2000" spans="1:13">
      <c r="A2000" s="6">
        <v>43510</v>
      </c>
      <c r="B2000" s="7">
        <v>0.61388888888888882</v>
      </c>
      <c r="C2000" s="14" t="str">
        <f>"FES1162673243"</f>
        <v>FES1162673243</v>
      </c>
      <c r="D2000" s="14" t="s">
        <v>18</v>
      </c>
      <c r="E2000" s="14" t="s">
        <v>168</v>
      </c>
      <c r="F2000" s="14" t="str">
        <f>"2170674319 "</f>
        <v xml:space="preserve">2170674319 </v>
      </c>
      <c r="G2000" s="14" t="str">
        <f t="shared" si="63"/>
        <v>ON1</v>
      </c>
      <c r="H2000" s="14" t="s">
        <v>20</v>
      </c>
      <c r="I2000" s="14" t="s">
        <v>63</v>
      </c>
      <c r="J2000" s="14" t="str">
        <f>""</f>
        <v/>
      </c>
      <c r="K2000" s="14" t="str">
        <f>"PFES1162673243_0001"</f>
        <v>PFES1162673243_0001</v>
      </c>
      <c r="L2000" s="14">
        <v>1</v>
      </c>
      <c r="M2000" s="14">
        <v>1</v>
      </c>
    </row>
    <row r="2001" spans="1:13">
      <c r="A2001" s="6">
        <v>43510</v>
      </c>
      <c r="B2001" s="7">
        <v>0.61388888888888882</v>
      </c>
      <c r="C2001" s="14" t="str">
        <f>"FES1162673278"</f>
        <v>FES1162673278</v>
      </c>
      <c r="D2001" s="14" t="s">
        <v>18</v>
      </c>
      <c r="E2001" s="14" t="s">
        <v>832</v>
      </c>
      <c r="F2001" s="14" t="str">
        <f>"2170674468 "</f>
        <v xml:space="preserve">2170674468 </v>
      </c>
      <c r="G2001" s="14" t="str">
        <f t="shared" si="63"/>
        <v>ON1</v>
      </c>
      <c r="H2001" s="14" t="s">
        <v>20</v>
      </c>
      <c r="I2001" s="14" t="s">
        <v>833</v>
      </c>
      <c r="J2001" s="14" t="str">
        <f>""</f>
        <v/>
      </c>
      <c r="K2001" s="14" t="str">
        <f>"PFES1162673278_0001"</f>
        <v>PFES1162673278_0001</v>
      </c>
      <c r="L2001" s="14">
        <v>1</v>
      </c>
      <c r="M2001" s="14">
        <v>1</v>
      </c>
    </row>
    <row r="2002" spans="1:13">
      <c r="A2002" s="6">
        <v>43510</v>
      </c>
      <c r="B2002" s="7">
        <v>0.61319444444444449</v>
      </c>
      <c r="C2002" s="14" t="str">
        <f>"FES1162673206"</f>
        <v>FES1162673206</v>
      </c>
      <c r="D2002" s="14" t="s">
        <v>18</v>
      </c>
      <c r="E2002" s="14" t="s">
        <v>52</v>
      </c>
      <c r="F2002" s="14" t="str">
        <f>"2170674389 "</f>
        <v xml:space="preserve">2170674389 </v>
      </c>
      <c r="G2002" s="14" t="str">
        <f t="shared" si="63"/>
        <v>ON1</v>
      </c>
      <c r="H2002" s="14" t="s">
        <v>20</v>
      </c>
      <c r="I2002" s="14" t="s">
        <v>53</v>
      </c>
      <c r="J2002" s="14" t="str">
        <f>""</f>
        <v/>
      </c>
      <c r="K2002" s="14" t="str">
        <f>"PFES1162673206_0001"</f>
        <v>PFES1162673206_0001</v>
      </c>
      <c r="L2002" s="14">
        <v>1</v>
      </c>
      <c r="M2002" s="14">
        <v>1</v>
      </c>
    </row>
    <row r="2003" spans="1:13">
      <c r="A2003" s="6">
        <v>43510</v>
      </c>
      <c r="B2003" s="7">
        <v>0.61249999999999993</v>
      </c>
      <c r="C2003" s="14" t="str">
        <f>"FES1162673198"</f>
        <v>FES1162673198</v>
      </c>
      <c r="D2003" s="14" t="s">
        <v>18</v>
      </c>
      <c r="E2003" s="14" t="s">
        <v>522</v>
      </c>
      <c r="F2003" s="14" t="str">
        <f>"2170674379 "</f>
        <v xml:space="preserve">2170674379 </v>
      </c>
      <c r="G2003" s="14" t="str">
        <f t="shared" si="63"/>
        <v>ON1</v>
      </c>
      <c r="H2003" s="14" t="s">
        <v>20</v>
      </c>
      <c r="I2003" s="14" t="s">
        <v>388</v>
      </c>
      <c r="J2003" s="14" t="str">
        <f>""</f>
        <v/>
      </c>
      <c r="K2003" s="14" t="str">
        <f>"PFES1162673198_0001"</f>
        <v>PFES1162673198_0001</v>
      </c>
      <c r="L2003" s="14">
        <v>1</v>
      </c>
      <c r="M2003" s="14">
        <v>1</v>
      </c>
    </row>
    <row r="2004" spans="1:13">
      <c r="A2004" s="6">
        <v>43510</v>
      </c>
      <c r="B2004" s="7">
        <v>0.61249999999999993</v>
      </c>
      <c r="C2004" s="14" t="str">
        <f>"FES1162673213"</f>
        <v>FES1162673213</v>
      </c>
      <c r="D2004" s="14" t="s">
        <v>18</v>
      </c>
      <c r="E2004" s="14" t="s">
        <v>296</v>
      </c>
      <c r="F2004" s="14" t="str">
        <f>"2170674399 "</f>
        <v xml:space="preserve">2170674399 </v>
      </c>
      <c r="G2004" s="14" t="str">
        <f t="shared" si="63"/>
        <v>ON1</v>
      </c>
      <c r="H2004" s="14" t="s">
        <v>20</v>
      </c>
      <c r="I2004" s="14" t="s">
        <v>93</v>
      </c>
      <c r="J2004" s="14" t="str">
        <f>""</f>
        <v/>
      </c>
      <c r="K2004" s="14" t="str">
        <f>"PFES1162673213_0001"</f>
        <v>PFES1162673213_0001</v>
      </c>
      <c r="L2004" s="14">
        <v>1</v>
      </c>
      <c r="M2004" s="14">
        <v>1</v>
      </c>
    </row>
    <row r="2005" spans="1:13">
      <c r="A2005" s="6">
        <v>43510</v>
      </c>
      <c r="B2005" s="7">
        <v>0.6118055555555556</v>
      </c>
      <c r="C2005" s="14" t="str">
        <f>"FES1162673101"</f>
        <v>FES1162673101</v>
      </c>
      <c r="D2005" s="14" t="s">
        <v>18</v>
      </c>
      <c r="E2005" s="14" t="s">
        <v>927</v>
      </c>
      <c r="F2005" s="14" t="str">
        <f>"2170673101 "</f>
        <v xml:space="preserve">2170673101 </v>
      </c>
      <c r="G2005" s="14" t="str">
        <f t="shared" si="63"/>
        <v>ON1</v>
      </c>
      <c r="H2005" s="14" t="s">
        <v>20</v>
      </c>
      <c r="I2005" s="14" t="s">
        <v>53</v>
      </c>
      <c r="J2005" s="14" t="str">
        <f>""</f>
        <v/>
      </c>
      <c r="K2005" s="14" t="str">
        <f>"PFES1162673101_0001"</f>
        <v>PFES1162673101_0001</v>
      </c>
      <c r="L2005" s="14">
        <v>1</v>
      </c>
      <c r="M2005" s="14">
        <v>1</v>
      </c>
    </row>
    <row r="2006" spans="1:13">
      <c r="A2006" s="6">
        <v>43510</v>
      </c>
      <c r="B2006" s="7">
        <v>0.61111111111111105</v>
      </c>
      <c r="C2006" s="14" t="str">
        <f>"FES1162673164"</f>
        <v>FES1162673164</v>
      </c>
      <c r="D2006" s="14" t="s">
        <v>18</v>
      </c>
      <c r="E2006" s="14" t="s">
        <v>928</v>
      </c>
      <c r="F2006" s="14" t="str">
        <f>"2170674332 "</f>
        <v xml:space="preserve">2170674332 </v>
      </c>
      <c r="G2006" s="14" t="str">
        <f t="shared" si="63"/>
        <v>ON1</v>
      </c>
      <c r="H2006" s="14" t="s">
        <v>20</v>
      </c>
      <c r="I2006" s="14" t="s">
        <v>679</v>
      </c>
      <c r="J2006" s="14" t="str">
        <f>""</f>
        <v/>
      </c>
      <c r="K2006" s="14" t="str">
        <f>"PFES1162673164_0001"</f>
        <v>PFES1162673164_0001</v>
      </c>
      <c r="L2006" s="14">
        <v>1</v>
      </c>
      <c r="M2006" s="14">
        <v>1</v>
      </c>
    </row>
    <row r="2007" spans="1:13">
      <c r="A2007" s="6">
        <v>43510</v>
      </c>
      <c r="B2007" s="7">
        <v>0.61111111111111105</v>
      </c>
      <c r="C2007" s="14" t="str">
        <f>"FES1162673254"</f>
        <v>FES1162673254</v>
      </c>
      <c r="D2007" s="14" t="s">
        <v>18</v>
      </c>
      <c r="E2007" s="14" t="s">
        <v>293</v>
      </c>
      <c r="F2007" s="14" t="str">
        <f>"2170673254 "</f>
        <v xml:space="preserve">2170673254 </v>
      </c>
      <c r="G2007" s="14" t="str">
        <f t="shared" si="63"/>
        <v>ON1</v>
      </c>
      <c r="H2007" s="14" t="s">
        <v>20</v>
      </c>
      <c r="I2007" s="14" t="s">
        <v>294</v>
      </c>
      <c r="J2007" s="14" t="str">
        <f>""</f>
        <v/>
      </c>
      <c r="K2007" s="14" t="str">
        <f>"PFES1162673254_0001"</f>
        <v>PFES1162673254_0001</v>
      </c>
      <c r="L2007" s="14">
        <v>1</v>
      </c>
      <c r="M2007" s="14">
        <v>1</v>
      </c>
    </row>
    <row r="2008" spans="1:13">
      <c r="A2008" s="6">
        <v>43510</v>
      </c>
      <c r="B2008" s="7">
        <v>0.61041666666666672</v>
      </c>
      <c r="C2008" s="14" t="str">
        <f>"FES1162673162"</f>
        <v>FES1162673162</v>
      </c>
      <c r="D2008" s="14" t="s">
        <v>18</v>
      </c>
      <c r="E2008" s="14" t="s">
        <v>493</v>
      </c>
      <c r="F2008" s="14" t="str">
        <f>"2170674244 "</f>
        <v xml:space="preserve">2170674244 </v>
      </c>
      <c r="G2008" s="14" t="str">
        <f t="shared" si="63"/>
        <v>ON1</v>
      </c>
      <c r="H2008" s="14" t="s">
        <v>20</v>
      </c>
      <c r="I2008" s="14" t="s">
        <v>111</v>
      </c>
      <c r="J2008" s="14" t="str">
        <f>""</f>
        <v/>
      </c>
      <c r="K2008" s="14" t="str">
        <f>"PFES1162673162_0001"</f>
        <v>PFES1162673162_0001</v>
      </c>
      <c r="L2008" s="14">
        <v>1</v>
      </c>
      <c r="M2008" s="14">
        <v>1</v>
      </c>
    </row>
    <row r="2009" spans="1:13">
      <c r="A2009" s="6">
        <v>43510</v>
      </c>
      <c r="B2009" s="7">
        <v>0.60972222222222217</v>
      </c>
      <c r="C2009" s="14" t="str">
        <f>"FES1162673255"</f>
        <v>FES1162673255</v>
      </c>
      <c r="D2009" s="14" t="s">
        <v>18</v>
      </c>
      <c r="E2009" s="14" t="s">
        <v>295</v>
      </c>
      <c r="F2009" s="14" t="str">
        <f>"2170673379 "</f>
        <v xml:space="preserve">2170673379 </v>
      </c>
      <c r="G2009" s="14" t="str">
        <f t="shared" si="63"/>
        <v>ON1</v>
      </c>
      <c r="H2009" s="14" t="s">
        <v>20</v>
      </c>
      <c r="I2009" s="14" t="s">
        <v>53</v>
      </c>
      <c r="J2009" s="14" t="str">
        <f>""</f>
        <v/>
      </c>
      <c r="K2009" s="14" t="str">
        <f>"PFES1162673255_0001"</f>
        <v>PFES1162673255_0001</v>
      </c>
      <c r="L2009" s="14">
        <v>1</v>
      </c>
      <c r="M2009" s="14">
        <v>1</v>
      </c>
    </row>
    <row r="2010" spans="1:13">
      <c r="A2010" s="6">
        <v>43510</v>
      </c>
      <c r="B2010" s="7">
        <v>0.60972222222222217</v>
      </c>
      <c r="C2010" s="14" t="str">
        <f>"FES1162673009"</f>
        <v>FES1162673009</v>
      </c>
      <c r="D2010" s="14" t="s">
        <v>18</v>
      </c>
      <c r="E2010" s="14" t="s">
        <v>68</v>
      </c>
      <c r="F2010" s="14" t="str">
        <f>"2170674268 "</f>
        <v xml:space="preserve">2170674268 </v>
      </c>
      <c r="G2010" s="14" t="str">
        <f t="shared" si="63"/>
        <v>ON1</v>
      </c>
      <c r="H2010" s="14" t="s">
        <v>20</v>
      </c>
      <c r="I2010" s="14" t="s">
        <v>929</v>
      </c>
      <c r="J2010" s="14" t="str">
        <f>""</f>
        <v/>
      </c>
      <c r="K2010" s="14" t="str">
        <f>"PFES1162673009_0001"</f>
        <v>PFES1162673009_0001</v>
      </c>
      <c r="L2010" s="14">
        <v>1</v>
      </c>
      <c r="M2010" s="14">
        <v>1</v>
      </c>
    </row>
    <row r="2011" spans="1:13">
      <c r="A2011" s="6">
        <v>43510</v>
      </c>
      <c r="B2011" s="7">
        <v>0.60902777777777783</v>
      </c>
      <c r="C2011" s="14" t="str">
        <f>"FES1162672988"</f>
        <v>FES1162672988</v>
      </c>
      <c r="D2011" s="14" t="s">
        <v>18</v>
      </c>
      <c r="E2011" s="14" t="s">
        <v>238</v>
      </c>
      <c r="F2011" s="14" t="str">
        <f>"2170671850 "</f>
        <v xml:space="preserve">2170671850 </v>
      </c>
      <c r="G2011" s="14" t="str">
        <f t="shared" si="63"/>
        <v>ON1</v>
      </c>
      <c r="H2011" s="14" t="s">
        <v>20</v>
      </c>
      <c r="I2011" s="14" t="s">
        <v>239</v>
      </c>
      <c r="J2011" s="14" t="str">
        <f>""</f>
        <v/>
      </c>
      <c r="K2011" s="14" t="str">
        <f>"PFES1162672988_0001"</f>
        <v>PFES1162672988_0001</v>
      </c>
      <c r="L2011" s="14">
        <v>1</v>
      </c>
      <c r="M2011" s="14">
        <v>1</v>
      </c>
    </row>
    <row r="2012" spans="1:13">
      <c r="A2012" s="6">
        <v>43510</v>
      </c>
      <c r="B2012" s="7">
        <v>0.60902777777777783</v>
      </c>
      <c r="C2012" s="14" t="str">
        <f>"FES1162673190"</f>
        <v>FES1162673190</v>
      </c>
      <c r="D2012" s="14" t="s">
        <v>18</v>
      </c>
      <c r="E2012" s="14" t="s">
        <v>66</v>
      </c>
      <c r="F2012" s="14" t="str">
        <f>"2170674364 "</f>
        <v xml:space="preserve">2170674364 </v>
      </c>
      <c r="G2012" s="14" t="str">
        <f t="shared" si="63"/>
        <v>ON1</v>
      </c>
      <c r="H2012" s="14" t="s">
        <v>20</v>
      </c>
      <c r="I2012" s="14" t="s">
        <v>67</v>
      </c>
      <c r="J2012" s="14" t="str">
        <f>""</f>
        <v/>
      </c>
      <c r="K2012" s="14" t="str">
        <f>"PFES1162673190_0001"</f>
        <v>PFES1162673190_0001</v>
      </c>
      <c r="L2012" s="14">
        <v>1</v>
      </c>
      <c r="M2012" s="14">
        <v>1</v>
      </c>
    </row>
    <row r="2013" spans="1:13">
      <c r="A2013" s="6">
        <v>43510</v>
      </c>
      <c r="B2013" s="7">
        <v>0.60833333333333328</v>
      </c>
      <c r="C2013" s="14" t="str">
        <f>"FES1162673011"</f>
        <v>FES1162673011</v>
      </c>
      <c r="D2013" s="14" t="s">
        <v>18</v>
      </c>
      <c r="E2013" s="14" t="s">
        <v>875</v>
      </c>
      <c r="F2013" s="14" t="str">
        <f>"2170674272 "</f>
        <v xml:space="preserve">2170674272 </v>
      </c>
      <c r="G2013" s="14" t="str">
        <f t="shared" si="63"/>
        <v>ON1</v>
      </c>
      <c r="H2013" s="14" t="s">
        <v>20</v>
      </c>
      <c r="I2013" s="14" t="s">
        <v>390</v>
      </c>
      <c r="J2013" s="14" t="str">
        <f>""</f>
        <v/>
      </c>
      <c r="K2013" s="14" t="str">
        <f>"PFES1162673011_0001"</f>
        <v>PFES1162673011_0001</v>
      </c>
      <c r="L2013" s="14">
        <v>1</v>
      </c>
      <c r="M2013" s="14">
        <v>1</v>
      </c>
    </row>
    <row r="2014" spans="1:13">
      <c r="A2014" s="6">
        <v>43510</v>
      </c>
      <c r="B2014" s="7">
        <v>0.60763888888888895</v>
      </c>
      <c r="C2014" s="14" t="str">
        <f>"FES1162673167"</f>
        <v>FES1162673167</v>
      </c>
      <c r="D2014" s="14" t="s">
        <v>18</v>
      </c>
      <c r="E2014" s="14" t="s">
        <v>522</v>
      </c>
      <c r="F2014" s="14" t="str">
        <f>"2170673014 "</f>
        <v xml:space="preserve">2170673014 </v>
      </c>
      <c r="G2014" s="14" t="str">
        <f t="shared" si="63"/>
        <v>ON1</v>
      </c>
      <c r="H2014" s="14" t="s">
        <v>20</v>
      </c>
      <c r="I2014" s="14" t="s">
        <v>388</v>
      </c>
      <c r="J2014" s="14" t="str">
        <f>""</f>
        <v/>
      </c>
      <c r="K2014" s="14" t="str">
        <f>"PFES1162673167_0001"</f>
        <v>PFES1162673167_0001</v>
      </c>
      <c r="L2014" s="14">
        <v>1</v>
      </c>
      <c r="M2014" s="14">
        <v>1</v>
      </c>
    </row>
    <row r="2015" spans="1:13">
      <c r="A2015" s="6">
        <v>43510</v>
      </c>
      <c r="B2015" s="7">
        <v>0.60763888888888895</v>
      </c>
      <c r="C2015" s="14" t="str">
        <f>"FES1162673203"</f>
        <v>FES1162673203</v>
      </c>
      <c r="D2015" s="14" t="s">
        <v>18</v>
      </c>
      <c r="E2015" s="14" t="s">
        <v>930</v>
      </c>
      <c r="F2015" s="14" t="str">
        <f>"2170674385 "</f>
        <v xml:space="preserve">2170674385 </v>
      </c>
      <c r="G2015" s="14" t="str">
        <f t="shared" si="63"/>
        <v>ON1</v>
      </c>
      <c r="H2015" s="14" t="s">
        <v>20</v>
      </c>
      <c r="I2015" s="14" t="s">
        <v>931</v>
      </c>
      <c r="J2015" s="14" t="str">
        <f>""</f>
        <v/>
      </c>
      <c r="K2015" s="14" t="str">
        <f>"PFES1162673203_0001"</f>
        <v>PFES1162673203_0001</v>
      </c>
      <c r="L2015" s="14">
        <v>1</v>
      </c>
      <c r="M2015" s="14">
        <v>1</v>
      </c>
    </row>
    <row r="2016" spans="1:13">
      <c r="A2016" s="6">
        <v>43510</v>
      </c>
      <c r="B2016" s="7">
        <v>0.6069444444444444</v>
      </c>
      <c r="C2016" s="14" t="str">
        <f>"FES1162673135"</f>
        <v>FES1162673135</v>
      </c>
      <c r="D2016" s="14" t="s">
        <v>18</v>
      </c>
      <c r="E2016" s="14" t="s">
        <v>253</v>
      </c>
      <c r="F2016" s="14" t="str">
        <f>"2170672707 "</f>
        <v xml:space="preserve">2170672707 </v>
      </c>
      <c r="G2016" s="14" t="str">
        <f t="shared" si="63"/>
        <v>ON1</v>
      </c>
      <c r="H2016" s="14" t="s">
        <v>20</v>
      </c>
      <c r="I2016" s="14" t="s">
        <v>226</v>
      </c>
      <c r="J2016" s="14" t="str">
        <f>""</f>
        <v/>
      </c>
      <c r="K2016" s="14" t="str">
        <f>"PFES1162673135_0001"</f>
        <v>PFES1162673135_0001</v>
      </c>
      <c r="L2016" s="14">
        <v>1</v>
      </c>
      <c r="M2016" s="14">
        <v>1</v>
      </c>
    </row>
    <row r="2017" spans="1:13">
      <c r="A2017" s="6">
        <v>43510</v>
      </c>
      <c r="B2017" s="7">
        <v>0.6069444444444444</v>
      </c>
      <c r="C2017" s="14" t="str">
        <f>"FES1162673171"</f>
        <v>FES1162673171</v>
      </c>
      <c r="D2017" s="14" t="s">
        <v>18</v>
      </c>
      <c r="E2017" s="14" t="s">
        <v>190</v>
      </c>
      <c r="F2017" s="14" t="str">
        <f>"2170674337 "</f>
        <v xml:space="preserve">2170674337 </v>
      </c>
      <c r="G2017" s="14" t="str">
        <f t="shared" si="63"/>
        <v>ON1</v>
      </c>
      <c r="H2017" s="14" t="s">
        <v>20</v>
      </c>
      <c r="I2017" s="14" t="s">
        <v>111</v>
      </c>
      <c r="J2017" s="14" t="str">
        <f>""</f>
        <v/>
      </c>
      <c r="K2017" s="14" t="str">
        <f>"PFES1162673171_0001"</f>
        <v>PFES1162673171_0001</v>
      </c>
      <c r="L2017" s="14">
        <v>1</v>
      </c>
      <c r="M2017" s="14">
        <v>1</v>
      </c>
    </row>
    <row r="2018" spans="1:13">
      <c r="A2018" s="6">
        <v>43510</v>
      </c>
      <c r="B2018" s="7">
        <v>0.60555555555555551</v>
      </c>
      <c r="C2018" s="14" t="str">
        <f>"FES1162673220"</f>
        <v>FES1162673220</v>
      </c>
      <c r="D2018" s="14" t="s">
        <v>18</v>
      </c>
      <c r="E2018" s="14" t="s">
        <v>19</v>
      </c>
      <c r="F2018" s="14" t="str">
        <f>"2170674410 "</f>
        <v xml:space="preserve">2170674410 </v>
      </c>
      <c r="G2018" s="14" t="str">
        <f t="shared" si="63"/>
        <v>ON1</v>
      </c>
      <c r="H2018" s="14" t="s">
        <v>20</v>
      </c>
      <c r="I2018" s="14" t="s">
        <v>21</v>
      </c>
      <c r="J2018" s="14" t="str">
        <f>""</f>
        <v/>
      </c>
      <c r="K2018" s="14" t="str">
        <f>"PFES1162673220_0001"</f>
        <v>PFES1162673220_0001</v>
      </c>
      <c r="L2018" s="14">
        <v>1</v>
      </c>
      <c r="M2018" s="14">
        <v>1</v>
      </c>
    </row>
    <row r="2019" spans="1:13">
      <c r="A2019" s="6">
        <v>43510</v>
      </c>
      <c r="B2019" s="7">
        <v>0.60486111111111118</v>
      </c>
      <c r="C2019" s="14" t="str">
        <f>"FES1162673174"</f>
        <v>FES1162673174</v>
      </c>
      <c r="D2019" s="14" t="s">
        <v>18</v>
      </c>
      <c r="E2019" s="14" t="s">
        <v>129</v>
      </c>
      <c r="F2019" s="14" t="str">
        <f>"2170674341 "</f>
        <v xml:space="preserve">2170674341 </v>
      </c>
      <c r="G2019" s="14" t="str">
        <f t="shared" si="63"/>
        <v>ON1</v>
      </c>
      <c r="H2019" s="14" t="s">
        <v>20</v>
      </c>
      <c r="I2019" s="14" t="s">
        <v>130</v>
      </c>
      <c r="J2019" s="14" t="str">
        <f>""</f>
        <v/>
      </c>
      <c r="K2019" s="14" t="str">
        <f>"PFES1162673174_0001"</f>
        <v>PFES1162673174_0001</v>
      </c>
      <c r="L2019" s="14">
        <v>1</v>
      </c>
      <c r="M2019" s="14">
        <v>1</v>
      </c>
    </row>
    <row r="2020" spans="1:13">
      <c r="A2020" s="6">
        <v>43510</v>
      </c>
      <c r="B2020" s="7">
        <v>0.60416666666666663</v>
      </c>
      <c r="C2020" s="14" t="str">
        <f>"FES1162673053"</f>
        <v>FES1162673053</v>
      </c>
      <c r="D2020" s="14" t="s">
        <v>18</v>
      </c>
      <c r="E2020" s="14" t="s">
        <v>932</v>
      </c>
      <c r="F2020" s="14" t="str">
        <f>"2170672438 "</f>
        <v xml:space="preserve">2170672438 </v>
      </c>
      <c r="G2020" s="14" t="str">
        <f t="shared" si="63"/>
        <v>ON1</v>
      </c>
      <c r="H2020" s="14" t="s">
        <v>20</v>
      </c>
      <c r="I2020" s="14" t="s">
        <v>50</v>
      </c>
      <c r="J2020" s="14" t="str">
        <f>""</f>
        <v/>
      </c>
      <c r="K2020" s="14" t="str">
        <f>"PFES1162673053_0001"</f>
        <v>PFES1162673053_0001</v>
      </c>
      <c r="L2020" s="14">
        <v>1</v>
      </c>
      <c r="M2020" s="14">
        <v>1</v>
      </c>
    </row>
    <row r="2021" spans="1:13">
      <c r="A2021" s="6">
        <v>43510</v>
      </c>
      <c r="B2021" s="7">
        <v>0.60347222222222219</v>
      </c>
      <c r="C2021" s="14" t="str">
        <f>"FES1162673175"</f>
        <v>FES1162673175</v>
      </c>
      <c r="D2021" s="14" t="s">
        <v>18</v>
      </c>
      <c r="E2021" s="14" t="s">
        <v>176</v>
      </c>
      <c r="F2021" s="14" t="str">
        <f>"2170674342 "</f>
        <v xml:space="preserve">2170674342 </v>
      </c>
      <c r="G2021" s="14" t="str">
        <f t="shared" si="63"/>
        <v>ON1</v>
      </c>
      <c r="H2021" s="14" t="s">
        <v>20</v>
      </c>
      <c r="I2021" s="14" t="s">
        <v>177</v>
      </c>
      <c r="J2021" s="14" t="str">
        <f>""</f>
        <v/>
      </c>
      <c r="K2021" s="14" t="str">
        <f>"PFES1162673175_0001"</f>
        <v>PFES1162673175_0001</v>
      </c>
      <c r="L2021" s="14">
        <v>1</v>
      </c>
      <c r="M2021" s="14">
        <v>1</v>
      </c>
    </row>
    <row r="2022" spans="1:13">
      <c r="A2022" s="6">
        <v>43510</v>
      </c>
      <c r="B2022" s="7">
        <v>0.60277777777777775</v>
      </c>
      <c r="C2022" s="14" t="str">
        <f>"FES1162673109"</f>
        <v>FES1162673109</v>
      </c>
      <c r="D2022" s="14" t="s">
        <v>18</v>
      </c>
      <c r="E2022" s="14" t="s">
        <v>306</v>
      </c>
      <c r="F2022" s="14" t="str">
        <f>"2170672259 "</f>
        <v xml:space="preserve">2170672259 </v>
      </c>
      <c r="G2022" s="14" t="str">
        <f t="shared" si="63"/>
        <v>ON1</v>
      </c>
      <c r="H2022" s="14" t="s">
        <v>20</v>
      </c>
      <c r="I2022" s="14" t="s">
        <v>228</v>
      </c>
      <c r="J2022" s="14" t="str">
        <f>""</f>
        <v/>
      </c>
      <c r="K2022" s="14" t="str">
        <f>"PFES1162673109_0001"</f>
        <v>PFES1162673109_0001</v>
      </c>
      <c r="L2022" s="14">
        <v>1</v>
      </c>
      <c r="M2022" s="14">
        <v>1</v>
      </c>
    </row>
    <row r="2023" spans="1:13">
      <c r="A2023" s="6">
        <v>43510</v>
      </c>
      <c r="B2023" s="7">
        <v>0.6</v>
      </c>
      <c r="C2023" s="14" t="str">
        <f>"FES1162673219"</f>
        <v>FES1162673219</v>
      </c>
      <c r="D2023" s="14" t="s">
        <v>18</v>
      </c>
      <c r="E2023" s="14" t="s">
        <v>287</v>
      </c>
      <c r="F2023" s="14" t="str">
        <f>"2170674409 "</f>
        <v xml:space="preserve">2170674409 </v>
      </c>
      <c r="G2023" s="14" t="str">
        <f t="shared" si="63"/>
        <v>ON1</v>
      </c>
      <c r="H2023" s="14" t="s">
        <v>20</v>
      </c>
      <c r="I2023" s="14" t="s">
        <v>288</v>
      </c>
      <c r="J2023" s="14" t="str">
        <f>""</f>
        <v/>
      </c>
      <c r="K2023" s="14" t="str">
        <f>"PFES1162673219_0001"</f>
        <v>PFES1162673219_0001</v>
      </c>
      <c r="L2023" s="14">
        <v>1</v>
      </c>
      <c r="M2023" s="14">
        <v>10</v>
      </c>
    </row>
    <row r="2024" spans="1:13">
      <c r="A2024" s="6">
        <v>43510</v>
      </c>
      <c r="B2024" s="7">
        <v>0.59861111111111109</v>
      </c>
      <c r="C2024" s="14" t="str">
        <f>"FES1162673252"</f>
        <v>FES1162673252</v>
      </c>
      <c r="D2024" s="14" t="s">
        <v>18</v>
      </c>
      <c r="E2024" s="14" t="s">
        <v>693</v>
      </c>
      <c r="F2024" s="14" t="str">
        <f>"2170674352 "</f>
        <v xml:space="preserve">2170674352 </v>
      </c>
      <c r="G2024" s="14" t="str">
        <f t="shared" si="63"/>
        <v>ON1</v>
      </c>
      <c r="H2024" s="14" t="s">
        <v>20</v>
      </c>
      <c r="I2024" s="14" t="s">
        <v>694</v>
      </c>
      <c r="J2024" s="14" t="str">
        <f>""</f>
        <v/>
      </c>
      <c r="K2024" s="14" t="str">
        <f>"PFES1162673252_0001"</f>
        <v>PFES1162673252_0001</v>
      </c>
      <c r="L2024" s="14">
        <v>1</v>
      </c>
      <c r="M2024" s="14">
        <v>2</v>
      </c>
    </row>
    <row r="2025" spans="1:13">
      <c r="A2025" s="6">
        <v>43510</v>
      </c>
      <c r="B2025" s="7">
        <v>0.59791666666666665</v>
      </c>
      <c r="C2025" s="14" t="str">
        <f>"FES1162673225"</f>
        <v>FES1162673225</v>
      </c>
      <c r="D2025" s="14" t="s">
        <v>18</v>
      </c>
      <c r="E2025" s="14" t="s">
        <v>140</v>
      </c>
      <c r="F2025" s="14" t="str">
        <f>"2170674412 "</f>
        <v xml:space="preserve">2170674412 </v>
      </c>
      <c r="G2025" s="14" t="str">
        <f t="shared" si="63"/>
        <v>ON1</v>
      </c>
      <c r="H2025" s="14" t="s">
        <v>20</v>
      </c>
      <c r="I2025" s="14" t="s">
        <v>141</v>
      </c>
      <c r="J2025" s="14" t="str">
        <f>""</f>
        <v/>
      </c>
      <c r="K2025" s="14" t="str">
        <f>"PFES1162673225_0001"</f>
        <v>PFES1162673225_0001</v>
      </c>
      <c r="L2025" s="14">
        <v>1</v>
      </c>
      <c r="M2025" s="14">
        <v>4</v>
      </c>
    </row>
    <row r="2026" spans="1:13">
      <c r="A2026" s="6">
        <v>43510</v>
      </c>
      <c r="B2026" s="7">
        <v>0.59652777777777777</v>
      </c>
      <c r="C2026" s="14" t="str">
        <f>"FES1162673235"</f>
        <v>FES1162673235</v>
      </c>
      <c r="D2026" s="14" t="s">
        <v>18</v>
      </c>
      <c r="E2026" s="14" t="s">
        <v>214</v>
      </c>
      <c r="F2026" s="14" t="str">
        <f>"2170674429 "</f>
        <v xml:space="preserve">2170674429 </v>
      </c>
      <c r="G2026" s="14" t="str">
        <f t="shared" si="63"/>
        <v>ON1</v>
      </c>
      <c r="H2026" s="14" t="s">
        <v>20</v>
      </c>
      <c r="I2026" s="14" t="s">
        <v>215</v>
      </c>
      <c r="J2026" s="14" t="str">
        <f>""</f>
        <v/>
      </c>
      <c r="K2026" s="14" t="str">
        <f>"PFES1162673235_0001"</f>
        <v>PFES1162673235_0001</v>
      </c>
      <c r="L2026" s="14">
        <v>1</v>
      </c>
      <c r="M2026" s="14">
        <v>3</v>
      </c>
    </row>
    <row r="2027" spans="1:13">
      <c r="A2027" s="6">
        <v>43510</v>
      </c>
      <c r="B2027" s="7">
        <v>0.59583333333333333</v>
      </c>
      <c r="C2027" s="14" t="str">
        <f>"FES1162673042"</f>
        <v>FES1162673042</v>
      </c>
      <c r="D2027" s="14" t="s">
        <v>18</v>
      </c>
      <c r="E2027" s="14" t="s">
        <v>253</v>
      </c>
      <c r="F2027" s="14" t="str">
        <f>"2170671791 "</f>
        <v xml:space="preserve">2170671791 </v>
      </c>
      <c r="G2027" s="14" t="str">
        <f t="shared" si="63"/>
        <v>ON1</v>
      </c>
      <c r="H2027" s="14" t="s">
        <v>20</v>
      </c>
      <c r="I2027" s="14" t="s">
        <v>226</v>
      </c>
      <c r="J2027" s="14" t="str">
        <f>""</f>
        <v/>
      </c>
      <c r="K2027" s="14" t="str">
        <f>"PFES1162673042_0001"</f>
        <v>PFES1162673042_0001</v>
      </c>
      <c r="L2027" s="14">
        <v>1</v>
      </c>
      <c r="M2027" s="14">
        <v>5</v>
      </c>
    </row>
    <row r="2028" spans="1:13">
      <c r="A2028" s="6">
        <v>43510</v>
      </c>
      <c r="B2028" s="7">
        <v>0.59513888888888888</v>
      </c>
      <c r="C2028" s="14" t="str">
        <f>"FES1162673248"</f>
        <v>FES1162673248</v>
      </c>
      <c r="D2028" s="14" t="s">
        <v>18</v>
      </c>
      <c r="E2028" s="14" t="s">
        <v>214</v>
      </c>
      <c r="F2028" s="14" t="str">
        <f>"2170674438 "</f>
        <v xml:space="preserve">2170674438 </v>
      </c>
      <c r="G2028" s="14" t="str">
        <f t="shared" si="63"/>
        <v>ON1</v>
      </c>
      <c r="H2028" s="14" t="s">
        <v>20</v>
      </c>
      <c r="I2028" s="14" t="s">
        <v>215</v>
      </c>
      <c r="J2028" s="14" t="str">
        <f>""</f>
        <v/>
      </c>
      <c r="K2028" s="14" t="str">
        <f>"PFES1162673248_0001"</f>
        <v>PFES1162673248_0001</v>
      </c>
      <c r="L2028" s="14">
        <v>1</v>
      </c>
      <c r="M2028" s="14">
        <v>1</v>
      </c>
    </row>
    <row r="2029" spans="1:13">
      <c r="A2029" s="6">
        <v>43510</v>
      </c>
      <c r="B2029" s="7">
        <v>0.59513888888888888</v>
      </c>
      <c r="C2029" s="14" t="str">
        <f>"FES1162673081"</f>
        <v>FES1162673081</v>
      </c>
      <c r="D2029" s="14" t="s">
        <v>18</v>
      </c>
      <c r="E2029" s="14" t="s">
        <v>933</v>
      </c>
      <c r="F2029" s="14" t="str">
        <f>"2170671481 "</f>
        <v xml:space="preserve">2170671481 </v>
      </c>
      <c r="G2029" s="14" t="str">
        <f t="shared" si="63"/>
        <v>ON1</v>
      </c>
      <c r="H2029" s="14" t="s">
        <v>20</v>
      </c>
      <c r="I2029" s="14" t="s">
        <v>63</v>
      </c>
      <c r="J2029" s="14" t="str">
        <f>""</f>
        <v/>
      </c>
      <c r="K2029" s="14" t="str">
        <f>"PFES1162673081_0001"</f>
        <v>PFES1162673081_0001</v>
      </c>
      <c r="L2029" s="14">
        <v>1</v>
      </c>
      <c r="M2029" s="14">
        <v>1</v>
      </c>
    </row>
    <row r="2030" spans="1:13">
      <c r="A2030" s="6">
        <v>43510</v>
      </c>
      <c r="B2030" s="7">
        <v>0.59444444444444444</v>
      </c>
      <c r="C2030" s="14" t="str">
        <f>"FES1162673054"</f>
        <v>FES1162673054</v>
      </c>
      <c r="D2030" s="14" t="s">
        <v>18</v>
      </c>
      <c r="E2030" s="14" t="s">
        <v>238</v>
      </c>
      <c r="F2030" s="14" t="str">
        <f>"2170672442 "</f>
        <v xml:space="preserve">2170672442 </v>
      </c>
      <c r="G2030" s="14" t="str">
        <f t="shared" si="63"/>
        <v>ON1</v>
      </c>
      <c r="H2030" s="14" t="s">
        <v>20</v>
      </c>
      <c r="I2030" s="14" t="s">
        <v>239</v>
      </c>
      <c r="J2030" s="14" t="str">
        <f>""</f>
        <v/>
      </c>
      <c r="K2030" s="14" t="str">
        <f>"PFES1162673054_0001"</f>
        <v>PFES1162673054_0001</v>
      </c>
      <c r="L2030" s="14">
        <v>1</v>
      </c>
      <c r="M2030" s="14">
        <v>1</v>
      </c>
    </row>
    <row r="2031" spans="1:13">
      <c r="A2031" s="6">
        <v>43510</v>
      </c>
      <c r="B2031" s="7">
        <v>0.59375</v>
      </c>
      <c r="C2031" s="14" t="str">
        <f>"FES1162673178"</f>
        <v>FES1162673178</v>
      </c>
      <c r="D2031" s="14" t="s">
        <v>18</v>
      </c>
      <c r="E2031" s="14" t="s">
        <v>934</v>
      </c>
      <c r="F2031" s="14" t="str">
        <f>"2170674350 "</f>
        <v xml:space="preserve">2170674350 </v>
      </c>
      <c r="G2031" s="14" t="str">
        <f t="shared" si="63"/>
        <v>ON1</v>
      </c>
      <c r="H2031" s="14" t="s">
        <v>20</v>
      </c>
      <c r="I2031" s="14" t="s">
        <v>61</v>
      </c>
      <c r="J2031" s="14" t="str">
        <f>""</f>
        <v/>
      </c>
      <c r="K2031" s="14" t="str">
        <f>"PFES1162673178_0001"</f>
        <v>PFES1162673178_0001</v>
      </c>
      <c r="L2031" s="14">
        <v>1</v>
      </c>
      <c r="M2031" s="14">
        <v>1</v>
      </c>
    </row>
    <row r="2032" spans="1:13">
      <c r="A2032" s="6">
        <v>43510</v>
      </c>
      <c r="B2032" s="7">
        <v>0.59375</v>
      </c>
      <c r="C2032" s="14" t="str">
        <f>"FES1162673192"</f>
        <v>FES1162673192</v>
      </c>
      <c r="D2032" s="14" t="s">
        <v>18</v>
      </c>
      <c r="E2032" s="14" t="s">
        <v>843</v>
      </c>
      <c r="F2032" s="14" t="str">
        <f>"2170674367 "</f>
        <v xml:space="preserve">2170674367 </v>
      </c>
      <c r="G2032" s="14" t="str">
        <f t="shared" si="63"/>
        <v>ON1</v>
      </c>
      <c r="H2032" s="14" t="s">
        <v>20</v>
      </c>
      <c r="I2032" s="14" t="s">
        <v>43</v>
      </c>
      <c r="J2032" s="14" t="str">
        <f>""</f>
        <v/>
      </c>
      <c r="K2032" s="14" t="str">
        <f>"PFES1162673192_0001"</f>
        <v>PFES1162673192_0001</v>
      </c>
      <c r="L2032" s="14">
        <v>1</v>
      </c>
      <c r="M2032" s="14">
        <v>1</v>
      </c>
    </row>
    <row r="2033" spans="1:13">
      <c r="A2033" s="6">
        <v>43510</v>
      </c>
      <c r="B2033" s="7">
        <v>0.59305555555555556</v>
      </c>
      <c r="C2033" s="14" t="str">
        <f>"FES1162673238"</f>
        <v>FES1162673238</v>
      </c>
      <c r="D2033" s="14" t="s">
        <v>18</v>
      </c>
      <c r="E2033" s="14" t="s">
        <v>97</v>
      </c>
      <c r="F2033" s="14" t="str">
        <f>"2170673938 "</f>
        <v xml:space="preserve">2170673938 </v>
      </c>
      <c r="G2033" s="14" t="str">
        <f t="shared" si="63"/>
        <v>ON1</v>
      </c>
      <c r="H2033" s="14" t="s">
        <v>20</v>
      </c>
      <c r="I2033" s="14" t="s">
        <v>70</v>
      </c>
      <c r="J2033" s="14" t="str">
        <f>""</f>
        <v/>
      </c>
      <c r="K2033" s="14" t="str">
        <f>"PFES1162673238_0001"</f>
        <v>PFES1162673238_0001</v>
      </c>
      <c r="L2033" s="14">
        <v>1</v>
      </c>
      <c r="M2033" s="14">
        <v>1</v>
      </c>
    </row>
    <row r="2034" spans="1:13">
      <c r="A2034" s="6">
        <v>43510</v>
      </c>
      <c r="B2034" s="7">
        <v>0.59305555555555556</v>
      </c>
      <c r="C2034" s="14" t="str">
        <f>"FES1162673146"</f>
        <v>FES1162673146</v>
      </c>
      <c r="D2034" s="14" t="s">
        <v>18</v>
      </c>
      <c r="E2034" s="14" t="s">
        <v>372</v>
      </c>
      <c r="F2034" s="14" t="str">
        <f>"2170673182 "</f>
        <v xml:space="preserve">2170673182 </v>
      </c>
      <c r="G2034" s="14" t="str">
        <f t="shared" si="63"/>
        <v>ON1</v>
      </c>
      <c r="H2034" s="14" t="s">
        <v>20</v>
      </c>
      <c r="I2034" s="14" t="s">
        <v>143</v>
      </c>
      <c r="J2034" s="14" t="str">
        <f>""</f>
        <v/>
      </c>
      <c r="K2034" s="14" t="str">
        <f>"PFES1162673146_0001"</f>
        <v>PFES1162673146_0001</v>
      </c>
      <c r="L2034" s="14">
        <v>1</v>
      </c>
      <c r="M2034" s="14">
        <v>1</v>
      </c>
    </row>
    <row r="2035" spans="1:13">
      <c r="A2035" s="6">
        <v>43510</v>
      </c>
      <c r="B2035" s="7">
        <v>0.59236111111111112</v>
      </c>
      <c r="C2035" s="14" t="str">
        <f>"FES1162673232"</f>
        <v>FES1162673232</v>
      </c>
      <c r="D2035" s="14" t="s">
        <v>18</v>
      </c>
      <c r="E2035" s="14" t="s">
        <v>148</v>
      </c>
      <c r="F2035" s="14" t="str">
        <f>"2170674423 "</f>
        <v xml:space="preserve">2170674423 </v>
      </c>
      <c r="G2035" s="14" t="str">
        <f t="shared" si="63"/>
        <v>ON1</v>
      </c>
      <c r="H2035" s="14" t="s">
        <v>20</v>
      </c>
      <c r="I2035" s="14" t="s">
        <v>149</v>
      </c>
      <c r="J2035" s="14" t="str">
        <f>""</f>
        <v/>
      </c>
      <c r="K2035" s="14" t="str">
        <f>"PFES1162673232_0001"</f>
        <v>PFES1162673232_0001</v>
      </c>
      <c r="L2035" s="14">
        <v>1</v>
      </c>
      <c r="M2035" s="14">
        <v>1</v>
      </c>
    </row>
    <row r="2036" spans="1:13">
      <c r="A2036" s="6">
        <v>43510</v>
      </c>
      <c r="B2036" s="7">
        <v>0.59166666666666667</v>
      </c>
      <c r="C2036" s="14" t="str">
        <f>"FES1162673071"</f>
        <v>FES1162673071</v>
      </c>
      <c r="D2036" s="14" t="s">
        <v>18</v>
      </c>
      <c r="E2036" s="14" t="s">
        <v>47</v>
      </c>
      <c r="F2036" s="14" t="str">
        <f>"2170666293 "</f>
        <v xml:space="preserve">2170666293 </v>
      </c>
      <c r="G2036" s="14" t="str">
        <f t="shared" si="63"/>
        <v>ON1</v>
      </c>
      <c r="H2036" s="14" t="s">
        <v>20</v>
      </c>
      <c r="I2036" s="14" t="s">
        <v>48</v>
      </c>
      <c r="J2036" s="14" t="str">
        <f>""</f>
        <v/>
      </c>
      <c r="K2036" s="14" t="str">
        <f>"PFES1162673071_0001"</f>
        <v>PFES1162673071_0001</v>
      </c>
      <c r="L2036" s="14">
        <v>1</v>
      </c>
      <c r="M2036" s="14">
        <v>4</v>
      </c>
    </row>
    <row r="2037" spans="1:13">
      <c r="A2037" s="6">
        <v>43510</v>
      </c>
      <c r="B2037" s="7">
        <v>0.59166666666666667</v>
      </c>
      <c r="C2037" s="14" t="str">
        <f>"FES1162673187"</f>
        <v>FES1162673187</v>
      </c>
      <c r="D2037" s="14" t="s">
        <v>18</v>
      </c>
      <c r="E2037" s="14" t="s">
        <v>227</v>
      </c>
      <c r="F2037" s="14" t="str">
        <f>"2170674360 "</f>
        <v xml:space="preserve">2170674360 </v>
      </c>
      <c r="G2037" s="14" t="str">
        <f t="shared" si="63"/>
        <v>ON1</v>
      </c>
      <c r="H2037" s="14" t="s">
        <v>20</v>
      </c>
      <c r="I2037" s="14" t="s">
        <v>228</v>
      </c>
      <c r="J2037" s="14" t="str">
        <f>""</f>
        <v/>
      </c>
      <c r="K2037" s="14" t="str">
        <f>"PFES1162673187_0001"</f>
        <v>PFES1162673187_0001</v>
      </c>
      <c r="L2037" s="14">
        <v>1</v>
      </c>
      <c r="M2037" s="14">
        <v>1</v>
      </c>
    </row>
    <row r="2038" spans="1:13">
      <c r="A2038" s="6">
        <v>43510</v>
      </c>
      <c r="B2038" s="7">
        <v>0.59166666666666667</v>
      </c>
      <c r="C2038" s="14" t="str">
        <f>"FES1162673244"</f>
        <v>FES1162673244</v>
      </c>
      <c r="D2038" s="14" t="s">
        <v>18</v>
      </c>
      <c r="E2038" s="14" t="s">
        <v>935</v>
      </c>
      <c r="F2038" s="14" t="str">
        <f>"2170674430 "</f>
        <v xml:space="preserve">2170674430 </v>
      </c>
      <c r="G2038" s="14" t="str">
        <f t="shared" si="63"/>
        <v>ON1</v>
      </c>
      <c r="H2038" s="14" t="s">
        <v>20</v>
      </c>
      <c r="I2038" s="14" t="s">
        <v>555</v>
      </c>
      <c r="J2038" s="14" t="str">
        <f>""</f>
        <v/>
      </c>
      <c r="K2038" s="14" t="str">
        <f>"PFES1162673244_0001"</f>
        <v>PFES1162673244_0001</v>
      </c>
      <c r="L2038" s="14">
        <v>1</v>
      </c>
      <c r="M2038" s="14">
        <v>1</v>
      </c>
    </row>
    <row r="2039" spans="1:13">
      <c r="A2039" s="6">
        <v>43510</v>
      </c>
      <c r="B2039" s="7">
        <v>0.59097222222222223</v>
      </c>
      <c r="C2039" s="14" t="str">
        <f>"FES1162673073"</f>
        <v>FES1162673073</v>
      </c>
      <c r="D2039" s="14" t="s">
        <v>18</v>
      </c>
      <c r="E2039" s="14" t="s">
        <v>47</v>
      </c>
      <c r="F2039" s="14" t="str">
        <f>"2170667792 "</f>
        <v xml:space="preserve">2170667792 </v>
      </c>
      <c r="G2039" s="14" t="str">
        <f t="shared" si="63"/>
        <v>ON1</v>
      </c>
      <c r="H2039" s="14" t="s">
        <v>20</v>
      </c>
      <c r="I2039" s="14" t="s">
        <v>48</v>
      </c>
      <c r="J2039" s="14" t="str">
        <f>""</f>
        <v/>
      </c>
      <c r="K2039" s="14" t="str">
        <f>"PFES1162673073_0001"</f>
        <v>PFES1162673073_0001</v>
      </c>
      <c r="L2039" s="14">
        <v>1</v>
      </c>
      <c r="M2039" s="14">
        <v>1</v>
      </c>
    </row>
    <row r="2040" spans="1:13">
      <c r="A2040" s="6">
        <v>43510</v>
      </c>
      <c r="B2040" s="7">
        <v>0.59097222222222223</v>
      </c>
      <c r="C2040" s="14" t="str">
        <f>"FES1162673047"</f>
        <v>FES1162673047</v>
      </c>
      <c r="D2040" s="14" t="s">
        <v>18</v>
      </c>
      <c r="E2040" s="14" t="s">
        <v>670</v>
      </c>
      <c r="F2040" s="14" t="str">
        <f>"2170672323 "</f>
        <v xml:space="preserve">2170672323 </v>
      </c>
      <c r="G2040" s="14" t="str">
        <f t="shared" si="63"/>
        <v>ON1</v>
      </c>
      <c r="H2040" s="14" t="s">
        <v>20</v>
      </c>
      <c r="I2040" s="14" t="s">
        <v>213</v>
      </c>
      <c r="J2040" s="14" t="str">
        <f>""</f>
        <v/>
      </c>
      <c r="K2040" s="14" t="str">
        <f>"PFES1162673047_0001"</f>
        <v>PFES1162673047_0001</v>
      </c>
      <c r="L2040" s="14">
        <v>2</v>
      </c>
      <c r="M2040" s="14">
        <v>10</v>
      </c>
    </row>
    <row r="2041" spans="1:13">
      <c r="A2041" s="6">
        <v>43510</v>
      </c>
      <c r="B2041" s="7">
        <v>0.59097222222222223</v>
      </c>
      <c r="C2041" s="14" t="str">
        <f>"FES1162673047"</f>
        <v>FES1162673047</v>
      </c>
      <c r="D2041" s="14" t="s">
        <v>18</v>
      </c>
      <c r="E2041" s="14" t="s">
        <v>670</v>
      </c>
      <c r="F2041" s="14" t="str">
        <f>"2170672323 "</f>
        <v xml:space="preserve">2170672323 </v>
      </c>
      <c r="G2041" s="14" t="str">
        <f t="shared" si="63"/>
        <v>ON1</v>
      </c>
      <c r="H2041" s="14" t="s">
        <v>20</v>
      </c>
      <c r="I2041" s="14" t="s">
        <v>213</v>
      </c>
      <c r="J2041" s="14"/>
      <c r="K2041" s="14" t="str">
        <f>"PFES1162673047_0002"</f>
        <v>PFES1162673047_0002</v>
      </c>
      <c r="L2041" s="14">
        <v>2</v>
      </c>
      <c r="M2041" s="14">
        <v>10</v>
      </c>
    </row>
    <row r="2042" spans="1:13">
      <c r="A2042" s="6">
        <v>43510</v>
      </c>
      <c r="B2042" s="7">
        <v>0.59027777777777779</v>
      </c>
      <c r="C2042" s="14" t="str">
        <f>"FES1162673012"</f>
        <v>FES1162673012</v>
      </c>
      <c r="D2042" s="14" t="s">
        <v>18</v>
      </c>
      <c r="E2042" s="14" t="s">
        <v>709</v>
      </c>
      <c r="F2042" s="14" t="str">
        <f>"2170674273 "</f>
        <v xml:space="preserve">2170674273 </v>
      </c>
      <c r="G2042" s="14" t="str">
        <f t="shared" si="63"/>
        <v>ON1</v>
      </c>
      <c r="H2042" s="14" t="s">
        <v>20</v>
      </c>
      <c r="I2042" s="14" t="s">
        <v>43</v>
      </c>
      <c r="J2042" s="14" t="str">
        <f>""</f>
        <v/>
      </c>
      <c r="K2042" s="14" t="str">
        <f>"PFES1162673012_0001"</f>
        <v>PFES1162673012_0001</v>
      </c>
      <c r="L2042" s="14">
        <v>1</v>
      </c>
      <c r="M2042" s="14">
        <v>1</v>
      </c>
    </row>
    <row r="2043" spans="1:13">
      <c r="A2043" s="6">
        <v>43510</v>
      </c>
      <c r="B2043" s="7">
        <v>0.58958333333333335</v>
      </c>
      <c r="C2043" s="14" t="str">
        <f>"FES1162673221"</f>
        <v>FES1162673221</v>
      </c>
      <c r="D2043" s="14" t="s">
        <v>18</v>
      </c>
      <c r="E2043" s="14" t="s">
        <v>140</v>
      </c>
      <c r="F2043" s="14" t="str">
        <f>"2170674411 "</f>
        <v xml:space="preserve">2170674411 </v>
      </c>
      <c r="G2043" s="14" t="str">
        <f t="shared" si="63"/>
        <v>ON1</v>
      </c>
      <c r="H2043" s="14" t="s">
        <v>20</v>
      </c>
      <c r="I2043" s="14" t="s">
        <v>141</v>
      </c>
      <c r="J2043" s="14" t="str">
        <f>""</f>
        <v/>
      </c>
      <c r="K2043" s="14" t="str">
        <f>"PFES1162673221_0001"</f>
        <v>PFES1162673221_0001</v>
      </c>
      <c r="L2043" s="14">
        <v>1</v>
      </c>
      <c r="M2043" s="14">
        <v>1</v>
      </c>
    </row>
    <row r="2044" spans="1:13">
      <c r="A2044" s="6">
        <v>43510</v>
      </c>
      <c r="B2044" s="7">
        <v>0.58888888888888891</v>
      </c>
      <c r="C2044" s="14" t="str">
        <f>"FES1162673249"</f>
        <v>FES1162673249</v>
      </c>
      <c r="D2044" s="14" t="s">
        <v>18</v>
      </c>
      <c r="E2044" s="14" t="s">
        <v>44</v>
      </c>
      <c r="F2044" s="14" t="str">
        <f>"2170674440 "</f>
        <v xml:space="preserve">2170674440 </v>
      </c>
      <c r="G2044" s="14" t="str">
        <f t="shared" si="63"/>
        <v>ON1</v>
      </c>
      <c r="H2044" s="14" t="s">
        <v>20</v>
      </c>
      <c r="I2044" s="14" t="s">
        <v>39</v>
      </c>
      <c r="J2044" s="14" t="str">
        <f>""</f>
        <v/>
      </c>
      <c r="K2044" s="14" t="str">
        <f>"PFES1162673249_0001"</f>
        <v>PFES1162673249_0001</v>
      </c>
      <c r="L2044" s="14">
        <v>1</v>
      </c>
      <c r="M2044" s="14">
        <v>1</v>
      </c>
    </row>
    <row r="2045" spans="1:13">
      <c r="A2045" s="6">
        <v>43510</v>
      </c>
      <c r="B2045" s="7">
        <v>0.58750000000000002</v>
      </c>
      <c r="C2045" s="14" t="str">
        <f>"FES1162673259"</f>
        <v>FES1162673259</v>
      </c>
      <c r="D2045" s="14" t="s">
        <v>18</v>
      </c>
      <c r="E2045" s="14" t="s">
        <v>936</v>
      </c>
      <c r="F2045" s="14" t="str">
        <f>"2170674445 "</f>
        <v xml:space="preserve">2170674445 </v>
      </c>
      <c r="G2045" s="14" t="str">
        <f t="shared" ref="G2045:G2055" si="64">"ON1"</f>
        <v>ON1</v>
      </c>
      <c r="H2045" s="14" t="s">
        <v>20</v>
      </c>
      <c r="I2045" s="14" t="s">
        <v>937</v>
      </c>
      <c r="J2045" s="14" t="str">
        <f>""</f>
        <v/>
      </c>
      <c r="K2045" s="14" t="str">
        <f>"PFES1162673259_0001"</f>
        <v>PFES1162673259_0001</v>
      </c>
      <c r="L2045" s="14">
        <v>1</v>
      </c>
      <c r="M2045" s="14">
        <v>1</v>
      </c>
    </row>
    <row r="2046" spans="1:13">
      <c r="A2046" s="6">
        <v>43510</v>
      </c>
      <c r="B2046" s="7">
        <v>0.58750000000000002</v>
      </c>
      <c r="C2046" s="14" t="str">
        <f>"FES1162673233"</f>
        <v>FES1162673233</v>
      </c>
      <c r="D2046" s="14" t="s">
        <v>18</v>
      </c>
      <c r="E2046" s="14" t="s">
        <v>309</v>
      </c>
      <c r="F2046" s="14" t="str">
        <f>"2170674424 "</f>
        <v xml:space="preserve">2170674424 </v>
      </c>
      <c r="G2046" s="14" t="str">
        <f t="shared" si="64"/>
        <v>ON1</v>
      </c>
      <c r="H2046" s="14" t="s">
        <v>20</v>
      </c>
      <c r="I2046" s="14" t="s">
        <v>310</v>
      </c>
      <c r="J2046" s="14" t="str">
        <f>""</f>
        <v/>
      </c>
      <c r="K2046" s="14" t="str">
        <f>"PFES1162673233_0001"</f>
        <v>PFES1162673233_0001</v>
      </c>
      <c r="L2046" s="14">
        <v>1</v>
      </c>
      <c r="M2046" s="14">
        <v>1</v>
      </c>
    </row>
    <row r="2047" spans="1:13">
      <c r="A2047" s="6">
        <v>43510</v>
      </c>
      <c r="B2047" s="7">
        <v>0.58750000000000002</v>
      </c>
      <c r="C2047" s="14" t="str">
        <f>"FES1162673038"</f>
        <v>FES1162673038</v>
      </c>
      <c r="D2047" s="14" t="s">
        <v>18</v>
      </c>
      <c r="E2047" s="14" t="s">
        <v>212</v>
      </c>
      <c r="F2047" s="14" t="str">
        <f>"2170674313 "</f>
        <v xml:space="preserve">2170674313 </v>
      </c>
      <c r="G2047" s="14" t="str">
        <f t="shared" si="64"/>
        <v>ON1</v>
      </c>
      <c r="H2047" s="14" t="s">
        <v>20</v>
      </c>
      <c r="I2047" s="14" t="s">
        <v>213</v>
      </c>
      <c r="J2047" s="14" t="str">
        <f>""</f>
        <v/>
      </c>
      <c r="K2047" s="14" t="str">
        <f>"PFES1162673038_0001"</f>
        <v>PFES1162673038_0001</v>
      </c>
      <c r="L2047" s="14">
        <v>1</v>
      </c>
      <c r="M2047" s="14">
        <v>18</v>
      </c>
    </row>
    <row r="2048" spans="1:13">
      <c r="A2048" s="6">
        <v>43510</v>
      </c>
      <c r="B2048" s="7">
        <v>0.58680555555555558</v>
      </c>
      <c r="C2048" s="14" t="str">
        <f>"FES1162673134"</f>
        <v>FES1162673134</v>
      </c>
      <c r="D2048" s="14" t="s">
        <v>18</v>
      </c>
      <c r="E2048" s="14" t="s">
        <v>938</v>
      </c>
      <c r="F2048" s="14" t="str">
        <f>"2170672686 "</f>
        <v xml:space="preserve">2170672686 </v>
      </c>
      <c r="G2048" s="14" t="str">
        <f t="shared" si="64"/>
        <v>ON1</v>
      </c>
      <c r="H2048" s="14" t="s">
        <v>20</v>
      </c>
      <c r="I2048" s="14" t="s">
        <v>810</v>
      </c>
      <c r="J2048" s="14" t="str">
        <f>""</f>
        <v/>
      </c>
      <c r="K2048" s="14" t="str">
        <f>"PFES1162673134_0001"</f>
        <v>PFES1162673134_0001</v>
      </c>
      <c r="L2048" s="14">
        <v>1</v>
      </c>
      <c r="M2048" s="14">
        <v>1</v>
      </c>
    </row>
    <row r="2049" spans="1:13">
      <c r="A2049" s="6">
        <v>43510</v>
      </c>
      <c r="B2049" s="7">
        <v>0.58680555555555558</v>
      </c>
      <c r="C2049" s="14" t="str">
        <f>"FES1162673143"</f>
        <v>FES1162673143</v>
      </c>
      <c r="D2049" s="14" t="s">
        <v>18</v>
      </c>
      <c r="E2049" s="14" t="s">
        <v>699</v>
      </c>
      <c r="F2049" s="14" t="str">
        <f>"2170672792 "</f>
        <v xml:space="preserve">2170672792 </v>
      </c>
      <c r="G2049" s="14" t="str">
        <f t="shared" si="64"/>
        <v>ON1</v>
      </c>
      <c r="H2049" s="14" t="s">
        <v>20</v>
      </c>
      <c r="I2049" s="14" t="s">
        <v>700</v>
      </c>
      <c r="J2049" s="14" t="str">
        <f>""</f>
        <v/>
      </c>
      <c r="K2049" s="14" t="str">
        <f>"PFES1162673143_0001"</f>
        <v>PFES1162673143_0001</v>
      </c>
      <c r="L2049" s="14">
        <v>1</v>
      </c>
      <c r="M2049" s="14">
        <v>2</v>
      </c>
    </row>
    <row r="2050" spans="1:13">
      <c r="A2050" s="6">
        <v>43510</v>
      </c>
      <c r="B2050" s="7">
        <v>0.5854166666666667</v>
      </c>
      <c r="C2050" s="14" t="str">
        <f>"FES1162673138"</f>
        <v>FES1162673138</v>
      </c>
      <c r="D2050" s="14" t="s">
        <v>18</v>
      </c>
      <c r="E2050" s="14" t="s">
        <v>386</v>
      </c>
      <c r="F2050" s="14" t="str">
        <f>"2170672737 "</f>
        <v xml:space="preserve">2170672737 </v>
      </c>
      <c r="G2050" s="14" t="str">
        <f t="shared" si="64"/>
        <v>ON1</v>
      </c>
      <c r="H2050" s="14" t="s">
        <v>20</v>
      </c>
      <c r="I2050" s="14" t="s">
        <v>41</v>
      </c>
      <c r="J2050" s="14" t="str">
        <f>""</f>
        <v/>
      </c>
      <c r="K2050" s="14" t="str">
        <f>"PFES1162673138_0001"</f>
        <v>PFES1162673138_0001</v>
      </c>
      <c r="L2050" s="14">
        <v>1</v>
      </c>
      <c r="M2050" s="14">
        <v>1</v>
      </c>
    </row>
    <row r="2051" spans="1:13">
      <c r="A2051" s="6">
        <v>43510</v>
      </c>
      <c r="B2051" s="7">
        <v>0.5854166666666667</v>
      </c>
      <c r="C2051" s="14" t="str">
        <f>"FES1162673079"</f>
        <v>FES1162673079</v>
      </c>
      <c r="D2051" s="14" t="s">
        <v>18</v>
      </c>
      <c r="E2051" s="14" t="s">
        <v>889</v>
      </c>
      <c r="F2051" s="14" t="str">
        <f>"2170671339 "</f>
        <v xml:space="preserve">2170671339 </v>
      </c>
      <c r="G2051" s="14" t="str">
        <f t="shared" si="64"/>
        <v>ON1</v>
      </c>
      <c r="H2051" s="14" t="s">
        <v>20</v>
      </c>
      <c r="I2051" s="14" t="s">
        <v>890</v>
      </c>
      <c r="J2051" s="14" t="str">
        <f>""</f>
        <v/>
      </c>
      <c r="K2051" s="14" t="str">
        <f>"PFES1162673079_0001"</f>
        <v>PFES1162673079_0001</v>
      </c>
      <c r="L2051" s="14">
        <v>1</v>
      </c>
      <c r="M2051" s="14">
        <v>1</v>
      </c>
    </row>
    <row r="2052" spans="1:13">
      <c r="A2052" s="6">
        <v>43510</v>
      </c>
      <c r="B2052" s="7">
        <v>0.58472222222222225</v>
      </c>
      <c r="C2052" s="14" t="str">
        <f>"FES1162673140"</f>
        <v>FES1162673140</v>
      </c>
      <c r="D2052" s="14" t="s">
        <v>18</v>
      </c>
      <c r="E2052" s="14" t="s">
        <v>939</v>
      </c>
      <c r="F2052" s="14" t="str">
        <f>"2170672765 "</f>
        <v xml:space="preserve">2170672765 </v>
      </c>
      <c r="G2052" s="14" t="str">
        <f t="shared" si="64"/>
        <v>ON1</v>
      </c>
      <c r="H2052" s="14" t="s">
        <v>20</v>
      </c>
      <c r="I2052" s="14" t="s">
        <v>940</v>
      </c>
      <c r="J2052" s="14" t="str">
        <f>""</f>
        <v/>
      </c>
      <c r="K2052" s="14" t="str">
        <f>"PFES1162673140_0001"</f>
        <v>PFES1162673140_0001</v>
      </c>
      <c r="L2052" s="14">
        <v>1</v>
      </c>
      <c r="M2052" s="14">
        <v>10</v>
      </c>
    </row>
    <row r="2053" spans="1:13">
      <c r="A2053" s="6">
        <v>43510</v>
      </c>
      <c r="B2053" s="7">
        <v>0.58472222222222225</v>
      </c>
      <c r="C2053" s="14" t="str">
        <f>"FES1162673121"</f>
        <v>FES1162673121</v>
      </c>
      <c r="D2053" s="14" t="s">
        <v>18</v>
      </c>
      <c r="E2053" s="14" t="s">
        <v>610</v>
      </c>
      <c r="F2053" s="14" t="str">
        <f>"2170672527 "</f>
        <v xml:space="preserve">2170672527 </v>
      </c>
      <c r="G2053" s="14" t="str">
        <f t="shared" si="64"/>
        <v>ON1</v>
      </c>
      <c r="H2053" s="14" t="s">
        <v>20</v>
      </c>
      <c r="I2053" s="14" t="s">
        <v>272</v>
      </c>
      <c r="J2053" s="14" t="str">
        <f>""</f>
        <v/>
      </c>
      <c r="K2053" s="14" t="str">
        <f>"PFES1162673121_0001"</f>
        <v>PFES1162673121_0001</v>
      </c>
      <c r="L2053" s="14">
        <v>1</v>
      </c>
      <c r="M2053" s="14">
        <v>1</v>
      </c>
    </row>
    <row r="2054" spans="1:13">
      <c r="A2054" s="6">
        <v>43510</v>
      </c>
      <c r="B2054" s="7">
        <v>0.58402777777777781</v>
      </c>
      <c r="C2054" s="14" t="str">
        <f>"FES1162673091"</f>
        <v>FES1162673091</v>
      </c>
      <c r="D2054" s="14" t="s">
        <v>18</v>
      </c>
      <c r="E2054" s="14" t="s">
        <v>462</v>
      </c>
      <c r="F2054" s="14" t="str">
        <f>"2170671686 "</f>
        <v xml:space="preserve">2170671686 </v>
      </c>
      <c r="G2054" s="14" t="str">
        <f t="shared" si="64"/>
        <v>ON1</v>
      </c>
      <c r="H2054" s="14" t="s">
        <v>20</v>
      </c>
      <c r="I2054" s="14" t="s">
        <v>463</v>
      </c>
      <c r="J2054" s="14" t="str">
        <f>""</f>
        <v/>
      </c>
      <c r="K2054" s="14" t="str">
        <f>"PFES1162673091_0001"</f>
        <v>PFES1162673091_0001</v>
      </c>
      <c r="L2054" s="14">
        <v>1</v>
      </c>
      <c r="M2054" s="14">
        <v>1</v>
      </c>
    </row>
    <row r="2055" spans="1:13">
      <c r="A2055" s="6">
        <v>43510</v>
      </c>
      <c r="B2055" s="7">
        <v>0.58333333333333337</v>
      </c>
      <c r="C2055" s="14" t="str">
        <f>"FES1162673165"</f>
        <v>FES1162673165</v>
      </c>
      <c r="D2055" s="14" t="s">
        <v>18</v>
      </c>
      <c r="E2055" s="14" t="s">
        <v>151</v>
      </c>
      <c r="F2055" s="14" t="str">
        <f>"2170674333 "</f>
        <v xml:space="preserve">2170674333 </v>
      </c>
      <c r="G2055" s="14" t="str">
        <f t="shared" si="64"/>
        <v>ON1</v>
      </c>
      <c r="H2055" s="14" t="s">
        <v>20</v>
      </c>
      <c r="I2055" s="14" t="s">
        <v>63</v>
      </c>
      <c r="J2055" s="14" t="str">
        <f>""</f>
        <v/>
      </c>
      <c r="K2055" s="14" t="str">
        <f>"PFES1162673165_0001"</f>
        <v>PFES1162673165_0001</v>
      </c>
      <c r="L2055" s="14">
        <v>1</v>
      </c>
      <c r="M2055" s="14">
        <v>1</v>
      </c>
    </row>
    <row r="2056" spans="1:13">
      <c r="A2056" s="6">
        <v>43510</v>
      </c>
      <c r="B2056" s="7">
        <v>0.58333333333333337</v>
      </c>
      <c r="C2056" s="14" t="str">
        <f>"FES1162673102"</f>
        <v>FES1162673102</v>
      </c>
      <c r="D2056" s="14" t="s">
        <v>18</v>
      </c>
      <c r="E2056" s="14" t="s">
        <v>941</v>
      </c>
      <c r="F2056" s="14" t="str">
        <f>"2170672049 "</f>
        <v xml:space="preserve">2170672049 </v>
      </c>
      <c r="G2056" s="14" t="str">
        <f>"DBC"</f>
        <v>DBC</v>
      </c>
      <c r="H2056" s="14" t="s">
        <v>20</v>
      </c>
      <c r="I2056" s="14" t="s">
        <v>237</v>
      </c>
      <c r="J2056" s="14" t="str">
        <f>""</f>
        <v/>
      </c>
      <c r="K2056" s="14" t="str">
        <f>"PFES1162673102_0001"</f>
        <v>PFES1162673102_0001</v>
      </c>
      <c r="L2056" s="14">
        <v>1</v>
      </c>
      <c r="M2056" s="14">
        <v>20</v>
      </c>
    </row>
    <row r="2057" spans="1:13">
      <c r="A2057" s="6">
        <v>43510</v>
      </c>
      <c r="B2057" s="7">
        <v>0.5805555555555556</v>
      </c>
      <c r="C2057" s="14" t="str">
        <f>"FES1162673195"</f>
        <v>FES1162673195</v>
      </c>
      <c r="D2057" s="14" t="s">
        <v>18</v>
      </c>
      <c r="E2057" s="14" t="s">
        <v>69</v>
      </c>
      <c r="F2057" s="14" t="str">
        <f>"2170674372 "</f>
        <v xml:space="preserve">2170674372 </v>
      </c>
      <c r="G2057" s="14" t="str">
        <f t="shared" ref="G2057:G2084" si="65">"ON1"</f>
        <v>ON1</v>
      </c>
      <c r="H2057" s="14" t="s">
        <v>20</v>
      </c>
      <c r="I2057" s="14" t="s">
        <v>70</v>
      </c>
      <c r="J2057" s="14" t="str">
        <f>""</f>
        <v/>
      </c>
      <c r="K2057" s="14" t="str">
        <f>"PFES1162673195_0001"</f>
        <v>PFES1162673195_0001</v>
      </c>
      <c r="L2057" s="14">
        <v>1</v>
      </c>
      <c r="M2057" s="14">
        <v>14</v>
      </c>
    </row>
    <row r="2058" spans="1:13">
      <c r="A2058" s="6">
        <v>43510</v>
      </c>
      <c r="B2058" s="7">
        <v>0.57986111111111105</v>
      </c>
      <c r="C2058" s="14" t="str">
        <f>"FES1162673224"</f>
        <v>FES1162673224</v>
      </c>
      <c r="D2058" s="14" t="s">
        <v>18</v>
      </c>
      <c r="E2058" s="14" t="s">
        <v>942</v>
      </c>
      <c r="F2058" s="14" t="str">
        <f>"2170674384 "</f>
        <v xml:space="preserve">2170674384 </v>
      </c>
      <c r="G2058" s="14" t="str">
        <f t="shared" si="65"/>
        <v>ON1</v>
      </c>
      <c r="H2058" s="14" t="s">
        <v>20</v>
      </c>
      <c r="I2058" s="14" t="s">
        <v>237</v>
      </c>
      <c r="J2058" s="14" t="str">
        <f>""</f>
        <v/>
      </c>
      <c r="K2058" s="14" t="str">
        <f>"PFES1162673224_0001"</f>
        <v>PFES1162673224_0001</v>
      </c>
      <c r="L2058" s="14">
        <v>1</v>
      </c>
      <c r="M2058" s="14">
        <v>8</v>
      </c>
    </row>
    <row r="2059" spans="1:13">
      <c r="A2059" s="6">
        <v>43510</v>
      </c>
      <c r="B2059" s="7">
        <v>0.57847222222222217</v>
      </c>
      <c r="C2059" s="14" t="str">
        <f>"FES1162673050"</f>
        <v>FES1162673050</v>
      </c>
      <c r="D2059" s="14" t="s">
        <v>18</v>
      </c>
      <c r="E2059" s="14" t="s">
        <v>606</v>
      </c>
      <c r="F2059" s="14" t="str">
        <f>"2170672358 "</f>
        <v xml:space="preserve">2170672358 </v>
      </c>
      <c r="G2059" s="14" t="str">
        <f t="shared" si="65"/>
        <v>ON1</v>
      </c>
      <c r="H2059" s="14" t="s">
        <v>20</v>
      </c>
      <c r="I2059" s="14" t="s">
        <v>124</v>
      </c>
      <c r="J2059" s="14" t="str">
        <f>""</f>
        <v/>
      </c>
      <c r="K2059" s="14" t="str">
        <f>"PFES1162673050_0001"</f>
        <v>PFES1162673050_0001</v>
      </c>
      <c r="L2059" s="14">
        <v>1</v>
      </c>
      <c r="M2059" s="14">
        <v>12</v>
      </c>
    </row>
    <row r="2060" spans="1:13">
      <c r="A2060" s="6">
        <v>43510</v>
      </c>
      <c r="B2060" s="7">
        <v>0.57430555555555551</v>
      </c>
      <c r="C2060" s="14" t="str">
        <f>"FES1162673163"</f>
        <v>FES1162673163</v>
      </c>
      <c r="D2060" s="14" t="s">
        <v>18</v>
      </c>
      <c r="E2060" s="14" t="s">
        <v>943</v>
      </c>
      <c r="F2060" s="14" t="str">
        <f>"2170674287 "</f>
        <v xml:space="preserve">2170674287 </v>
      </c>
      <c r="G2060" s="14" t="str">
        <f t="shared" si="65"/>
        <v>ON1</v>
      </c>
      <c r="H2060" s="14" t="s">
        <v>20</v>
      </c>
      <c r="I2060" s="14" t="s">
        <v>43</v>
      </c>
      <c r="J2060" s="14" t="str">
        <f>""</f>
        <v/>
      </c>
      <c r="K2060" s="14" t="str">
        <f>"PFES1162673163_0001"</f>
        <v>PFES1162673163_0001</v>
      </c>
      <c r="L2060" s="14">
        <v>1</v>
      </c>
      <c r="M2060" s="14">
        <v>12</v>
      </c>
    </row>
    <row r="2061" spans="1:13">
      <c r="A2061" s="6">
        <v>43510</v>
      </c>
      <c r="B2061" s="7">
        <v>0.57152777777777775</v>
      </c>
      <c r="C2061" s="14" t="str">
        <f>"FES1162673021"</f>
        <v>FES1162673021</v>
      </c>
      <c r="D2061" s="14" t="s">
        <v>18</v>
      </c>
      <c r="E2061" s="14" t="s">
        <v>749</v>
      </c>
      <c r="F2061" s="14" t="str">
        <f>"2170674285 "</f>
        <v xml:space="preserve">2170674285 </v>
      </c>
      <c r="G2061" s="14" t="str">
        <f t="shared" si="65"/>
        <v>ON1</v>
      </c>
      <c r="H2061" s="14" t="s">
        <v>20</v>
      </c>
      <c r="I2061" s="14" t="s">
        <v>239</v>
      </c>
      <c r="J2061" s="14" t="str">
        <f>""</f>
        <v/>
      </c>
      <c r="K2061" s="14" t="str">
        <f>"PFES1162673021_0001"</f>
        <v>PFES1162673021_0001</v>
      </c>
      <c r="L2061" s="14">
        <v>1</v>
      </c>
      <c r="M2061" s="14">
        <v>5</v>
      </c>
    </row>
    <row r="2062" spans="1:13">
      <c r="A2062" s="6">
        <v>43510</v>
      </c>
      <c r="B2062" s="7">
        <v>0.57013888888888886</v>
      </c>
      <c r="C2062" s="14" t="str">
        <f>"FES1162673089"</f>
        <v>FES1162673089</v>
      </c>
      <c r="D2062" s="14" t="s">
        <v>18</v>
      </c>
      <c r="E2062" s="14" t="s">
        <v>100</v>
      </c>
      <c r="F2062" s="14" t="str">
        <f>"2170671668 "</f>
        <v xml:space="preserve">2170671668 </v>
      </c>
      <c r="G2062" s="14" t="str">
        <f t="shared" si="65"/>
        <v>ON1</v>
      </c>
      <c r="H2062" s="14" t="s">
        <v>20</v>
      </c>
      <c r="I2062" s="14" t="s">
        <v>101</v>
      </c>
      <c r="J2062" s="14" t="str">
        <f>""</f>
        <v/>
      </c>
      <c r="K2062" s="14" t="str">
        <f>"PFES1162673089_0001"</f>
        <v>PFES1162673089_0001</v>
      </c>
      <c r="L2062" s="14">
        <v>1</v>
      </c>
      <c r="M2062" s="14">
        <v>16</v>
      </c>
    </row>
    <row r="2063" spans="1:13">
      <c r="A2063" s="6">
        <v>43510</v>
      </c>
      <c r="B2063" s="7">
        <v>0.56944444444444442</v>
      </c>
      <c r="C2063" s="14" t="str">
        <f>"FES1162673040"</f>
        <v>FES1162673040</v>
      </c>
      <c r="D2063" s="14" t="s">
        <v>18</v>
      </c>
      <c r="E2063" s="14" t="s">
        <v>669</v>
      </c>
      <c r="F2063" s="14" t="str">
        <f>"2170674316 "</f>
        <v xml:space="preserve">2170674316 </v>
      </c>
      <c r="G2063" s="14" t="str">
        <f t="shared" si="65"/>
        <v>ON1</v>
      </c>
      <c r="H2063" s="14" t="s">
        <v>20</v>
      </c>
      <c r="I2063" s="14" t="s">
        <v>89</v>
      </c>
      <c r="J2063" s="14" t="str">
        <f>""</f>
        <v/>
      </c>
      <c r="K2063" s="14" t="str">
        <f>"PFES1162673040_0001"</f>
        <v>PFES1162673040_0001</v>
      </c>
      <c r="L2063" s="14">
        <v>1</v>
      </c>
      <c r="M2063" s="14">
        <v>3</v>
      </c>
    </row>
    <row r="2064" spans="1:13">
      <c r="A2064" s="6">
        <v>43510</v>
      </c>
      <c r="B2064" s="7">
        <v>0.56805555555555554</v>
      </c>
      <c r="C2064" s="14" t="str">
        <f>"FES1162672993"</f>
        <v>FES1162672993</v>
      </c>
      <c r="D2064" s="14" t="s">
        <v>18</v>
      </c>
      <c r="E2064" s="14" t="s">
        <v>944</v>
      </c>
      <c r="F2064" s="14" t="str">
        <f>"2170672653 "</f>
        <v xml:space="preserve">2170672653 </v>
      </c>
      <c r="G2064" s="14" t="str">
        <f t="shared" si="65"/>
        <v>ON1</v>
      </c>
      <c r="H2064" s="14" t="s">
        <v>20</v>
      </c>
      <c r="I2064" s="14" t="s">
        <v>945</v>
      </c>
      <c r="J2064" s="14" t="str">
        <f>""</f>
        <v/>
      </c>
      <c r="K2064" s="14" t="str">
        <f>"PFES1162672993_0001"</f>
        <v>PFES1162672993_0001</v>
      </c>
      <c r="L2064" s="14">
        <v>1</v>
      </c>
      <c r="M2064" s="14">
        <v>3</v>
      </c>
    </row>
    <row r="2065" spans="1:13">
      <c r="A2065" s="6">
        <v>43510</v>
      </c>
      <c r="B2065" s="7">
        <v>0.56666666666666665</v>
      </c>
      <c r="C2065" s="14" t="str">
        <f>"FES1162672994"</f>
        <v>FES1162672994</v>
      </c>
      <c r="D2065" s="14" t="s">
        <v>18</v>
      </c>
      <c r="E2065" s="14" t="s">
        <v>185</v>
      </c>
      <c r="F2065" s="14" t="str">
        <f>"2170672658 "</f>
        <v xml:space="preserve">2170672658 </v>
      </c>
      <c r="G2065" s="14" t="str">
        <f t="shared" si="65"/>
        <v>ON1</v>
      </c>
      <c r="H2065" s="14" t="s">
        <v>20</v>
      </c>
      <c r="I2065" s="14" t="s">
        <v>93</v>
      </c>
      <c r="J2065" s="14" t="str">
        <f>""</f>
        <v/>
      </c>
      <c r="K2065" s="14" t="str">
        <f>"PFES1162672994_0001"</f>
        <v>PFES1162672994_0001</v>
      </c>
      <c r="L2065" s="14">
        <v>1</v>
      </c>
      <c r="M2065" s="14">
        <v>3</v>
      </c>
    </row>
    <row r="2066" spans="1:13">
      <c r="A2066" s="6">
        <v>43510</v>
      </c>
      <c r="B2066" s="7">
        <v>0.56597222222222221</v>
      </c>
      <c r="C2066" s="14" t="str">
        <f>"FES1162673080"</f>
        <v>FES1162673080</v>
      </c>
      <c r="D2066" s="14" t="s">
        <v>18</v>
      </c>
      <c r="E2066" s="14" t="s">
        <v>823</v>
      </c>
      <c r="F2066" s="14" t="str">
        <f>"2170671477 "</f>
        <v xml:space="preserve">2170671477 </v>
      </c>
      <c r="G2066" s="14" t="str">
        <f t="shared" si="65"/>
        <v>ON1</v>
      </c>
      <c r="H2066" s="14" t="s">
        <v>20</v>
      </c>
      <c r="I2066" s="14" t="s">
        <v>99</v>
      </c>
      <c r="J2066" s="14" t="str">
        <f>""</f>
        <v/>
      </c>
      <c r="K2066" s="14" t="str">
        <f>"PFES1162673080_0001"</f>
        <v>PFES1162673080_0001</v>
      </c>
      <c r="L2066" s="14">
        <v>1</v>
      </c>
      <c r="M2066" s="14">
        <v>4</v>
      </c>
    </row>
    <row r="2067" spans="1:13">
      <c r="A2067" s="6">
        <v>43510</v>
      </c>
      <c r="B2067" s="7">
        <v>0.56527777777777777</v>
      </c>
      <c r="C2067" s="14" t="str">
        <f>"FES1162673035"</f>
        <v>FES1162673035</v>
      </c>
      <c r="D2067" s="14" t="s">
        <v>18</v>
      </c>
      <c r="E2067" s="14" t="s">
        <v>295</v>
      </c>
      <c r="F2067" s="14" t="str">
        <f>"2170672902 "</f>
        <v xml:space="preserve">2170672902 </v>
      </c>
      <c r="G2067" s="14" t="str">
        <f t="shared" si="65"/>
        <v>ON1</v>
      </c>
      <c r="H2067" s="14" t="s">
        <v>20</v>
      </c>
      <c r="I2067" s="14" t="s">
        <v>53</v>
      </c>
      <c r="J2067" s="14" t="str">
        <f>""</f>
        <v/>
      </c>
      <c r="K2067" s="14" t="str">
        <f>"PFES1162673035_0001"</f>
        <v>PFES1162673035_0001</v>
      </c>
      <c r="L2067" s="14">
        <v>1</v>
      </c>
      <c r="M2067" s="14">
        <v>1</v>
      </c>
    </row>
    <row r="2068" spans="1:13">
      <c r="A2068" s="6">
        <v>43510</v>
      </c>
      <c r="B2068" s="7">
        <v>0.56458333333333333</v>
      </c>
      <c r="C2068" s="14" t="str">
        <f>"FES1162673149"</f>
        <v>FES1162673149</v>
      </c>
      <c r="D2068" s="14" t="s">
        <v>18</v>
      </c>
      <c r="E2068" s="14" t="s">
        <v>363</v>
      </c>
      <c r="F2068" s="14" t="str">
        <f>"2170673829 "</f>
        <v xml:space="preserve">2170673829 </v>
      </c>
      <c r="G2068" s="14" t="str">
        <f t="shared" si="65"/>
        <v>ON1</v>
      </c>
      <c r="H2068" s="14" t="s">
        <v>20</v>
      </c>
      <c r="I2068" s="14" t="s">
        <v>364</v>
      </c>
      <c r="J2068" s="14" t="str">
        <f>""</f>
        <v/>
      </c>
      <c r="K2068" s="14" t="str">
        <f>"PFES1162673149_0001"</f>
        <v>PFES1162673149_0001</v>
      </c>
      <c r="L2068" s="14">
        <v>1</v>
      </c>
      <c r="M2068" s="14">
        <v>2</v>
      </c>
    </row>
    <row r="2069" spans="1:13">
      <c r="A2069" s="6">
        <v>43510</v>
      </c>
      <c r="B2069" s="7">
        <v>0.56458333333333333</v>
      </c>
      <c r="C2069" s="14" t="str">
        <f>"FES1162673031"</f>
        <v>FES1162673031</v>
      </c>
      <c r="D2069" s="14" t="s">
        <v>18</v>
      </c>
      <c r="E2069" s="14" t="s">
        <v>229</v>
      </c>
      <c r="F2069" s="14" t="str">
        <f>"2170674299 "</f>
        <v xml:space="preserve">2170674299 </v>
      </c>
      <c r="G2069" s="14" t="str">
        <f t="shared" si="65"/>
        <v>ON1</v>
      </c>
      <c r="H2069" s="14" t="s">
        <v>20</v>
      </c>
      <c r="I2069" s="14" t="s">
        <v>111</v>
      </c>
      <c r="J2069" s="14" t="str">
        <f>""</f>
        <v/>
      </c>
      <c r="K2069" s="14" t="str">
        <f>"PFES1162673031_0001"</f>
        <v>PFES1162673031_0001</v>
      </c>
      <c r="L2069" s="14">
        <v>1</v>
      </c>
      <c r="M2069" s="14">
        <v>1</v>
      </c>
    </row>
    <row r="2070" spans="1:13">
      <c r="A2070" s="6">
        <v>43510</v>
      </c>
      <c r="B2070" s="7">
        <v>0.56458333333333333</v>
      </c>
      <c r="C2070" s="14" t="str">
        <f>"FES1162672982"</f>
        <v>FES1162672982</v>
      </c>
      <c r="D2070" s="14" t="s">
        <v>18</v>
      </c>
      <c r="E2070" s="14" t="s">
        <v>328</v>
      </c>
      <c r="F2070" s="14" t="str">
        <f>"2170674251 "</f>
        <v xml:space="preserve">2170674251 </v>
      </c>
      <c r="G2070" s="14" t="str">
        <f t="shared" si="65"/>
        <v>ON1</v>
      </c>
      <c r="H2070" s="14" t="s">
        <v>20</v>
      </c>
      <c r="I2070" s="14" t="s">
        <v>29</v>
      </c>
      <c r="J2070" s="14" t="str">
        <f>""</f>
        <v/>
      </c>
      <c r="K2070" s="14" t="str">
        <f>"PFES1162672982_0001"</f>
        <v>PFES1162672982_0001</v>
      </c>
      <c r="L2070" s="14">
        <v>1</v>
      </c>
      <c r="M2070" s="14">
        <v>1</v>
      </c>
    </row>
    <row r="2071" spans="1:13">
      <c r="A2071" s="6">
        <v>43510</v>
      </c>
      <c r="B2071" s="7">
        <v>0.56388888888888888</v>
      </c>
      <c r="C2071" s="14" t="str">
        <f>"FES1162673176"</f>
        <v>FES1162673176</v>
      </c>
      <c r="D2071" s="14" t="s">
        <v>18</v>
      </c>
      <c r="E2071" s="14" t="s">
        <v>932</v>
      </c>
      <c r="F2071" s="14" t="str">
        <f>"2170674346 "</f>
        <v xml:space="preserve">2170674346 </v>
      </c>
      <c r="G2071" s="14" t="str">
        <f t="shared" si="65"/>
        <v>ON1</v>
      </c>
      <c r="H2071" s="14" t="s">
        <v>20</v>
      </c>
      <c r="I2071" s="14" t="s">
        <v>50</v>
      </c>
      <c r="J2071" s="14" t="str">
        <f>""</f>
        <v/>
      </c>
      <c r="K2071" s="14" t="str">
        <f>"PFES1162673176_0001"</f>
        <v>PFES1162673176_0001</v>
      </c>
      <c r="L2071" s="14">
        <v>1</v>
      </c>
      <c r="M2071" s="14">
        <v>1</v>
      </c>
    </row>
    <row r="2072" spans="1:13">
      <c r="A2072" s="6">
        <v>43510</v>
      </c>
      <c r="B2072" s="7">
        <v>0.56388888888888888</v>
      </c>
      <c r="C2072" s="14" t="str">
        <f>"FES1162673063"</f>
        <v>FES1162673063</v>
      </c>
      <c r="D2072" s="14" t="s">
        <v>18</v>
      </c>
      <c r="E2072" s="14" t="s">
        <v>901</v>
      </c>
      <c r="F2072" s="14" t="str">
        <f>"2170673964 "</f>
        <v xml:space="preserve">2170673964 </v>
      </c>
      <c r="G2072" s="14" t="str">
        <f t="shared" si="65"/>
        <v>ON1</v>
      </c>
      <c r="H2072" s="14" t="s">
        <v>20</v>
      </c>
      <c r="I2072" s="14" t="s">
        <v>586</v>
      </c>
      <c r="J2072" s="14" t="str">
        <f>""</f>
        <v/>
      </c>
      <c r="K2072" s="14" t="str">
        <f>"PFES1162673063_0001"</f>
        <v>PFES1162673063_0001</v>
      </c>
      <c r="L2072" s="14">
        <v>1</v>
      </c>
      <c r="M2072" s="14">
        <v>9</v>
      </c>
    </row>
    <row r="2073" spans="1:13">
      <c r="A2073" s="6">
        <v>43510</v>
      </c>
      <c r="B2073" s="7">
        <v>0.56388888888888888</v>
      </c>
      <c r="C2073" s="14" t="str">
        <f>"FES1162673103"</f>
        <v>FES1162673103</v>
      </c>
      <c r="D2073" s="14" t="s">
        <v>18</v>
      </c>
      <c r="E2073" s="14" t="s">
        <v>90</v>
      </c>
      <c r="F2073" s="14" t="str">
        <f>"2170672051 "</f>
        <v xml:space="preserve">2170672051 </v>
      </c>
      <c r="G2073" s="14" t="str">
        <f t="shared" si="65"/>
        <v>ON1</v>
      </c>
      <c r="H2073" s="14" t="s">
        <v>20</v>
      </c>
      <c r="I2073" s="14" t="s">
        <v>89</v>
      </c>
      <c r="J2073" s="14" t="str">
        <f>""</f>
        <v/>
      </c>
      <c r="K2073" s="14" t="str">
        <f>"PFES1162673103_0001"</f>
        <v>PFES1162673103_0001</v>
      </c>
      <c r="L2073" s="14">
        <v>1</v>
      </c>
      <c r="M2073" s="14">
        <v>1</v>
      </c>
    </row>
    <row r="2074" spans="1:13">
      <c r="A2074" s="6">
        <v>43510</v>
      </c>
      <c r="B2074" s="7">
        <v>0.56319444444444444</v>
      </c>
      <c r="C2074" s="14" t="str">
        <f>"FES1162672981"</f>
        <v>FES1162672981</v>
      </c>
      <c r="D2074" s="14" t="s">
        <v>18</v>
      </c>
      <c r="E2074" s="14" t="s">
        <v>946</v>
      </c>
      <c r="F2074" s="14" t="str">
        <f>"2170674250 "</f>
        <v xml:space="preserve">2170674250 </v>
      </c>
      <c r="G2074" s="14" t="str">
        <f t="shared" si="65"/>
        <v>ON1</v>
      </c>
      <c r="H2074" s="14" t="s">
        <v>20</v>
      </c>
      <c r="I2074" s="14" t="s">
        <v>111</v>
      </c>
      <c r="J2074" s="14" t="str">
        <f>""</f>
        <v/>
      </c>
      <c r="K2074" s="14" t="str">
        <f>"PFES1162672981_0001"</f>
        <v>PFES1162672981_0001</v>
      </c>
      <c r="L2074" s="14">
        <v>1</v>
      </c>
      <c r="M2074" s="14">
        <v>1</v>
      </c>
    </row>
    <row r="2075" spans="1:13">
      <c r="A2075" s="6">
        <v>43510</v>
      </c>
      <c r="B2075" s="7">
        <v>0.56319444444444444</v>
      </c>
      <c r="C2075" s="14" t="str">
        <f>"FES1162673025"</f>
        <v>FES1162673025</v>
      </c>
      <c r="D2075" s="14" t="s">
        <v>18</v>
      </c>
      <c r="E2075" s="14" t="s">
        <v>298</v>
      </c>
      <c r="F2075" s="14" t="str">
        <f>"2170674291 "</f>
        <v xml:space="preserve">2170674291 </v>
      </c>
      <c r="G2075" s="14" t="str">
        <f t="shared" si="65"/>
        <v>ON1</v>
      </c>
      <c r="H2075" s="14" t="s">
        <v>20</v>
      </c>
      <c r="I2075" s="14" t="s">
        <v>93</v>
      </c>
      <c r="J2075" s="14" t="str">
        <f>""</f>
        <v/>
      </c>
      <c r="K2075" s="14" t="str">
        <f>"PFES1162673025_0001"</f>
        <v>PFES1162673025_0001</v>
      </c>
      <c r="L2075" s="14">
        <v>1</v>
      </c>
      <c r="M2075" s="14">
        <v>1</v>
      </c>
    </row>
    <row r="2076" spans="1:13">
      <c r="A2076" s="6">
        <v>43510</v>
      </c>
      <c r="B2076" s="7">
        <v>0.5625</v>
      </c>
      <c r="C2076" s="14" t="str">
        <f>"FES1162673177"</f>
        <v>FES1162673177</v>
      </c>
      <c r="D2076" s="14" t="s">
        <v>18</v>
      </c>
      <c r="E2076" s="14" t="s">
        <v>600</v>
      </c>
      <c r="F2076" s="14" t="str">
        <f>"2170674348 "</f>
        <v xml:space="preserve">2170674348 </v>
      </c>
      <c r="G2076" s="14" t="str">
        <f t="shared" si="65"/>
        <v>ON1</v>
      </c>
      <c r="H2076" s="14" t="s">
        <v>20</v>
      </c>
      <c r="I2076" s="14" t="s">
        <v>126</v>
      </c>
      <c r="J2076" s="14" t="str">
        <f>""</f>
        <v/>
      </c>
      <c r="K2076" s="14" t="str">
        <f>"PFES1162673177_0001"</f>
        <v>PFES1162673177_0001</v>
      </c>
      <c r="L2076" s="14">
        <v>1</v>
      </c>
      <c r="M2076" s="14">
        <v>4</v>
      </c>
    </row>
    <row r="2077" spans="1:13">
      <c r="A2077" s="6">
        <v>43510</v>
      </c>
      <c r="B2077" s="7">
        <v>0.5625</v>
      </c>
      <c r="C2077" s="14" t="str">
        <f>"FES1162672992"</f>
        <v>FES1162672992</v>
      </c>
      <c r="D2077" s="14" t="s">
        <v>18</v>
      </c>
      <c r="E2077" s="14" t="s">
        <v>466</v>
      </c>
      <c r="F2077" s="14" t="str">
        <f>"2170672593 "</f>
        <v xml:space="preserve">2170672593 </v>
      </c>
      <c r="G2077" s="14" t="str">
        <f t="shared" si="65"/>
        <v>ON1</v>
      </c>
      <c r="H2077" s="14" t="s">
        <v>20</v>
      </c>
      <c r="I2077" s="14" t="s">
        <v>117</v>
      </c>
      <c r="J2077" s="14" t="str">
        <f>""</f>
        <v/>
      </c>
      <c r="K2077" s="14" t="str">
        <f>"PFES1162672992_0001"</f>
        <v>PFES1162672992_0001</v>
      </c>
      <c r="L2077" s="14">
        <v>1</v>
      </c>
      <c r="M2077" s="14">
        <v>1</v>
      </c>
    </row>
    <row r="2078" spans="1:13">
      <c r="A2078" s="6">
        <v>43510</v>
      </c>
      <c r="B2078" s="7">
        <v>0.56180555555555556</v>
      </c>
      <c r="C2078" s="14" t="str">
        <f>"FES1162673030"</f>
        <v>FES1162673030</v>
      </c>
      <c r="D2078" s="14" t="s">
        <v>18</v>
      </c>
      <c r="E2078" s="14" t="s">
        <v>947</v>
      </c>
      <c r="F2078" s="14" t="str">
        <f>"2170674298 "</f>
        <v xml:space="preserve">2170674298 </v>
      </c>
      <c r="G2078" s="14" t="str">
        <f t="shared" si="65"/>
        <v>ON1</v>
      </c>
      <c r="H2078" s="14" t="s">
        <v>20</v>
      </c>
      <c r="I2078" s="14" t="s">
        <v>93</v>
      </c>
      <c r="J2078" s="14" t="str">
        <f>""</f>
        <v/>
      </c>
      <c r="K2078" s="14" t="str">
        <f>"PFES1162673030_0001"</f>
        <v>PFES1162673030_0001</v>
      </c>
      <c r="L2078" s="14">
        <v>1</v>
      </c>
      <c r="M2078" s="14">
        <v>1</v>
      </c>
    </row>
    <row r="2079" spans="1:13">
      <c r="A2079" s="6">
        <v>43510</v>
      </c>
      <c r="B2079" s="7">
        <v>0.56180555555555556</v>
      </c>
      <c r="C2079" s="14" t="str">
        <f>"FES1162672971"</f>
        <v>FES1162672971</v>
      </c>
      <c r="D2079" s="14" t="s">
        <v>18</v>
      </c>
      <c r="E2079" s="14" t="s">
        <v>493</v>
      </c>
      <c r="F2079" s="14" t="str">
        <f>"2170674214 "</f>
        <v xml:space="preserve">2170674214 </v>
      </c>
      <c r="G2079" s="14" t="str">
        <f t="shared" si="65"/>
        <v>ON1</v>
      </c>
      <c r="H2079" s="14" t="s">
        <v>20</v>
      </c>
      <c r="I2079" s="14" t="s">
        <v>111</v>
      </c>
      <c r="J2079" s="14" t="str">
        <f>""</f>
        <v/>
      </c>
      <c r="K2079" s="14" t="str">
        <f>"PFES1162672971_0001"</f>
        <v>PFES1162672971_0001</v>
      </c>
      <c r="L2079" s="14">
        <v>1</v>
      </c>
      <c r="M2079" s="14">
        <v>1</v>
      </c>
    </row>
    <row r="2080" spans="1:13">
      <c r="A2080" s="6">
        <v>43510</v>
      </c>
      <c r="B2080" s="7">
        <v>0.56111111111111112</v>
      </c>
      <c r="C2080" s="14" t="str">
        <f>"FES1162673019"</f>
        <v>FES1162673019</v>
      </c>
      <c r="D2080" s="14" t="s">
        <v>18</v>
      </c>
      <c r="E2080" s="14" t="s">
        <v>948</v>
      </c>
      <c r="F2080" s="14" t="str">
        <f>"2170674282 "</f>
        <v xml:space="preserve">2170674282 </v>
      </c>
      <c r="G2080" s="14" t="str">
        <f t="shared" si="65"/>
        <v>ON1</v>
      </c>
      <c r="H2080" s="14" t="s">
        <v>20</v>
      </c>
      <c r="I2080" s="14" t="s">
        <v>53</v>
      </c>
      <c r="J2080" s="14" t="str">
        <f>""</f>
        <v/>
      </c>
      <c r="K2080" s="14" t="str">
        <f>"PFES1162673019_0001"</f>
        <v>PFES1162673019_0001</v>
      </c>
      <c r="L2080" s="14">
        <v>1</v>
      </c>
      <c r="M2080" s="14">
        <v>1</v>
      </c>
    </row>
    <row r="2081" spans="1:13">
      <c r="A2081" s="6">
        <v>43510</v>
      </c>
      <c r="B2081" s="7">
        <v>0.56041666666666667</v>
      </c>
      <c r="C2081" s="14" t="str">
        <f>"FES1162673128"</f>
        <v>FES1162673128</v>
      </c>
      <c r="D2081" s="14" t="s">
        <v>18</v>
      </c>
      <c r="E2081" s="14" t="s">
        <v>466</v>
      </c>
      <c r="F2081" s="14" t="str">
        <f>"2170672593 "</f>
        <v xml:space="preserve">2170672593 </v>
      </c>
      <c r="G2081" s="14" t="str">
        <f t="shared" si="65"/>
        <v>ON1</v>
      </c>
      <c r="H2081" s="14" t="s">
        <v>20</v>
      </c>
      <c r="I2081" s="14" t="s">
        <v>117</v>
      </c>
      <c r="J2081" s="14" t="str">
        <f>""</f>
        <v/>
      </c>
      <c r="K2081" s="14" t="str">
        <f>"PFES1162673128_0001"</f>
        <v>PFES1162673128_0001</v>
      </c>
      <c r="L2081" s="14">
        <v>1</v>
      </c>
      <c r="M2081" s="14">
        <v>1</v>
      </c>
    </row>
    <row r="2082" spans="1:13">
      <c r="A2082" s="6">
        <v>43510</v>
      </c>
      <c r="B2082" s="7">
        <v>0.56041666666666667</v>
      </c>
      <c r="C2082" s="14" t="str">
        <f>"FES1162673208"</f>
        <v>FES1162673208</v>
      </c>
      <c r="D2082" s="14" t="s">
        <v>18</v>
      </c>
      <c r="E2082" s="14" t="s">
        <v>98</v>
      </c>
      <c r="F2082" s="14" t="str">
        <f>"2170674393 "</f>
        <v xml:space="preserve">2170674393 </v>
      </c>
      <c r="G2082" s="14" t="str">
        <f t="shared" si="65"/>
        <v>ON1</v>
      </c>
      <c r="H2082" s="14" t="s">
        <v>20</v>
      </c>
      <c r="I2082" s="14" t="s">
        <v>99</v>
      </c>
      <c r="J2082" s="14" t="str">
        <f>""</f>
        <v/>
      </c>
      <c r="K2082" s="14" t="str">
        <f>"PFES1162673208_0001"</f>
        <v>PFES1162673208_0001</v>
      </c>
      <c r="L2082" s="14">
        <v>1</v>
      </c>
      <c r="M2082" s="14">
        <v>8</v>
      </c>
    </row>
    <row r="2083" spans="1:13">
      <c r="A2083" s="6">
        <v>43510</v>
      </c>
      <c r="B2083" s="7">
        <v>0.55972222222222223</v>
      </c>
      <c r="C2083" s="14" t="str">
        <f>"FES1162672983"</f>
        <v>FES1162672983</v>
      </c>
      <c r="D2083" s="14" t="s">
        <v>18</v>
      </c>
      <c r="E2083" s="14" t="s">
        <v>946</v>
      </c>
      <c r="F2083" s="14" t="str">
        <f>"2170674252 "</f>
        <v xml:space="preserve">2170674252 </v>
      </c>
      <c r="G2083" s="14" t="str">
        <f t="shared" si="65"/>
        <v>ON1</v>
      </c>
      <c r="H2083" s="14" t="s">
        <v>20</v>
      </c>
      <c r="I2083" s="14" t="s">
        <v>111</v>
      </c>
      <c r="J2083" s="14" t="str">
        <f>""</f>
        <v/>
      </c>
      <c r="K2083" s="14" t="str">
        <f>"PFES1162672983_0001"</f>
        <v>PFES1162672983_0001</v>
      </c>
      <c r="L2083" s="14">
        <v>1</v>
      </c>
      <c r="M2083" s="14">
        <v>1</v>
      </c>
    </row>
    <row r="2084" spans="1:13">
      <c r="A2084" s="6">
        <v>43510</v>
      </c>
      <c r="B2084" s="7">
        <v>0.55972222222222223</v>
      </c>
      <c r="C2084" s="14" t="str">
        <f>"FES1162672986"</f>
        <v>FES1162672986</v>
      </c>
      <c r="D2084" s="14" t="s">
        <v>18</v>
      </c>
      <c r="E2084" s="14" t="s">
        <v>946</v>
      </c>
      <c r="F2084" s="14" t="str">
        <f>"2170674257 "</f>
        <v xml:space="preserve">2170674257 </v>
      </c>
      <c r="G2084" s="14" t="str">
        <f t="shared" si="65"/>
        <v>ON1</v>
      </c>
      <c r="H2084" s="14" t="s">
        <v>20</v>
      </c>
      <c r="I2084" s="14" t="s">
        <v>111</v>
      </c>
      <c r="J2084" s="14" t="str">
        <f>""</f>
        <v/>
      </c>
      <c r="K2084" s="14" t="str">
        <f>"PFES1162672986_0001"</f>
        <v>PFES1162672986_0001</v>
      </c>
      <c r="L2084" s="14">
        <v>1</v>
      </c>
      <c r="M2084" s="14">
        <v>1</v>
      </c>
    </row>
    <row r="2085" spans="1:13">
      <c r="A2085" s="6">
        <v>43510</v>
      </c>
      <c r="B2085" s="7">
        <v>0.55972222222222223</v>
      </c>
      <c r="C2085" s="14" t="str">
        <f>"FES1162673137"</f>
        <v>FES1162673137</v>
      </c>
      <c r="D2085" s="14" t="s">
        <v>18</v>
      </c>
      <c r="E2085" s="14" t="s">
        <v>387</v>
      </c>
      <c r="F2085" s="14" t="str">
        <f>"2170672726 "</f>
        <v xml:space="preserve">2170672726 </v>
      </c>
      <c r="G2085" s="14" t="str">
        <f>"DBC"</f>
        <v>DBC</v>
      </c>
      <c r="H2085" s="14" t="s">
        <v>20</v>
      </c>
      <c r="I2085" s="14" t="s">
        <v>388</v>
      </c>
      <c r="J2085" s="14" t="str">
        <f>""</f>
        <v/>
      </c>
      <c r="K2085" s="14" t="str">
        <f>"PFES1162673137_0001"</f>
        <v>PFES1162673137_0001</v>
      </c>
      <c r="L2085" s="14">
        <v>1</v>
      </c>
      <c r="M2085" s="14">
        <v>20</v>
      </c>
    </row>
    <row r="2086" spans="1:13">
      <c r="A2086" s="6">
        <v>43510</v>
      </c>
      <c r="B2086" s="7">
        <v>0.55972222222222223</v>
      </c>
      <c r="C2086" s="14" t="str">
        <f>"FES1162673007"</f>
        <v>FES1162673007</v>
      </c>
      <c r="D2086" s="14" t="s">
        <v>18</v>
      </c>
      <c r="E2086" s="14" t="s">
        <v>537</v>
      </c>
      <c r="F2086" s="14" t="str">
        <f>"2170674265 "</f>
        <v xml:space="preserve">2170674265 </v>
      </c>
      <c r="G2086" s="14" t="str">
        <f t="shared" ref="G2086:G2149" si="66">"ON1"</f>
        <v>ON1</v>
      </c>
      <c r="H2086" s="14" t="s">
        <v>20</v>
      </c>
      <c r="I2086" s="14" t="s">
        <v>93</v>
      </c>
      <c r="J2086" s="14" t="str">
        <f>""</f>
        <v/>
      </c>
      <c r="K2086" s="14" t="str">
        <f>"PFES1162673007_0001"</f>
        <v>PFES1162673007_0001</v>
      </c>
      <c r="L2086" s="14">
        <v>1</v>
      </c>
      <c r="M2086" s="14">
        <v>1</v>
      </c>
    </row>
    <row r="2087" spans="1:13">
      <c r="A2087" s="6">
        <v>43510</v>
      </c>
      <c r="B2087" s="7">
        <v>0.55902777777777779</v>
      </c>
      <c r="C2087" s="14" t="str">
        <f>"FES1162673154"</f>
        <v>FES1162673154</v>
      </c>
      <c r="D2087" s="14" t="s">
        <v>18</v>
      </c>
      <c r="E2087" s="14" t="s">
        <v>948</v>
      </c>
      <c r="F2087" s="14" t="str">
        <f>"2170674282 "</f>
        <v xml:space="preserve">2170674282 </v>
      </c>
      <c r="G2087" s="14" t="str">
        <f t="shared" si="66"/>
        <v>ON1</v>
      </c>
      <c r="H2087" s="14" t="s">
        <v>20</v>
      </c>
      <c r="I2087" s="14" t="s">
        <v>53</v>
      </c>
      <c r="J2087" s="14" t="str">
        <f>""</f>
        <v/>
      </c>
      <c r="K2087" s="14" t="str">
        <f>"PFES1162673154_0001"</f>
        <v>PFES1162673154_0001</v>
      </c>
      <c r="L2087" s="14">
        <v>1</v>
      </c>
      <c r="M2087" s="14">
        <v>1</v>
      </c>
    </row>
    <row r="2088" spans="1:13">
      <c r="A2088" s="6">
        <v>43510</v>
      </c>
      <c r="B2088" s="7">
        <v>0.55902777777777779</v>
      </c>
      <c r="C2088" s="14" t="str">
        <f>"FES1162673210"</f>
        <v>FES1162673210</v>
      </c>
      <c r="D2088" s="14" t="s">
        <v>18</v>
      </c>
      <c r="E2088" s="14" t="s">
        <v>337</v>
      </c>
      <c r="F2088" s="14" t="str">
        <f>"2170674395 "</f>
        <v xml:space="preserve">2170674395 </v>
      </c>
      <c r="G2088" s="14" t="str">
        <f t="shared" si="66"/>
        <v>ON1</v>
      </c>
      <c r="H2088" s="14" t="s">
        <v>20</v>
      </c>
      <c r="I2088" s="14" t="s">
        <v>338</v>
      </c>
      <c r="J2088" s="14" t="str">
        <f>""</f>
        <v/>
      </c>
      <c r="K2088" s="14" t="str">
        <f>"PFES1162673210_0001"</f>
        <v>PFES1162673210_0001</v>
      </c>
      <c r="L2088" s="14">
        <v>1</v>
      </c>
      <c r="M2088" s="14">
        <v>5</v>
      </c>
    </row>
    <row r="2089" spans="1:13">
      <c r="A2089" s="6">
        <v>43510</v>
      </c>
      <c r="B2089" s="7">
        <v>0.55902777777777779</v>
      </c>
      <c r="C2089" s="14" t="str">
        <f>"FES1162672980"</f>
        <v>FES1162672980</v>
      </c>
      <c r="D2089" s="14" t="s">
        <v>18</v>
      </c>
      <c r="E2089" s="14" t="s">
        <v>946</v>
      </c>
      <c r="F2089" s="14" t="str">
        <f>"2170674249 "</f>
        <v xml:space="preserve">2170674249 </v>
      </c>
      <c r="G2089" s="14" t="str">
        <f t="shared" si="66"/>
        <v>ON1</v>
      </c>
      <c r="H2089" s="14" t="s">
        <v>20</v>
      </c>
      <c r="I2089" s="14" t="s">
        <v>111</v>
      </c>
      <c r="J2089" s="14" t="str">
        <f>""</f>
        <v/>
      </c>
      <c r="K2089" s="14" t="str">
        <f>"PFES1162672980_0001"</f>
        <v>PFES1162672980_0001</v>
      </c>
      <c r="L2089" s="14">
        <v>1</v>
      </c>
      <c r="M2089" s="14">
        <v>1</v>
      </c>
    </row>
    <row r="2090" spans="1:13">
      <c r="A2090" s="6">
        <v>43510</v>
      </c>
      <c r="B2090" s="7">
        <v>0.55833333333333335</v>
      </c>
      <c r="C2090" s="14" t="str">
        <f>"FES1162673106"</f>
        <v>FES1162673106</v>
      </c>
      <c r="D2090" s="14" t="s">
        <v>18</v>
      </c>
      <c r="E2090" s="14" t="s">
        <v>728</v>
      </c>
      <c r="F2090" s="14" t="str">
        <f>"2170672133"</f>
        <v>2170672133</v>
      </c>
      <c r="G2090" s="14" t="str">
        <f t="shared" si="66"/>
        <v>ON1</v>
      </c>
      <c r="H2090" s="14" t="s">
        <v>20</v>
      </c>
      <c r="I2090" s="14" t="s">
        <v>213</v>
      </c>
      <c r="K2090" s="14" t="str">
        <f>"PFES1162673106_0001"</f>
        <v>PFES1162673106_0001</v>
      </c>
      <c r="L2090" s="14">
        <v>1</v>
      </c>
      <c r="M2090" s="14">
        <v>1</v>
      </c>
    </row>
    <row r="2091" spans="1:13">
      <c r="A2091" s="6">
        <v>43510</v>
      </c>
      <c r="B2091" s="7">
        <v>0.55833333333333335</v>
      </c>
      <c r="C2091" s="14" t="str">
        <f>"FES1162673052"</f>
        <v>FES1162673052</v>
      </c>
      <c r="D2091" s="14" t="s">
        <v>18</v>
      </c>
      <c r="E2091" s="14" t="s">
        <v>212</v>
      </c>
      <c r="F2091" s="14" t="str">
        <f>"2170672379 "</f>
        <v xml:space="preserve">2170672379 </v>
      </c>
      <c r="G2091" s="14" t="str">
        <f t="shared" si="66"/>
        <v>ON1</v>
      </c>
      <c r="H2091" s="14" t="s">
        <v>20</v>
      </c>
      <c r="I2091" s="14" t="s">
        <v>213</v>
      </c>
      <c r="J2091" s="14" t="str">
        <f>""</f>
        <v/>
      </c>
      <c r="K2091" s="14" t="str">
        <f>"PFES1162673052_0001"</f>
        <v>PFES1162673052_0001</v>
      </c>
      <c r="L2091" s="14">
        <v>1</v>
      </c>
      <c r="M2091" s="14">
        <v>7</v>
      </c>
    </row>
    <row r="2092" spans="1:13">
      <c r="A2092" s="6">
        <v>43510</v>
      </c>
      <c r="B2092" s="7">
        <v>0.55833333333333335</v>
      </c>
      <c r="C2092" s="14" t="str">
        <f>"FES1162673074"</f>
        <v>FES1162673074</v>
      </c>
      <c r="D2092" s="14" t="s">
        <v>18</v>
      </c>
      <c r="E2092" s="14" t="s">
        <v>30</v>
      </c>
      <c r="F2092" s="14" t="str">
        <f>"2170668122 "</f>
        <v xml:space="preserve">2170668122 </v>
      </c>
      <c r="G2092" s="14" t="str">
        <f t="shared" si="66"/>
        <v>ON1</v>
      </c>
      <c r="H2092" s="14" t="s">
        <v>20</v>
      </c>
      <c r="I2092" s="14" t="s">
        <v>31</v>
      </c>
      <c r="J2092" s="14" t="str">
        <f>""</f>
        <v/>
      </c>
      <c r="K2092" s="14" t="str">
        <f>"PFES1162673074_0001"</f>
        <v>PFES1162673074_0001</v>
      </c>
      <c r="L2092" s="14">
        <v>1</v>
      </c>
      <c r="M2092" s="14">
        <v>1</v>
      </c>
    </row>
    <row r="2093" spans="1:13">
      <c r="A2093" s="6">
        <v>43510</v>
      </c>
      <c r="B2093" s="7">
        <v>0.55763888888888891</v>
      </c>
      <c r="C2093" s="14" t="str">
        <f>"FES1162673104"</f>
        <v>FES1162673104</v>
      </c>
      <c r="D2093" s="14" t="s">
        <v>18</v>
      </c>
      <c r="E2093" s="14" t="s">
        <v>129</v>
      </c>
      <c r="F2093" s="14" t="str">
        <f>"2170672084 "</f>
        <v xml:space="preserve">2170672084 </v>
      </c>
      <c r="G2093" s="14" t="str">
        <f t="shared" si="66"/>
        <v>ON1</v>
      </c>
      <c r="H2093" s="14" t="s">
        <v>20</v>
      </c>
      <c r="I2093" s="14" t="s">
        <v>130</v>
      </c>
      <c r="J2093" s="14" t="str">
        <f>""</f>
        <v/>
      </c>
      <c r="K2093" s="14" t="str">
        <f>"PFES1162673104_0001"</f>
        <v>PFES1162673104_0001</v>
      </c>
      <c r="L2093" s="14">
        <v>1</v>
      </c>
      <c r="M2093" s="14">
        <v>1</v>
      </c>
    </row>
    <row r="2094" spans="1:13">
      <c r="A2094" s="6">
        <v>43510</v>
      </c>
      <c r="B2094" s="7">
        <v>0.55694444444444446</v>
      </c>
      <c r="C2094" s="14" t="str">
        <f>"FES1162673032"</f>
        <v>FES1162673032</v>
      </c>
      <c r="D2094" s="14" t="s">
        <v>18</v>
      </c>
      <c r="E2094" s="14" t="s">
        <v>301</v>
      </c>
      <c r="F2094" s="14" t="str">
        <f>"2170674302 "</f>
        <v xml:space="preserve">2170674302 </v>
      </c>
      <c r="G2094" s="14" t="str">
        <f t="shared" si="66"/>
        <v>ON1</v>
      </c>
      <c r="H2094" s="14" t="s">
        <v>20</v>
      </c>
      <c r="I2094" s="14" t="s">
        <v>113</v>
      </c>
      <c r="J2094" s="14" t="str">
        <f>""</f>
        <v/>
      </c>
      <c r="K2094" s="14" t="str">
        <f>"PFES1162673032_0001"</f>
        <v>PFES1162673032_0001</v>
      </c>
      <c r="L2094" s="14">
        <v>1</v>
      </c>
      <c r="M2094" s="14">
        <v>1</v>
      </c>
    </row>
    <row r="2095" spans="1:13">
      <c r="A2095" s="6">
        <v>43510</v>
      </c>
      <c r="B2095" s="7">
        <v>0.55694444444444446</v>
      </c>
      <c r="C2095" s="14" t="str">
        <f>"FES1162673123"</f>
        <v>FES1162673123</v>
      </c>
      <c r="D2095" s="14" t="s">
        <v>18</v>
      </c>
      <c r="E2095" s="14" t="s">
        <v>447</v>
      </c>
      <c r="F2095" s="14" t="str">
        <f>"2170672534 "</f>
        <v xml:space="preserve">2170672534 </v>
      </c>
      <c r="G2095" s="14" t="str">
        <f t="shared" si="66"/>
        <v>ON1</v>
      </c>
      <c r="H2095" s="14" t="s">
        <v>20</v>
      </c>
      <c r="I2095" s="14" t="s">
        <v>182</v>
      </c>
      <c r="J2095" s="14" t="str">
        <f>""</f>
        <v/>
      </c>
      <c r="K2095" s="14" t="str">
        <f>"PFES1162673123_0001"</f>
        <v>PFES1162673123_0001</v>
      </c>
      <c r="L2095" s="14">
        <v>1</v>
      </c>
      <c r="M2095" s="14">
        <v>2</v>
      </c>
    </row>
    <row r="2096" spans="1:13">
      <c r="A2096" s="6">
        <v>43510</v>
      </c>
      <c r="B2096" s="7">
        <v>0.55625000000000002</v>
      </c>
      <c r="C2096" s="14" t="str">
        <f>"FES1162673017"</f>
        <v>FES1162673017</v>
      </c>
      <c r="D2096" s="14" t="s">
        <v>18</v>
      </c>
      <c r="E2096" s="14" t="s">
        <v>949</v>
      </c>
      <c r="F2096" s="14" t="str">
        <f>"2170674279 "</f>
        <v xml:space="preserve">2170674279 </v>
      </c>
      <c r="G2096" s="14" t="str">
        <f t="shared" si="66"/>
        <v>ON1</v>
      </c>
      <c r="H2096" s="14" t="s">
        <v>20</v>
      </c>
      <c r="I2096" s="14" t="s">
        <v>93</v>
      </c>
      <c r="J2096" s="14" t="str">
        <f>""</f>
        <v/>
      </c>
      <c r="K2096" s="14" t="str">
        <f>"PFES1162673017_0001"</f>
        <v>PFES1162673017_0001</v>
      </c>
      <c r="L2096" s="14">
        <v>1</v>
      </c>
      <c r="M2096" s="14">
        <v>1</v>
      </c>
    </row>
    <row r="2097" spans="1:13">
      <c r="A2097" s="6">
        <v>43510</v>
      </c>
      <c r="B2097" s="7">
        <v>0.55625000000000002</v>
      </c>
      <c r="C2097" s="14" t="str">
        <f>"FES1162673005"</f>
        <v>FES1162673005</v>
      </c>
      <c r="D2097" s="14" t="s">
        <v>18</v>
      </c>
      <c r="E2097" s="14" t="s">
        <v>47</v>
      </c>
      <c r="F2097" s="14" t="str">
        <f>"2170674258 "</f>
        <v xml:space="preserve">2170674258 </v>
      </c>
      <c r="G2097" s="14" t="str">
        <f t="shared" si="66"/>
        <v>ON1</v>
      </c>
      <c r="H2097" s="14" t="s">
        <v>20</v>
      </c>
      <c r="I2097" s="14" t="s">
        <v>48</v>
      </c>
      <c r="J2097" s="14" t="str">
        <f>""</f>
        <v/>
      </c>
      <c r="K2097" s="14" t="str">
        <f>"PFES1162673005_0001"</f>
        <v>PFES1162673005_0001</v>
      </c>
      <c r="L2097" s="14">
        <v>1</v>
      </c>
      <c r="M2097" s="14">
        <v>5</v>
      </c>
    </row>
    <row r="2098" spans="1:13">
      <c r="A2098" s="6">
        <v>43510</v>
      </c>
      <c r="B2098" s="7">
        <v>0.55555555555555558</v>
      </c>
      <c r="C2098" s="14" t="str">
        <f>"FES1162673039"</f>
        <v>FES1162673039</v>
      </c>
      <c r="D2098" s="14" t="s">
        <v>18</v>
      </c>
      <c r="E2098" s="14" t="s">
        <v>19</v>
      </c>
      <c r="F2098" s="14" t="str">
        <f>"2170674314 "</f>
        <v xml:space="preserve">2170674314 </v>
      </c>
      <c r="G2098" s="14" t="str">
        <f t="shared" si="66"/>
        <v>ON1</v>
      </c>
      <c r="H2098" s="14" t="s">
        <v>20</v>
      </c>
      <c r="I2098" s="14" t="s">
        <v>21</v>
      </c>
      <c r="J2098" s="14" t="str">
        <f>""</f>
        <v/>
      </c>
      <c r="K2098" s="14" t="str">
        <f>"PFES1162673039_0001"</f>
        <v>PFES1162673039_0001</v>
      </c>
      <c r="L2098" s="14">
        <v>1</v>
      </c>
      <c r="M2098" s="14">
        <v>1</v>
      </c>
    </row>
    <row r="2099" spans="1:13">
      <c r="A2099" s="6">
        <v>43510</v>
      </c>
      <c r="B2099" s="7">
        <v>0.55486111111111114</v>
      </c>
      <c r="C2099" s="14" t="str">
        <f>"FES1162673075"</f>
        <v>FES1162673075</v>
      </c>
      <c r="D2099" s="14" t="s">
        <v>18</v>
      </c>
      <c r="E2099" s="14" t="s">
        <v>289</v>
      </c>
      <c r="F2099" s="14" t="str">
        <f>"2170669881 "</f>
        <v xml:space="preserve">2170669881 </v>
      </c>
      <c r="G2099" s="14" t="str">
        <f t="shared" si="66"/>
        <v>ON1</v>
      </c>
      <c r="H2099" s="14" t="s">
        <v>20</v>
      </c>
      <c r="I2099" s="14" t="s">
        <v>290</v>
      </c>
      <c r="J2099" s="14" t="str">
        <f>""</f>
        <v/>
      </c>
      <c r="K2099" s="14" t="str">
        <f>"PFES1162673075_0001"</f>
        <v>PFES1162673075_0001</v>
      </c>
      <c r="L2099" s="14">
        <v>1</v>
      </c>
      <c r="M2099" s="14">
        <v>1</v>
      </c>
    </row>
    <row r="2100" spans="1:13">
      <c r="A2100" s="6">
        <v>43510</v>
      </c>
      <c r="B2100" s="7">
        <v>0.55486111111111114</v>
      </c>
      <c r="C2100" s="14" t="str">
        <f>"FES1162672990"</f>
        <v>FES1162672990</v>
      </c>
      <c r="D2100" s="14" t="s">
        <v>18</v>
      </c>
      <c r="E2100" s="14" t="s">
        <v>344</v>
      </c>
      <c r="F2100" s="14" t="str">
        <f>"2170672309 "</f>
        <v xml:space="preserve">2170672309 </v>
      </c>
      <c r="G2100" s="14" t="str">
        <f t="shared" si="66"/>
        <v>ON1</v>
      </c>
      <c r="H2100" s="14" t="s">
        <v>20</v>
      </c>
      <c r="I2100" s="14" t="s">
        <v>345</v>
      </c>
      <c r="J2100" s="14" t="str">
        <f>""</f>
        <v/>
      </c>
      <c r="K2100" s="14" t="str">
        <f>"PFES1162672990_0001"</f>
        <v>PFES1162672990_0001</v>
      </c>
      <c r="L2100" s="14">
        <v>1</v>
      </c>
      <c r="M2100" s="14">
        <v>3</v>
      </c>
    </row>
    <row r="2101" spans="1:13">
      <c r="A2101" s="6">
        <v>43510</v>
      </c>
      <c r="B2101" s="7">
        <v>0.55486111111111114</v>
      </c>
      <c r="C2101" s="14" t="str">
        <f>"FES1162673169"</f>
        <v>FES1162673169</v>
      </c>
      <c r="D2101" s="14" t="s">
        <v>18</v>
      </c>
      <c r="E2101" s="14" t="s">
        <v>950</v>
      </c>
      <c r="F2101" s="14" t="str">
        <f>"2170674171 "</f>
        <v xml:space="preserve">2170674171 </v>
      </c>
      <c r="G2101" s="14" t="str">
        <f t="shared" si="66"/>
        <v>ON1</v>
      </c>
      <c r="H2101" s="14" t="s">
        <v>20</v>
      </c>
      <c r="I2101" s="14" t="s">
        <v>951</v>
      </c>
      <c r="J2101" s="14" t="str">
        <f>""</f>
        <v/>
      </c>
      <c r="K2101" s="14" t="str">
        <f>"PFES1162673169_0001"</f>
        <v>PFES1162673169_0001</v>
      </c>
      <c r="L2101" s="14">
        <v>1</v>
      </c>
      <c r="M2101" s="14">
        <v>1</v>
      </c>
    </row>
    <row r="2102" spans="1:13">
      <c r="A2102" s="6">
        <v>43510</v>
      </c>
      <c r="B2102" s="7">
        <v>0.5541666666666667</v>
      </c>
      <c r="C2102" s="14" t="str">
        <f>"FES1162673148"</f>
        <v>FES1162673148</v>
      </c>
      <c r="D2102" s="14" t="s">
        <v>18</v>
      </c>
      <c r="E2102" s="14" t="s">
        <v>19</v>
      </c>
      <c r="F2102" s="14" t="str">
        <f>"2170673816 "</f>
        <v xml:space="preserve">2170673816 </v>
      </c>
      <c r="G2102" s="14" t="str">
        <f t="shared" si="66"/>
        <v>ON1</v>
      </c>
      <c r="H2102" s="14" t="s">
        <v>20</v>
      </c>
      <c r="I2102" s="14" t="s">
        <v>21</v>
      </c>
      <c r="J2102" s="14" t="str">
        <f>""</f>
        <v/>
      </c>
      <c r="K2102" s="14" t="str">
        <f>"PFES1162673148_0001"</f>
        <v>PFES1162673148_0001</v>
      </c>
      <c r="L2102" s="14">
        <v>1</v>
      </c>
      <c r="M2102" s="14">
        <v>1</v>
      </c>
    </row>
    <row r="2103" spans="1:13">
      <c r="A2103" s="6">
        <v>43510</v>
      </c>
      <c r="B2103" s="7">
        <v>0.55347222222222225</v>
      </c>
      <c r="C2103" s="14" t="str">
        <f>"FES1162673161"</f>
        <v>FES1162673161</v>
      </c>
      <c r="D2103" s="14" t="s">
        <v>18</v>
      </c>
      <c r="E2103" s="14" t="s">
        <v>952</v>
      </c>
      <c r="F2103" s="14" t="str">
        <f>"2170674329 "</f>
        <v xml:space="preserve">2170674329 </v>
      </c>
      <c r="G2103" s="14" t="str">
        <f t="shared" si="66"/>
        <v>ON1</v>
      </c>
      <c r="H2103" s="14" t="s">
        <v>20</v>
      </c>
      <c r="I2103" s="14" t="s">
        <v>953</v>
      </c>
      <c r="J2103" s="14" t="str">
        <f>""</f>
        <v/>
      </c>
      <c r="K2103" s="14" t="str">
        <f>"PFES1162673161_0001"</f>
        <v>PFES1162673161_0001</v>
      </c>
      <c r="L2103" s="14">
        <v>1</v>
      </c>
      <c r="M2103" s="14">
        <v>1</v>
      </c>
    </row>
    <row r="2104" spans="1:13">
      <c r="A2104" s="6">
        <v>43510</v>
      </c>
      <c r="B2104" s="7">
        <v>0.55347222222222225</v>
      </c>
      <c r="C2104" s="14" t="str">
        <f>"FES1162673010"</f>
        <v>FES1162673010</v>
      </c>
      <c r="D2104" s="14" t="s">
        <v>18</v>
      </c>
      <c r="E2104" s="14" t="s">
        <v>601</v>
      </c>
      <c r="F2104" s="14" t="str">
        <f>"2170674269 "</f>
        <v xml:space="preserve">2170674269 </v>
      </c>
      <c r="G2104" s="14" t="str">
        <f t="shared" si="66"/>
        <v>ON1</v>
      </c>
      <c r="H2104" s="14" t="s">
        <v>20</v>
      </c>
      <c r="I2104" s="14" t="s">
        <v>602</v>
      </c>
      <c r="J2104" s="14" t="str">
        <f>""</f>
        <v/>
      </c>
      <c r="K2104" s="14" t="str">
        <f>"PFES1162673010_0001"</f>
        <v>PFES1162673010_0001</v>
      </c>
      <c r="L2104" s="14">
        <v>1</v>
      </c>
      <c r="M2104" s="14">
        <v>1</v>
      </c>
    </row>
    <row r="2105" spans="1:13">
      <c r="A2105" s="6">
        <v>43510</v>
      </c>
      <c r="B2105" s="7">
        <v>0.55277777777777781</v>
      </c>
      <c r="C2105" s="14" t="str">
        <f>"FES1162673062"</f>
        <v>FES1162673062</v>
      </c>
      <c r="D2105" s="14" t="s">
        <v>18</v>
      </c>
      <c r="E2105" s="14" t="s">
        <v>537</v>
      </c>
      <c r="F2105" s="14" t="str">
        <f>"2170673062 "</f>
        <v xml:space="preserve">2170673062 </v>
      </c>
      <c r="G2105" s="14" t="str">
        <f t="shared" si="66"/>
        <v>ON1</v>
      </c>
      <c r="H2105" s="14" t="s">
        <v>20</v>
      </c>
      <c r="I2105" s="14" t="s">
        <v>93</v>
      </c>
      <c r="J2105" s="14" t="str">
        <f>""</f>
        <v/>
      </c>
      <c r="K2105" s="14" t="str">
        <f>"PFES1162673062_0001"</f>
        <v>PFES1162673062_0001</v>
      </c>
      <c r="L2105" s="14">
        <v>1</v>
      </c>
      <c r="M2105" s="14">
        <v>1</v>
      </c>
    </row>
    <row r="2106" spans="1:13">
      <c r="A2106" s="6">
        <v>43510</v>
      </c>
      <c r="B2106" s="7">
        <v>0.55208333333333337</v>
      </c>
      <c r="C2106" s="14" t="str">
        <f>"FES1162673151"</f>
        <v>FES1162673151</v>
      </c>
      <c r="D2106" s="14" t="s">
        <v>18</v>
      </c>
      <c r="E2106" s="14" t="s">
        <v>380</v>
      </c>
      <c r="F2106" s="14" t="str">
        <f>"2170673957 "</f>
        <v xml:space="preserve">2170673957 </v>
      </c>
      <c r="G2106" s="14" t="str">
        <f t="shared" si="66"/>
        <v>ON1</v>
      </c>
      <c r="H2106" s="14" t="s">
        <v>20</v>
      </c>
      <c r="I2106" s="14" t="s">
        <v>213</v>
      </c>
      <c r="J2106" s="14" t="str">
        <f>""</f>
        <v/>
      </c>
      <c r="K2106" s="14" t="str">
        <f>"PFES1162673151_0001"</f>
        <v>PFES1162673151_0001</v>
      </c>
      <c r="L2106" s="14">
        <v>1</v>
      </c>
      <c r="M2106" s="14">
        <v>1</v>
      </c>
    </row>
    <row r="2107" spans="1:13">
      <c r="A2107" s="6">
        <v>43510</v>
      </c>
      <c r="B2107" s="7">
        <v>0.55208333333333337</v>
      </c>
      <c r="C2107" s="14" t="str">
        <f>"FES1162673180"</f>
        <v>FES1162673180</v>
      </c>
      <c r="D2107" s="14" t="s">
        <v>18</v>
      </c>
      <c r="E2107" s="14" t="s">
        <v>200</v>
      </c>
      <c r="F2107" s="14" t="str">
        <f>"2170674353 "</f>
        <v xml:space="preserve">2170674353 </v>
      </c>
      <c r="G2107" s="14" t="str">
        <f t="shared" si="66"/>
        <v>ON1</v>
      </c>
      <c r="H2107" s="14" t="s">
        <v>20</v>
      </c>
      <c r="I2107" s="14" t="s">
        <v>201</v>
      </c>
      <c r="J2107" s="14" t="str">
        <f>""</f>
        <v/>
      </c>
      <c r="K2107" s="14" t="str">
        <f>"PFES1162673180_0001"</f>
        <v>PFES1162673180_0001</v>
      </c>
      <c r="L2107" s="14">
        <v>1</v>
      </c>
      <c r="M2107" s="14">
        <v>1</v>
      </c>
    </row>
    <row r="2108" spans="1:13">
      <c r="A2108" s="6">
        <v>43510</v>
      </c>
      <c r="B2108" s="7">
        <v>0.55138888888888882</v>
      </c>
      <c r="C2108" s="14" t="str">
        <f>"FES1162673166"</f>
        <v>FES1162673166</v>
      </c>
      <c r="D2108" s="14" t="s">
        <v>18</v>
      </c>
      <c r="E2108" s="14" t="s">
        <v>225</v>
      </c>
      <c r="F2108" s="14" t="str">
        <f>"2170674334 "</f>
        <v xml:space="preserve">2170674334 </v>
      </c>
      <c r="G2108" s="14" t="str">
        <f t="shared" si="66"/>
        <v>ON1</v>
      </c>
      <c r="H2108" s="14" t="s">
        <v>20</v>
      </c>
      <c r="I2108" s="14" t="s">
        <v>226</v>
      </c>
      <c r="J2108" s="14" t="str">
        <f>""</f>
        <v/>
      </c>
      <c r="K2108" s="14" t="str">
        <f>"PFES1162673166_0001"</f>
        <v>PFES1162673166_0001</v>
      </c>
      <c r="L2108" s="14">
        <v>1</v>
      </c>
      <c r="M2108" s="14">
        <v>1</v>
      </c>
    </row>
    <row r="2109" spans="1:13">
      <c r="A2109" s="6">
        <v>43510</v>
      </c>
      <c r="B2109" s="7">
        <v>0.55138888888888882</v>
      </c>
      <c r="C2109" s="14" t="str">
        <f>"FES1162673172"</f>
        <v>FES1162673172</v>
      </c>
      <c r="D2109" s="14" t="s">
        <v>18</v>
      </c>
      <c r="E2109" s="14" t="s">
        <v>225</v>
      </c>
      <c r="F2109" s="14" t="str">
        <f>"2170674339 "</f>
        <v xml:space="preserve">2170674339 </v>
      </c>
      <c r="G2109" s="14" t="str">
        <f t="shared" si="66"/>
        <v>ON1</v>
      </c>
      <c r="H2109" s="14" t="s">
        <v>20</v>
      </c>
      <c r="I2109" s="14" t="s">
        <v>226</v>
      </c>
      <c r="J2109" s="14" t="str">
        <f>""</f>
        <v/>
      </c>
      <c r="K2109" s="14" t="str">
        <f>"PFES1162673172_0001"</f>
        <v>PFES1162673172_0001</v>
      </c>
      <c r="L2109" s="14">
        <v>1</v>
      </c>
      <c r="M2109" s="14">
        <v>1</v>
      </c>
    </row>
    <row r="2110" spans="1:13">
      <c r="A2110" s="6">
        <v>43510</v>
      </c>
      <c r="B2110" s="7">
        <v>0.55069444444444449</v>
      </c>
      <c r="C2110" s="14" t="str">
        <f>"FES1162672976"</f>
        <v>FES1162672976</v>
      </c>
      <c r="D2110" s="14" t="s">
        <v>18</v>
      </c>
      <c r="E2110" s="14" t="s">
        <v>178</v>
      </c>
      <c r="F2110" s="14" t="str">
        <f>"23170674242 "</f>
        <v xml:space="preserve">23170674242 </v>
      </c>
      <c r="G2110" s="14" t="str">
        <f t="shared" si="66"/>
        <v>ON1</v>
      </c>
      <c r="H2110" s="14" t="s">
        <v>20</v>
      </c>
      <c r="I2110" s="14" t="s">
        <v>29</v>
      </c>
      <c r="J2110" s="14" t="str">
        <f>""</f>
        <v/>
      </c>
      <c r="K2110" s="14" t="str">
        <f>"PFES1162672976_0001"</f>
        <v>PFES1162672976_0001</v>
      </c>
      <c r="L2110" s="14">
        <v>1</v>
      </c>
      <c r="M2110" s="14">
        <v>1</v>
      </c>
    </row>
    <row r="2111" spans="1:13">
      <c r="A2111" s="6">
        <v>43510</v>
      </c>
      <c r="B2111" s="7">
        <v>0.54999999999999993</v>
      </c>
      <c r="C2111" s="14" t="str">
        <f>"FES1162673117"</f>
        <v>FES1162673117</v>
      </c>
      <c r="D2111" s="14" t="s">
        <v>18</v>
      </c>
      <c r="E2111" s="14" t="s">
        <v>116</v>
      </c>
      <c r="F2111" s="14" t="str">
        <f>"2170672485 "</f>
        <v xml:space="preserve">2170672485 </v>
      </c>
      <c r="G2111" s="14" t="str">
        <f t="shared" si="66"/>
        <v>ON1</v>
      </c>
      <c r="H2111" s="14" t="s">
        <v>20</v>
      </c>
      <c r="I2111" s="14" t="s">
        <v>117</v>
      </c>
      <c r="J2111" s="14" t="str">
        <f>""</f>
        <v/>
      </c>
      <c r="K2111" s="14" t="str">
        <f>"PFES1162673117_0001"</f>
        <v>PFES1162673117_0001</v>
      </c>
      <c r="L2111" s="14">
        <v>1</v>
      </c>
      <c r="M2111" s="14">
        <v>1</v>
      </c>
    </row>
    <row r="2112" spans="1:13">
      <c r="A2112" s="6">
        <v>43510</v>
      </c>
      <c r="B2112" s="7">
        <v>0.54999999999999993</v>
      </c>
      <c r="C2112" s="14" t="str">
        <f>"FES1162672997"</f>
        <v>FES1162672997</v>
      </c>
      <c r="D2112" s="14" t="s">
        <v>18</v>
      </c>
      <c r="E2112" s="14" t="s">
        <v>725</v>
      </c>
      <c r="F2112" s="14" t="str">
        <f>"2170673266 "</f>
        <v xml:space="preserve">2170673266 </v>
      </c>
      <c r="G2112" s="14" t="str">
        <f t="shared" si="66"/>
        <v>ON1</v>
      </c>
      <c r="H2112" s="14" t="s">
        <v>20</v>
      </c>
      <c r="I2112" s="14" t="s">
        <v>117</v>
      </c>
      <c r="J2112" s="14" t="str">
        <f>""</f>
        <v/>
      </c>
      <c r="K2112" s="14" t="str">
        <f>"PFES1162672997_0001"</f>
        <v>PFES1162672997_0001</v>
      </c>
      <c r="L2112" s="14">
        <v>1</v>
      </c>
      <c r="M2112" s="14">
        <v>1</v>
      </c>
    </row>
    <row r="2113" spans="1:13">
      <c r="A2113" s="6">
        <v>43510</v>
      </c>
      <c r="B2113" s="7">
        <v>0.5493055555555556</v>
      </c>
      <c r="C2113" s="14" t="str">
        <f>"FES1162672987"</f>
        <v>FES1162672987</v>
      </c>
      <c r="D2113" s="14" t="s">
        <v>18</v>
      </c>
      <c r="E2113" s="14" t="s">
        <v>306</v>
      </c>
      <c r="F2113" s="14" t="str">
        <f>"2170671816 "</f>
        <v xml:space="preserve">2170671816 </v>
      </c>
      <c r="G2113" s="14" t="str">
        <f t="shared" si="66"/>
        <v>ON1</v>
      </c>
      <c r="H2113" s="14" t="s">
        <v>20</v>
      </c>
      <c r="I2113" s="14" t="s">
        <v>228</v>
      </c>
      <c r="J2113" s="14" t="str">
        <f>""</f>
        <v/>
      </c>
      <c r="K2113" s="14" t="str">
        <f>"PFES1162672987_0001"</f>
        <v>PFES1162672987_0001</v>
      </c>
      <c r="L2113" s="14">
        <v>1</v>
      </c>
      <c r="M2113" s="14">
        <v>1</v>
      </c>
    </row>
    <row r="2114" spans="1:13">
      <c r="A2114" s="6">
        <v>43510</v>
      </c>
      <c r="B2114" s="7">
        <v>0.54861111111111105</v>
      </c>
      <c r="C2114" s="14" t="str">
        <f>"FES1162673226"</f>
        <v>FES1162673226</v>
      </c>
      <c r="D2114" s="14" t="s">
        <v>18</v>
      </c>
      <c r="E2114" s="14" t="s">
        <v>129</v>
      </c>
      <c r="F2114" s="14" t="str">
        <f>"2170674414 "</f>
        <v xml:space="preserve">2170674414 </v>
      </c>
      <c r="G2114" s="14" t="str">
        <f t="shared" si="66"/>
        <v>ON1</v>
      </c>
      <c r="H2114" s="14" t="s">
        <v>20</v>
      </c>
      <c r="I2114" s="14" t="s">
        <v>130</v>
      </c>
      <c r="J2114" s="14" t="str">
        <f>""</f>
        <v/>
      </c>
      <c r="K2114" s="14" t="str">
        <f>"PFES1162673226_0001"</f>
        <v>PFES1162673226_0001</v>
      </c>
      <c r="L2114" s="14">
        <v>1</v>
      </c>
      <c r="M2114" s="14">
        <v>1</v>
      </c>
    </row>
    <row r="2115" spans="1:13">
      <c r="A2115" s="6">
        <v>43510</v>
      </c>
      <c r="B2115" s="7">
        <v>0.54861111111111105</v>
      </c>
      <c r="C2115" s="14" t="str">
        <f>"FES1162673061"</f>
        <v>FES1162673061</v>
      </c>
      <c r="D2115" s="14" t="s">
        <v>18</v>
      </c>
      <c r="E2115" s="14" t="s">
        <v>725</v>
      </c>
      <c r="F2115" s="14" t="str">
        <f>"2170673266 "</f>
        <v xml:space="preserve">2170673266 </v>
      </c>
      <c r="G2115" s="14" t="str">
        <f t="shared" si="66"/>
        <v>ON1</v>
      </c>
      <c r="H2115" s="14" t="s">
        <v>20</v>
      </c>
      <c r="I2115" s="14" t="s">
        <v>117</v>
      </c>
      <c r="J2115" s="14" t="str">
        <f>""</f>
        <v/>
      </c>
      <c r="K2115" s="14" t="str">
        <f>"PFES1162673061_0001"</f>
        <v>PFES1162673061_0001</v>
      </c>
      <c r="L2115" s="14">
        <v>1</v>
      </c>
      <c r="M2115" s="14">
        <v>1</v>
      </c>
    </row>
    <row r="2116" spans="1:13">
      <c r="A2116" s="6">
        <v>43510</v>
      </c>
      <c r="B2116" s="7">
        <v>0.54791666666666672</v>
      </c>
      <c r="C2116" s="14" t="str">
        <f>"FES1162673189"</f>
        <v>FES1162673189</v>
      </c>
      <c r="D2116" s="14" t="s">
        <v>18</v>
      </c>
      <c r="E2116" s="14" t="s">
        <v>954</v>
      </c>
      <c r="F2116" s="14" t="str">
        <f>"2170674363 "</f>
        <v xml:space="preserve">2170674363 </v>
      </c>
      <c r="G2116" s="14" t="str">
        <f t="shared" si="66"/>
        <v>ON1</v>
      </c>
      <c r="H2116" s="14" t="s">
        <v>20</v>
      </c>
      <c r="I2116" s="14" t="s">
        <v>139</v>
      </c>
      <c r="J2116" s="14" t="str">
        <f>""</f>
        <v/>
      </c>
      <c r="K2116" s="14" t="str">
        <f>"PFES1162673189_0001"</f>
        <v>PFES1162673189_0001</v>
      </c>
      <c r="L2116" s="14">
        <v>1</v>
      </c>
      <c r="M2116" s="14">
        <v>1</v>
      </c>
    </row>
    <row r="2117" spans="1:13">
      <c r="A2117" s="6">
        <v>43510</v>
      </c>
      <c r="B2117" s="7">
        <v>0.54791666666666672</v>
      </c>
      <c r="C2117" s="14" t="str">
        <f>"FES1162673036"</f>
        <v>FES1162673036</v>
      </c>
      <c r="D2117" s="14" t="s">
        <v>18</v>
      </c>
      <c r="E2117" s="14" t="s">
        <v>822</v>
      </c>
      <c r="F2117" s="14" t="str">
        <f>"2170674311 "</f>
        <v xml:space="preserve">2170674311 </v>
      </c>
      <c r="G2117" s="14" t="str">
        <f t="shared" si="66"/>
        <v>ON1</v>
      </c>
      <c r="H2117" s="14" t="s">
        <v>20</v>
      </c>
      <c r="I2117" s="14" t="s">
        <v>48</v>
      </c>
      <c r="J2117" s="14" t="str">
        <f>""</f>
        <v/>
      </c>
      <c r="K2117" s="14" t="str">
        <f>"PFES1162673036_0001"</f>
        <v>PFES1162673036_0001</v>
      </c>
      <c r="L2117" s="14">
        <v>1</v>
      </c>
      <c r="M2117" s="14">
        <v>1</v>
      </c>
    </row>
    <row r="2118" spans="1:13">
      <c r="A2118" s="6">
        <v>43510</v>
      </c>
      <c r="B2118" s="7">
        <v>0.54722222222222217</v>
      </c>
      <c r="C2118" s="14" t="str">
        <f>"FES1162673209"</f>
        <v>FES1162673209</v>
      </c>
      <c r="D2118" s="14" t="s">
        <v>18</v>
      </c>
      <c r="E2118" s="14" t="s">
        <v>138</v>
      </c>
      <c r="F2118" s="14" t="str">
        <f>"2170674391 "</f>
        <v xml:space="preserve">2170674391 </v>
      </c>
      <c r="G2118" s="14" t="str">
        <f t="shared" si="66"/>
        <v>ON1</v>
      </c>
      <c r="H2118" s="14" t="s">
        <v>20</v>
      </c>
      <c r="I2118" s="14" t="s">
        <v>139</v>
      </c>
      <c r="J2118" s="14" t="str">
        <f>""</f>
        <v/>
      </c>
      <c r="K2118" s="14" t="str">
        <f>"PFES1162673209_0001"</f>
        <v>PFES1162673209_0001</v>
      </c>
      <c r="L2118" s="14">
        <v>1</v>
      </c>
      <c r="M2118" s="14">
        <v>1</v>
      </c>
    </row>
    <row r="2119" spans="1:13">
      <c r="A2119" s="6">
        <v>43510</v>
      </c>
      <c r="B2119" s="7">
        <v>0.54652777777777783</v>
      </c>
      <c r="C2119" s="14" t="str">
        <f>"FES1162673150"</f>
        <v>FES1162673150</v>
      </c>
      <c r="D2119" s="14" t="s">
        <v>18</v>
      </c>
      <c r="E2119" s="14" t="s">
        <v>806</v>
      </c>
      <c r="F2119" s="14" t="str">
        <f>"2170673895 "</f>
        <v xml:space="preserve">2170673895 </v>
      </c>
      <c r="G2119" s="14" t="str">
        <f t="shared" si="66"/>
        <v>ON1</v>
      </c>
      <c r="H2119" s="14" t="s">
        <v>20</v>
      </c>
      <c r="I2119" s="14" t="s">
        <v>213</v>
      </c>
      <c r="J2119" s="14" t="str">
        <f>""</f>
        <v/>
      </c>
      <c r="K2119" s="14" t="str">
        <f>"PFES1162673150_0001"</f>
        <v>PFES1162673150_0001</v>
      </c>
      <c r="L2119" s="14">
        <v>1</v>
      </c>
      <c r="M2119" s="14">
        <v>1</v>
      </c>
    </row>
    <row r="2120" spans="1:13">
      <c r="A2120" s="6">
        <v>43510</v>
      </c>
      <c r="B2120" s="7">
        <v>0.54583333333333328</v>
      </c>
      <c r="C2120" s="14" t="str">
        <f>"FES1162673043"</f>
        <v>FES1162673043</v>
      </c>
      <c r="D2120" s="14" t="s">
        <v>18</v>
      </c>
      <c r="E2120" s="14" t="s">
        <v>129</v>
      </c>
      <c r="F2120" s="14" t="str">
        <f>"2170672166 "</f>
        <v xml:space="preserve">2170672166 </v>
      </c>
      <c r="G2120" s="14" t="str">
        <f t="shared" si="66"/>
        <v>ON1</v>
      </c>
      <c r="H2120" s="14" t="s">
        <v>20</v>
      </c>
      <c r="I2120" s="14" t="s">
        <v>130</v>
      </c>
      <c r="J2120" s="14" t="str">
        <f>""</f>
        <v/>
      </c>
      <c r="K2120" s="14" t="str">
        <f>"PFES1162673043_0001"</f>
        <v>PFES1162673043_0001</v>
      </c>
      <c r="L2120" s="14">
        <v>1</v>
      </c>
      <c r="M2120" s="14">
        <v>1</v>
      </c>
    </row>
    <row r="2121" spans="1:13">
      <c r="A2121" s="6">
        <v>43510</v>
      </c>
      <c r="B2121" s="7">
        <v>0.54583333333333328</v>
      </c>
      <c r="C2121" s="14" t="str">
        <f>"FES1162672989"</f>
        <v>FES1162672989</v>
      </c>
      <c r="D2121" s="14" t="s">
        <v>18</v>
      </c>
      <c r="E2121" s="14" t="s">
        <v>380</v>
      </c>
      <c r="F2121" s="14" t="str">
        <f>"2170672115 "</f>
        <v xml:space="preserve">2170672115 </v>
      </c>
      <c r="G2121" s="14" t="str">
        <f t="shared" si="66"/>
        <v>ON1</v>
      </c>
      <c r="H2121" s="14" t="s">
        <v>20</v>
      </c>
      <c r="I2121" s="14" t="s">
        <v>213</v>
      </c>
      <c r="J2121" s="14" t="str">
        <f>""</f>
        <v/>
      </c>
      <c r="K2121" s="14" t="str">
        <f>"PFES1162672989_0001"</f>
        <v>PFES1162672989_0001</v>
      </c>
      <c r="L2121" s="14">
        <v>1</v>
      </c>
      <c r="M2121" s="14">
        <v>1</v>
      </c>
    </row>
    <row r="2122" spans="1:13">
      <c r="A2122" s="6">
        <v>43510</v>
      </c>
      <c r="B2122" s="7">
        <v>0.54513888888888895</v>
      </c>
      <c r="C2122" s="14" t="str">
        <f>"FES1162673004"</f>
        <v>FES1162673004</v>
      </c>
      <c r="D2122" s="14" t="s">
        <v>18</v>
      </c>
      <c r="E2122" s="14" t="s">
        <v>337</v>
      </c>
      <c r="F2122" s="14" t="str">
        <f>"2170674231 "</f>
        <v xml:space="preserve">2170674231 </v>
      </c>
      <c r="G2122" s="14" t="str">
        <f t="shared" si="66"/>
        <v>ON1</v>
      </c>
      <c r="H2122" s="14" t="s">
        <v>20</v>
      </c>
      <c r="I2122" s="14" t="s">
        <v>338</v>
      </c>
      <c r="J2122" s="14" t="str">
        <f>""</f>
        <v/>
      </c>
      <c r="K2122" s="14" t="str">
        <f>"PFES1162673004_0001"</f>
        <v>PFES1162673004_0001</v>
      </c>
      <c r="L2122" s="14">
        <v>1</v>
      </c>
      <c r="M2122" s="14">
        <v>1</v>
      </c>
    </row>
    <row r="2123" spans="1:13">
      <c r="A2123" s="6">
        <v>43510</v>
      </c>
      <c r="B2123" s="7">
        <v>0.5444444444444444</v>
      </c>
      <c r="C2123" s="14" t="str">
        <f>"FES1162673006"</f>
        <v>FES1162673006</v>
      </c>
      <c r="D2123" s="14" t="s">
        <v>18</v>
      </c>
      <c r="E2123" s="14" t="s">
        <v>129</v>
      </c>
      <c r="F2123" s="14" t="str">
        <f>"2170674260 "</f>
        <v xml:space="preserve">2170674260 </v>
      </c>
      <c r="G2123" s="14" t="str">
        <f t="shared" si="66"/>
        <v>ON1</v>
      </c>
      <c r="H2123" s="14" t="s">
        <v>20</v>
      </c>
      <c r="I2123" s="14" t="s">
        <v>130</v>
      </c>
      <c r="J2123" s="14" t="str">
        <f>""</f>
        <v/>
      </c>
      <c r="K2123" s="14" t="str">
        <f>"PFES1162673006_0001"</f>
        <v>PFES1162673006_0001</v>
      </c>
      <c r="L2123" s="14">
        <v>1</v>
      </c>
      <c r="M2123" s="14">
        <v>1</v>
      </c>
    </row>
    <row r="2124" spans="1:13">
      <c r="A2124" s="6">
        <v>43510</v>
      </c>
      <c r="B2124" s="7">
        <v>0.5444444444444444</v>
      </c>
      <c r="C2124" s="14" t="str">
        <f>"FES1162672995"</f>
        <v>FES1162672995</v>
      </c>
      <c r="D2124" s="14" t="s">
        <v>18</v>
      </c>
      <c r="E2124" s="14" t="s">
        <v>178</v>
      </c>
      <c r="F2124" s="14" t="str">
        <f>"2170672995 "</f>
        <v xml:space="preserve">2170672995 </v>
      </c>
      <c r="G2124" s="14" t="str">
        <f t="shared" si="66"/>
        <v>ON1</v>
      </c>
      <c r="H2124" s="14" t="s">
        <v>20</v>
      </c>
      <c r="I2124" s="14" t="s">
        <v>31</v>
      </c>
      <c r="J2124" s="14" t="str">
        <f>""</f>
        <v/>
      </c>
      <c r="K2124" s="14" t="str">
        <f>"PFES1162672995_0001"</f>
        <v>PFES1162672995_0001</v>
      </c>
      <c r="L2124" s="14">
        <v>1</v>
      </c>
      <c r="M2124" s="14">
        <v>1</v>
      </c>
    </row>
    <row r="2125" spans="1:13">
      <c r="A2125" s="6">
        <v>43510</v>
      </c>
      <c r="B2125" s="7">
        <v>0.54375000000000007</v>
      </c>
      <c r="C2125" s="14" t="str">
        <f>"FES1162673059"</f>
        <v>FES1162673059</v>
      </c>
      <c r="D2125" s="14" t="s">
        <v>18</v>
      </c>
      <c r="E2125" s="14" t="s">
        <v>129</v>
      </c>
      <c r="F2125" s="14" t="str">
        <f>"2170673059 "</f>
        <v xml:space="preserve">2170673059 </v>
      </c>
      <c r="G2125" s="14" t="str">
        <f t="shared" si="66"/>
        <v>ON1</v>
      </c>
      <c r="H2125" s="14" t="s">
        <v>20</v>
      </c>
      <c r="I2125" s="14" t="s">
        <v>130</v>
      </c>
      <c r="J2125" s="14" t="str">
        <f>""</f>
        <v/>
      </c>
      <c r="K2125" s="14" t="str">
        <f>"PFES1162673059_0001"</f>
        <v>PFES1162673059_0001</v>
      </c>
      <c r="L2125" s="14">
        <v>1</v>
      </c>
      <c r="M2125" s="14">
        <v>1</v>
      </c>
    </row>
    <row r="2126" spans="1:13">
      <c r="A2126" s="6">
        <v>43510</v>
      </c>
      <c r="B2126" s="7">
        <v>0.54305555555555551</v>
      </c>
      <c r="C2126" s="14" t="str">
        <f>"FES1162673105"</f>
        <v>FES1162673105</v>
      </c>
      <c r="D2126" s="14" t="s">
        <v>18</v>
      </c>
      <c r="E2126" s="14" t="s">
        <v>380</v>
      </c>
      <c r="F2126" s="14" t="str">
        <f>"2170672115 "</f>
        <v xml:space="preserve">2170672115 </v>
      </c>
      <c r="G2126" s="14" t="str">
        <f t="shared" si="66"/>
        <v>ON1</v>
      </c>
      <c r="H2126" s="14" t="s">
        <v>20</v>
      </c>
      <c r="I2126" s="14" t="s">
        <v>213</v>
      </c>
      <c r="J2126" s="14" t="str">
        <f>""</f>
        <v/>
      </c>
      <c r="K2126" s="14" t="str">
        <f>"PFES1162673105_0001"</f>
        <v>PFES1162673105_0001</v>
      </c>
      <c r="L2126" s="14">
        <v>1</v>
      </c>
      <c r="M2126" s="14">
        <v>1</v>
      </c>
    </row>
    <row r="2127" spans="1:13">
      <c r="A2127" s="6">
        <v>43510</v>
      </c>
      <c r="B2127" s="7">
        <v>0.54236111111111118</v>
      </c>
      <c r="C2127" s="14" t="str">
        <f>"FES1162673122"</f>
        <v>FES1162673122</v>
      </c>
      <c r="D2127" s="14" t="s">
        <v>18</v>
      </c>
      <c r="E2127" s="14" t="s">
        <v>181</v>
      </c>
      <c r="F2127" s="14" t="str">
        <f>"2170672530 "</f>
        <v xml:space="preserve">2170672530 </v>
      </c>
      <c r="G2127" s="14" t="str">
        <f t="shared" si="66"/>
        <v>ON1</v>
      </c>
      <c r="H2127" s="14" t="s">
        <v>20</v>
      </c>
      <c r="I2127" s="14" t="s">
        <v>182</v>
      </c>
      <c r="J2127" s="14" t="str">
        <f>""</f>
        <v/>
      </c>
      <c r="K2127" s="14" t="str">
        <f>"PFES1162673122_0001"</f>
        <v>PFES1162673122_0001</v>
      </c>
      <c r="L2127" s="14">
        <v>1</v>
      </c>
      <c r="M2127" s="14">
        <v>1</v>
      </c>
    </row>
    <row r="2128" spans="1:13">
      <c r="A2128" s="6">
        <v>43510</v>
      </c>
      <c r="B2128" s="7">
        <v>0.54166666666666663</v>
      </c>
      <c r="C2128" s="14" t="str">
        <f>"FES1162673155"</f>
        <v>FES1162673155</v>
      </c>
      <c r="D2128" s="14" t="s">
        <v>18</v>
      </c>
      <c r="E2128" s="14" t="s">
        <v>955</v>
      </c>
      <c r="F2128" s="14" t="str">
        <f>"2170674322 "</f>
        <v xml:space="preserve">2170674322 </v>
      </c>
      <c r="G2128" s="14" t="str">
        <f t="shared" si="66"/>
        <v>ON1</v>
      </c>
      <c r="H2128" s="14" t="s">
        <v>20</v>
      </c>
      <c r="I2128" s="14" t="s">
        <v>810</v>
      </c>
      <c r="J2128" s="14" t="str">
        <f>""</f>
        <v/>
      </c>
      <c r="K2128" s="14" t="str">
        <f>"PFES1162673155_0001"</f>
        <v>PFES1162673155_0001</v>
      </c>
      <c r="L2128" s="14">
        <v>1</v>
      </c>
      <c r="M2128" s="14">
        <v>9</v>
      </c>
    </row>
    <row r="2129" spans="1:13">
      <c r="A2129" s="6">
        <v>43510</v>
      </c>
      <c r="B2129" s="7">
        <v>0.54027777777777775</v>
      </c>
      <c r="C2129" s="14" t="str">
        <f>"FES1162673058"</f>
        <v>FES1162673058</v>
      </c>
      <c r="D2129" s="14" t="s">
        <v>18</v>
      </c>
      <c r="E2129" s="14" t="s">
        <v>447</v>
      </c>
      <c r="F2129" s="14" t="str">
        <f>"2170672534 "</f>
        <v xml:space="preserve">2170672534 </v>
      </c>
      <c r="G2129" s="14" t="str">
        <f t="shared" si="66"/>
        <v>ON1</v>
      </c>
      <c r="H2129" s="14" t="s">
        <v>20</v>
      </c>
      <c r="I2129" s="14" t="s">
        <v>182</v>
      </c>
      <c r="J2129" s="14" t="str">
        <f>""</f>
        <v/>
      </c>
      <c r="K2129" s="14" t="str">
        <f>"PFES1162673058_0001"</f>
        <v>PFES1162673058_0001</v>
      </c>
      <c r="L2129" s="14">
        <v>1</v>
      </c>
      <c r="M2129" s="14">
        <v>1</v>
      </c>
    </row>
    <row r="2130" spans="1:13">
      <c r="A2130" s="6">
        <v>43510</v>
      </c>
      <c r="B2130" s="7">
        <v>0.54027777777777775</v>
      </c>
      <c r="C2130" s="14" t="str">
        <f>"FES1162673045"</f>
        <v>FES1162673045</v>
      </c>
      <c r="D2130" s="14" t="s">
        <v>18</v>
      </c>
      <c r="E2130" s="14" t="s">
        <v>76</v>
      </c>
      <c r="F2130" s="14" t="str">
        <f>"2170672253 "</f>
        <v xml:space="preserve">2170672253 </v>
      </c>
      <c r="G2130" s="14" t="str">
        <f t="shared" si="66"/>
        <v>ON1</v>
      </c>
      <c r="H2130" s="14" t="s">
        <v>20</v>
      </c>
      <c r="I2130" s="14" t="s">
        <v>77</v>
      </c>
      <c r="J2130" s="14" t="str">
        <f>""</f>
        <v/>
      </c>
      <c r="K2130" s="14" t="str">
        <f>"PFES1162673045_0001"</f>
        <v>PFES1162673045_0001</v>
      </c>
      <c r="L2130" s="14">
        <v>1</v>
      </c>
      <c r="M2130" s="14">
        <v>3</v>
      </c>
    </row>
    <row r="2131" spans="1:13">
      <c r="A2131" s="6">
        <v>43510</v>
      </c>
      <c r="B2131" s="7">
        <v>0.53888888888888886</v>
      </c>
      <c r="C2131" s="14" t="str">
        <f>"FES1162673153"</f>
        <v>FES1162673153</v>
      </c>
      <c r="D2131" s="14" t="s">
        <v>18</v>
      </c>
      <c r="E2131" s="14" t="s">
        <v>337</v>
      </c>
      <c r="F2131" s="14" t="str">
        <f>"2170674231 "</f>
        <v xml:space="preserve">2170674231 </v>
      </c>
      <c r="G2131" s="14" t="str">
        <f t="shared" si="66"/>
        <v>ON1</v>
      </c>
      <c r="H2131" s="14" t="s">
        <v>20</v>
      </c>
      <c r="I2131" s="14" t="s">
        <v>338</v>
      </c>
      <c r="J2131" s="14" t="str">
        <f>""</f>
        <v/>
      </c>
      <c r="K2131" s="14" t="str">
        <f>"PFES1162673153_0001"</f>
        <v>PFES1162673153_0001</v>
      </c>
      <c r="L2131" s="14">
        <v>1</v>
      </c>
      <c r="M2131" s="14">
        <v>1</v>
      </c>
    </row>
    <row r="2132" spans="1:13">
      <c r="A2132" s="6">
        <v>43510</v>
      </c>
      <c r="B2132" s="7">
        <v>0.53888888888888886</v>
      </c>
      <c r="C2132" s="14" t="str">
        <f>"FES1162673124"</f>
        <v>FES1162673124</v>
      </c>
      <c r="D2132" s="14" t="s">
        <v>18</v>
      </c>
      <c r="E2132" s="14" t="s">
        <v>92</v>
      </c>
      <c r="F2132" s="14" t="str">
        <f>"2170672547 "</f>
        <v xml:space="preserve">2170672547 </v>
      </c>
      <c r="G2132" s="14" t="str">
        <f t="shared" si="66"/>
        <v>ON1</v>
      </c>
      <c r="H2132" s="14" t="s">
        <v>20</v>
      </c>
      <c r="I2132" s="14" t="s">
        <v>93</v>
      </c>
      <c r="J2132" s="14" t="str">
        <f>""</f>
        <v/>
      </c>
      <c r="K2132" s="14" t="str">
        <f>"PFES1162673124_0001"</f>
        <v>PFES1162673124_0001</v>
      </c>
      <c r="L2132" s="14">
        <v>1</v>
      </c>
      <c r="M2132" s="14">
        <v>1</v>
      </c>
    </row>
    <row r="2133" spans="1:13">
      <c r="A2133" s="6">
        <v>43510</v>
      </c>
      <c r="B2133" s="7">
        <v>0.53819444444444442</v>
      </c>
      <c r="C2133" s="14" t="str">
        <f>"FES1162673114"</f>
        <v>FES1162673114</v>
      </c>
      <c r="D2133" s="14" t="s">
        <v>18</v>
      </c>
      <c r="E2133" s="14" t="s">
        <v>246</v>
      </c>
      <c r="F2133" s="14" t="str">
        <f>"2170672386 "</f>
        <v xml:space="preserve">2170672386 </v>
      </c>
      <c r="G2133" s="14" t="str">
        <f t="shared" si="66"/>
        <v>ON1</v>
      </c>
      <c r="H2133" s="14" t="s">
        <v>20</v>
      </c>
      <c r="I2133" s="14" t="s">
        <v>53</v>
      </c>
      <c r="J2133" s="14" t="str">
        <f>""</f>
        <v/>
      </c>
      <c r="K2133" s="14" t="str">
        <f>"PFES1162673114_0001"</f>
        <v>PFES1162673114_0001</v>
      </c>
      <c r="L2133" s="14">
        <v>1</v>
      </c>
      <c r="M2133" s="14">
        <v>17</v>
      </c>
    </row>
    <row r="2134" spans="1:13">
      <c r="A2134" s="6">
        <v>43510</v>
      </c>
      <c r="B2134" s="7">
        <v>0.53819444444444442</v>
      </c>
      <c r="C2134" s="14" t="str">
        <f>"FES1162673093"</f>
        <v>FES1162673093</v>
      </c>
      <c r="D2134" s="14" t="s">
        <v>18</v>
      </c>
      <c r="E2134" s="14" t="s">
        <v>47</v>
      </c>
      <c r="F2134" s="14" t="str">
        <f>"2170671820 "</f>
        <v xml:space="preserve">2170671820 </v>
      </c>
      <c r="G2134" s="14" t="str">
        <f t="shared" si="66"/>
        <v>ON1</v>
      </c>
      <c r="H2134" s="14" t="s">
        <v>20</v>
      </c>
      <c r="I2134" s="14" t="s">
        <v>48</v>
      </c>
      <c r="J2134" s="14" t="str">
        <f>""</f>
        <v/>
      </c>
      <c r="K2134" s="14" t="str">
        <f>"PFES1162673093_0001"</f>
        <v>PFES1162673093_0001</v>
      </c>
      <c r="L2134" s="14">
        <v>1</v>
      </c>
      <c r="M2134" s="14">
        <v>1</v>
      </c>
    </row>
    <row r="2135" spans="1:13">
      <c r="A2135" s="6">
        <v>43510</v>
      </c>
      <c r="B2135" s="7">
        <v>0.53749999999999998</v>
      </c>
      <c r="C2135" s="14" t="str">
        <f>"FES1162673065"</f>
        <v>FES1162673065</v>
      </c>
      <c r="D2135" s="14" t="s">
        <v>18</v>
      </c>
      <c r="E2135" s="14" t="s">
        <v>19</v>
      </c>
      <c r="F2135" s="14" t="str">
        <f>"2170674317 "</f>
        <v xml:space="preserve">2170674317 </v>
      </c>
      <c r="G2135" s="14" t="str">
        <f t="shared" si="66"/>
        <v>ON1</v>
      </c>
      <c r="H2135" s="14" t="s">
        <v>20</v>
      </c>
      <c r="I2135" s="14" t="s">
        <v>21</v>
      </c>
      <c r="J2135" s="14" t="str">
        <f>""</f>
        <v/>
      </c>
      <c r="K2135" s="14" t="str">
        <f>"PFES1162673065_0001"</f>
        <v>PFES1162673065_0001</v>
      </c>
      <c r="L2135" s="14">
        <v>1</v>
      </c>
      <c r="M2135" s="14">
        <v>1</v>
      </c>
    </row>
    <row r="2136" spans="1:13">
      <c r="A2136" s="6">
        <v>43510</v>
      </c>
      <c r="B2136" s="7">
        <v>0.53749999999999998</v>
      </c>
      <c r="C2136" s="14" t="str">
        <f>"FES1162673000"</f>
        <v>FES1162673000</v>
      </c>
      <c r="D2136" s="14" t="s">
        <v>18</v>
      </c>
      <c r="E2136" s="14" t="s">
        <v>956</v>
      </c>
      <c r="F2136" s="14" t="str">
        <f>"2170673586 "</f>
        <v xml:space="preserve">2170673586 </v>
      </c>
      <c r="G2136" s="14" t="str">
        <f t="shared" si="66"/>
        <v>ON1</v>
      </c>
      <c r="H2136" s="14" t="s">
        <v>20</v>
      </c>
      <c r="I2136" s="14" t="s">
        <v>810</v>
      </c>
      <c r="J2136" s="14" t="str">
        <f>""</f>
        <v/>
      </c>
      <c r="K2136" s="14" t="str">
        <f>"PFES1162673000_0001"</f>
        <v>PFES1162673000_0001</v>
      </c>
      <c r="L2136" s="14">
        <v>1</v>
      </c>
      <c r="M2136" s="14">
        <v>1</v>
      </c>
    </row>
    <row r="2137" spans="1:13">
      <c r="A2137" s="6">
        <v>43510</v>
      </c>
      <c r="B2137" s="7">
        <v>0.53680555555555554</v>
      </c>
      <c r="C2137" s="14" t="str">
        <f>"FES1162673098"</f>
        <v>FES1162673098</v>
      </c>
      <c r="D2137" s="14" t="s">
        <v>18</v>
      </c>
      <c r="E2137" s="14" t="s">
        <v>321</v>
      </c>
      <c r="F2137" s="14" t="str">
        <f>"2170671957 "</f>
        <v xml:space="preserve">2170671957 </v>
      </c>
      <c r="G2137" s="14" t="str">
        <f t="shared" si="66"/>
        <v>ON1</v>
      </c>
      <c r="H2137" s="14" t="s">
        <v>20</v>
      </c>
      <c r="I2137" s="14" t="s">
        <v>322</v>
      </c>
      <c r="J2137" s="14" t="str">
        <f>""</f>
        <v/>
      </c>
      <c r="K2137" s="14" t="str">
        <f>"PFES1162673098_0001"</f>
        <v>PFES1162673098_0001</v>
      </c>
      <c r="L2137" s="14">
        <v>1</v>
      </c>
      <c r="M2137" s="14">
        <v>4</v>
      </c>
    </row>
    <row r="2138" spans="1:13">
      <c r="A2138" s="6">
        <v>43510</v>
      </c>
      <c r="B2138" s="7">
        <v>0.53680555555555554</v>
      </c>
      <c r="C2138" s="14" t="str">
        <f>"FES1162673055"</f>
        <v>FES1162673055</v>
      </c>
      <c r="D2138" s="14" t="s">
        <v>18</v>
      </c>
      <c r="E2138" s="14" t="s">
        <v>957</v>
      </c>
      <c r="F2138" s="14" t="str">
        <f>"2170672447 "</f>
        <v xml:space="preserve">2170672447 </v>
      </c>
      <c r="G2138" s="14" t="str">
        <f t="shared" si="66"/>
        <v>ON1</v>
      </c>
      <c r="H2138" s="14" t="s">
        <v>20</v>
      </c>
      <c r="I2138" s="14" t="s">
        <v>958</v>
      </c>
      <c r="J2138" s="14" t="str">
        <f>""</f>
        <v/>
      </c>
      <c r="K2138" s="14" t="str">
        <f>"PFES1162673055_0001"</f>
        <v>PFES1162673055_0001</v>
      </c>
      <c r="L2138" s="14">
        <v>1</v>
      </c>
      <c r="M2138" s="14">
        <v>1</v>
      </c>
    </row>
    <row r="2139" spans="1:13">
      <c r="A2139" s="6">
        <v>43510</v>
      </c>
      <c r="B2139" s="7">
        <v>0.53611111111111109</v>
      </c>
      <c r="C2139" s="14" t="str">
        <f>"FES1162672972"</f>
        <v>FES1162672972</v>
      </c>
      <c r="D2139" s="14" t="s">
        <v>18</v>
      </c>
      <c r="E2139" s="14" t="s">
        <v>100</v>
      </c>
      <c r="F2139" s="14" t="str">
        <f>"2170674220 "</f>
        <v xml:space="preserve">2170674220 </v>
      </c>
      <c r="G2139" s="14" t="str">
        <f t="shared" si="66"/>
        <v>ON1</v>
      </c>
      <c r="H2139" s="14" t="s">
        <v>20</v>
      </c>
      <c r="I2139" s="14" t="s">
        <v>101</v>
      </c>
      <c r="J2139" s="14" t="str">
        <f>""</f>
        <v/>
      </c>
      <c r="K2139" s="14" t="str">
        <f>"PFES1162672972_0001"</f>
        <v>PFES1162672972_0001</v>
      </c>
      <c r="L2139" s="14">
        <v>1</v>
      </c>
      <c r="M2139" s="14">
        <v>13</v>
      </c>
    </row>
    <row r="2140" spans="1:13">
      <c r="A2140" s="6">
        <v>43510</v>
      </c>
      <c r="B2140" s="7">
        <v>0.53611111111111109</v>
      </c>
      <c r="C2140" s="14" t="str">
        <f>"FES1162673076"</f>
        <v>FES1162673076</v>
      </c>
      <c r="D2140" s="14" t="s">
        <v>18</v>
      </c>
      <c r="E2140" s="14" t="s">
        <v>243</v>
      </c>
      <c r="F2140" s="14" t="str">
        <f>"2170669951 "</f>
        <v xml:space="preserve">2170669951 </v>
      </c>
      <c r="G2140" s="14" t="str">
        <f t="shared" si="66"/>
        <v>ON1</v>
      </c>
      <c r="H2140" s="14" t="s">
        <v>20</v>
      </c>
      <c r="I2140" s="14" t="s">
        <v>244</v>
      </c>
      <c r="J2140" s="14" t="str">
        <f>""</f>
        <v/>
      </c>
      <c r="K2140" s="14" t="str">
        <f>"PFES1162673076_0001"</f>
        <v>PFES1162673076_0001</v>
      </c>
      <c r="L2140" s="14">
        <v>1</v>
      </c>
      <c r="M2140" s="14">
        <v>1</v>
      </c>
    </row>
    <row r="2141" spans="1:13">
      <c r="A2141" s="6">
        <v>43510</v>
      </c>
      <c r="B2141" s="7">
        <v>0.53541666666666665</v>
      </c>
      <c r="C2141" s="14" t="str">
        <f>"FES1162673129"</f>
        <v>FES1162673129</v>
      </c>
      <c r="D2141" s="14" t="s">
        <v>18</v>
      </c>
      <c r="E2141" s="14" t="s">
        <v>180</v>
      </c>
      <c r="F2141" s="14" t="str">
        <f>"23170672596 "</f>
        <v xml:space="preserve">23170672596 </v>
      </c>
      <c r="G2141" s="14" t="str">
        <f t="shared" si="66"/>
        <v>ON1</v>
      </c>
      <c r="H2141" s="14" t="s">
        <v>20</v>
      </c>
      <c r="I2141" s="14" t="s">
        <v>93</v>
      </c>
      <c r="J2141" s="14" t="str">
        <f>""</f>
        <v/>
      </c>
      <c r="K2141" s="14" t="str">
        <f>"PFES1162673129_0001"</f>
        <v>PFES1162673129_0001</v>
      </c>
      <c r="L2141" s="14">
        <v>1</v>
      </c>
      <c r="M2141" s="14">
        <v>1</v>
      </c>
    </row>
    <row r="2142" spans="1:13">
      <c r="A2142" s="6">
        <v>43510</v>
      </c>
      <c r="B2142" s="7">
        <v>0.53472222222222221</v>
      </c>
      <c r="C2142" s="14" t="str">
        <f>"FES1162673160"</f>
        <v>FES1162673160</v>
      </c>
      <c r="D2142" s="14" t="s">
        <v>18</v>
      </c>
      <c r="E2142" s="14" t="s">
        <v>120</v>
      </c>
      <c r="F2142" s="14" t="str">
        <f>"2170674328 "</f>
        <v xml:space="preserve">2170674328 </v>
      </c>
      <c r="G2142" s="14" t="str">
        <f t="shared" si="66"/>
        <v>ON1</v>
      </c>
      <c r="H2142" s="14" t="s">
        <v>20</v>
      </c>
      <c r="I2142" s="14" t="s">
        <v>121</v>
      </c>
      <c r="J2142" s="14" t="str">
        <f>""</f>
        <v/>
      </c>
      <c r="K2142" s="14" t="str">
        <f>"PFES1162673160_0001"</f>
        <v>PFES1162673160_0001</v>
      </c>
      <c r="L2142" s="14">
        <v>1</v>
      </c>
      <c r="M2142" s="14">
        <v>9</v>
      </c>
    </row>
    <row r="2143" spans="1:13">
      <c r="A2143" s="6">
        <v>43510</v>
      </c>
      <c r="B2143" s="7">
        <v>0.53472222222222221</v>
      </c>
      <c r="C2143" s="14" t="str">
        <f>"FES1162673037"</f>
        <v>FES1162673037</v>
      </c>
      <c r="D2143" s="14" t="s">
        <v>18</v>
      </c>
      <c r="E2143" s="14" t="s">
        <v>19</v>
      </c>
      <c r="F2143" s="14" t="str">
        <f>"2170674312 "</f>
        <v xml:space="preserve">2170674312 </v>
      </c>
      <c r="G2143" s="14" t="str">
        <f t="shared" si="66"/>
        <v>ON1</v>
      </c>
      <c r="H2143" s="14" t="s">
        <v>20</v>
      </c>
      <c r="I2143" s="14" t="s">
        <v>21</v>
      </c>
      <c r="J2143" s="14" t="str">
        <f>""</f>
        <v/>
      </c>
      <c r="K2143" s="14" t="str">
        <f>"PFES1162673037_0001"</f>
        <v>PFES1162673037_0001</v>
      </c>
      <c r="L2143" s="14">
        <v>1</v>
      </c>
      <c r="M2143" s="14">
        <v>1</v>
      </c>
    </row>
    <row r="2144" spans="1:13">
      <c r="A2144" s="6">
        <v>43510</v>
      </c>
      <c r="B2144" s="7">
        <v>0.53402777777777777</v>
      </c>
      <c r="C2144" s="14" t="str">
        <f>"FES1162673120"</f>
        <v>FES1162673120</v>
      </c>
      <c r="D2144" s="14" t="s">
        <v>18</v>
      </c>
      <c r="E2144" s="14" t="s">
        <v>100</v>
      </c>
      <c r="F2144" s="14" t="str">
        <f>"2170672518 "</f>
        <v xml:space="preserve">2170672518 </v>
      </c>
      <c r="G2144" s="14" t="str">
        <f t="shared" si="66"/>
        <v>ON1</v>
      </c>
      <c r="H2144" s="14" t="s">
        <v>20</v>
      </c>
      <c r="I2144" s="14" t="s">
        <v>101</v>
      </c>
      <c r="J2144" s="14" t="str">
        <f>""</f>
        <v/>
      </c>
      <c r="K2144" s="14" t="str">
        <f>"PFES1162673120_0001"</f>
        <v>PFES1162673120_0001</v>
      </c>
      <c r="L2144" s="14">
        <v>1</v>
      </c>
      <c r="M2144" s="14">
        <v>1</v>
      </c>
    </row>
    <row r="2145" spans="1:13">
      <c r="A2145" s="6">
        <v>43510</v>
      </c>
      <c r="B2145" s="7">
        <v>0.53402777777777777</v>
      </c>
      <c r="C2145" s="14" t="str">
        <f>"FES1162673139"</f>
        <v>FES1162673139</v>
      </c>
      <c r="D2145" s="14" t="s">
        <v>18</v>
      </c>
      <c r="E2145" s="14" t="s">
        <v>777</v>
      </c>
      <c r="F2145" s="14" t="str">
        <f>"2170672752 "</f>
        <v xml:space="preserve">2170672752 </v>
      </c>
      <c r="G2145" s="14" t="str">
        <f t="shared" si="66"/>
        <v>ON1</v>
      </c>
      <c r="H2145" s="14" t="s">
        <v>20</v>
      </c>
      <c r="I2145" s="14" t="s">
        <v>111</v>
      </c>
      <c r="J2145" s="14" t="str">
        <f>""</f>
        <v/>
      </c>
      <c r="K2145" s="14" t="str">
        <f>"PFES1162673139_0001"</f>
        <v>PFES1162673139_0001</v>
      </c>
      <c r="L2145" s="14">
        <v>1</v>
      </c>
      <c r="M2145" s="14">
        <v>4</v>
      </c>
    </row>
    <row r="2146" spans="1:13">
      <c r="A2146" s="6">
        <v>43510</v>
      </c>
      <c r="B2146" s="7">
        <v>0.53402777777777777</v>
      </c>
      <c r="C2146" s="14" t="str">
        <f>"FES1162673156"</f>
        <v>FES1162673156</v>
      </c>
      <c r="D2146" s="14" t="s">
        <v>18</v>
      </c>
      <c r="E2146" s="14" t="s">
        <v>180</v>
      </c>
      <c r="F2146" s="14" t="str">
        <f>"2170674323 "</f>
        <v xml:space="preserve">2170674323 </v>
      </c>
      <c r="G2146" s="14" t="str">
        <f t="shared" si="66"/>
        <v>ON1</v>
      </c>
      <c r="H2146" s="14" t="s">
        <v>20</v>
      </c>
      <c r="I2146" s="14" t="s">
        <v>93</v>
      </c>
      <c r="J2146" s="14" t="str">
        <f>""</f>
        <v/>
      </c>
      <c r="K2146" s="14" t="str">
        <f>"PFES1162673156_0001"</f>
        <v>PFES1162673156_0001</v>
      </c>
      <c r="L2146" s="14">
        <v>1</v>
      </c>
      <c r="M2146" s="14">
        <v>1</v>
      </c>
    </row>
    <row r="2147" spans="1:13">
      <c r="A2147" s="6">
        <v>43510</v>
      </c>
      <c r="B2147" s="7">
        <v>0.53333333333333333</v>
      </c>
      <c r="C2147" s="14" t="str">
        <f>"FES1162673078"</f>
        <v>FES1162673078</v>
      </c>
      <c r="D2147" s="14" t="s">
        <v>18</v>
      </c>
      <c r="E2147" s="14" t="s">
        <v>92</v>
      </c>
      <c r="F2147" s="14" t="str">
        <f>"2170671210 "</f>
        <v xml:space="preserve">2170671210 </v>
      </c>
      <c r="G2147" s="14" t="str">
        <f t="shared" si="66"/>
        <v>ON1</v>
      </c>
      <c r="H2147" s="14" t="s">
        <v>20</v>
      </c>
      <c r="I2147" s="14" t="s">
        <v>93</v>
      </c>
      <c r="J2147" s="14" t="str">
        <f>""</f>
        <v/>
      </c>
      <c r="K2147" s="14" t="str">
        <f>"PFES1162673078_0001"</f>
        <v>PFES1162673078_0001</v>
      </c>
      <c r="L2147" s="14">
        <v>1</v>
      </c>
      <c r="M2147" s="14">
        <v>1</v>
      </c>
    </row>
    <row r="2148" spans="1:13">
      <c r="A2148" s="6">
        <v>43510</v>
      </c>
      <c r="B2148" s="7">
        <v>0.53263888888888888</v>
      </c>
      <c r="C2148" s="14" t="str">
        <f>"FES1162673185"</f>
        <v>FES1162673185</v>
      </c>
      <c r="D2148" s="14" t="s">
        <v>18</v>
      </c>
      <c r="E2148" s="14" t="s">
        <v>409</v>
      </c>
      <c r="F2148" s="14" t="str">
        <f>"2170673026 "</f>
        <v xml:space="preserve">2170673026 </v>
      </c>
      <c r="G2148" s="14" t="str">
        <f t="shared" si="66"/>
        <v>ON1</v>
      </c>
      <c r="H2148" s="14" t="s">
        <v>20</v>
      </c>
      <c r="I2148" s="14" t="s">
        <v>410</v>
      </c>
      <c r="J2148" s="14" t="str">
        <f>""</f>
        <v/>
      </c>
      <c r="K2148" s="14" t="str">
        <f>"PFES1162673185_0001"</f>
        <v>PFES1162673185_0001</v>
      </c>
      <c r="L2148" s="14">
        <v>1</v>
      </c>
      <c r="M2148" s="14">
        <v>1</v>
      </c>
    </row>
    <row r="2149" spans="1:13">
      <c r="A2149" s="6">
        <v>43510</v>
      </c>
      <c r="B2149" s="7">
        <v>0.53263888888888888</v>
      </c>
      <c r="C2149" s="14" t="str">
        <f>"FES1162673131"</f>
        <v>FES1162673131</v>
      </c>
      <c r="D2149" s="14" t="s">
        <v>18</v>
      </c>
      <c r="E2149" s="14" t="s">
        <v>944</v>
      </c>
      <c r="F2149" s="14" t="str">
        <f>"2170672653 "</f>
        <v xml:space="preserve">2170672653 </v>
      </c>
      <c r="G2149" s="14" t="str">
        <f t="shared" si="66"/>
        <v>ON1</v>
      </c>
      <c r="H2149" s="14" t="s">
        <v>20</v>
      </c>
      <c r="I2149" s="14" t="s">
        <v>945</v>
      </c>
      <c r="J2149" s="14" t="str">
        <f>""</f>
        <v/>
      </c>
      <c r="K2149" s="14" t="str">
        <f>"PFES1162673131_0001"</f>
        <v>PFES1162673131_0001</v>
      </c>
      <c r="L2149" s="14">
        <v>1</v>
      </c>
      <c r="M2149" s="14">
        <v>2</v>
      </c>
    </row>
    <row r="2150" spans="1:13">
      <c r="A2150" s="6">
        <v>43510</v>
      </c>
      <c r="B2150" s="7">
        <v>0.53263888888888888</v>
      </c>
      <c r="C2150" s="14" t="str">
        <f>"FES1162673133"</f>
        <v>FES1162673133</v>
      </c>
      <c r="D2150" s="14" t="s">
        <v>18</v>
      </c>
      <c r="E2150" s="14" t="s">
        <v>90</v>
      </c>
      <c r="F2150" s="14" t="str">
        <f>"2170672677 "</f>
        <v xml:space="preserve">2170672677 </v>
      </c>
      <c r="G2150" s="14" t="str">
        <f t="shared" ref="G2150:G2213" si="67">"ON1"</f>
        <v>ON1</v>
      </c>
      <c r="H2150" s="14" t="s">
        <v>20</v>
      </c>
      <c r="I2150" s="14" t="s">
        <v>89</v>
      </c>
      <c r="J2150" s="14" t="str">
        <f>""</f>
        <v/>
      </c>
      <c r="K2150" s="14" t="str">
        <f>"PFES1162673133_0001"</f>
        <v>PFES1162673133_0001</v>
      </c>
      <c r="L2150" s="14">
        <v>1</v>
      </c>
      <c r="M2150" s="14">
        <v>1</v>
      </c>
    </row>
    <row r="2151" spans="1:13">
      <c r="A2151" s="6">
        <v>43510</v>
      </c>
      <c r="B2151" s="7">
        <v>0.53194444444444444</v>
      </c>
      <c r="C2151" s="14" t="str">
        <f>"FES1162673085"</f>
        <v>FES1162673085</v>
      </c>
      <c r="D2151" s="14" t="s">
        <v>18</v>
      </c>
      <c r="E2151" s="14" t="s">
        <v>19</v>
      </c>
      <c r="F2151" s="14" t="str">
        <f>"2170671607 "</f>
        <v xml:space="preserve">2170671607 </v>
      </c>
      <c r="G2151" s="14" t="str">
        <f t="shared" si="67"/>
        <v>ON1</v>
      </c>
      <c r="H2151" s="14" t="s">
        <v>20</v>
      </c>
      <c r="I2151" s="14" t="s">
        <v>21</v>
      </c>
      <c r="J2151" s="14" t="str">
        <f>""</f>
        <v/>
      </c>
      <c r="K2151" s="14" t="str">
        <f>"PFES1162673085_0001"</f>
        <v>PFES1162673085_0001</v>
      </c>
      <c r="L2151" s="14">
        <v>1</v>
      </c>
      <c r="M2151" s="14">
        <v>1</v>
      </c>
    </row>
    <row r="2152" spans="1:13">
      <c r="A2152" s="6">
        <v>43510</v>
      </c>
      <c r="B2152" s="7">
        <v>0.53055555555555556</v>
      </c>
      <c r="C2152" s="14" t="str">
        <f>"FES1162673086"</f>
        <v>FES1162673086</v>
      </c>
      <c r="D2152" s="14" t="s">
        <v>18</v>
      </c>
      <c r="E2152" s="14" t="s">
        <v>185</v>
      </c>
      <c r="F2152" s="14" t="str">
        <f>"2170671646 "</f>
        <v xml:space="preserve">2170671646 </v>
      </c>
      <c r="G2152" s="14" t="str">
        <f t="shared" si="67"/>
        <v>ON1</v>
      </c>
      <c r="H2152" s="14" t="s">
        <v>20</v>
      </c>
      <c r="I2152" s="14" t="s">
        <v>93</v>
      </c>
      <c r="J2152" s="14" t="str">
        <f>""</f>
        <v/>
      </c>
      <c r="K2152" s="14" t="str">
        <f>"PFES1162673086_0001"</f>
        <v>PFES1162673086_0001</v>
      </c>
      <c r="L2152" s="14">
        <v>1</v>
      </c>
      <c r="M2152" s="14">
        <v>1</v>
      </c>
    </row>
    <row r="2153" spans="1:13">
      <c r="A2153" s="6">
        <v>43510</v>
      </c>
      <c r="B2153" s="7">
        <v>0.52916666666666667</v>
      </c>
      <c r="C2153" s="14" t="str">
        <f>"FES1162673034"</f>
        <v>FES1162673034</v>
      </c>
      <c r="D2153" s="14" t="s">
        <v>18</v>
      </c>
      <c r="E2153" s="14" t="s">
        <v>212</v>
      </c>
      <c r="F2153" s="14" t="str">
        <f>"2170674310 "</f>
        <v xml:space="preserve">2170674310 </v>
      </c>
      <c r="G2153" s="14" t="str">
        <f t="shared" si="67"/>
        <v>ON1</v>
      </c>
      <c r="H2153" s="14" t="s">
        <v>20</v>
      </c>
      <c r="I2153" s="14" t="s">
        <v>213</v>
      </c>
      <c r="J2153" s="14" t="str">
        <f>""</f>
        <v/>
      </c>
      <c r="K2153" s="14" t="str">
        <f>"PFES1162673034_0001"</f>
        <v>PFES1162673034_0001</v>
      </c>
      <c r="L2153" s="14">
        <v>1</v>
      </c>
      <c r="M2153" s="14">
        <v>4</v>
      </c>
    </row>
    <row r="2154" spans="1:13">
      <c r="A2154" s="6">
        <v>43510</v>
      </c>
      <c r="B2154" s="7">
        <v>0.52847222222222223</v>
      </c>
      <c r="C2154" s="14" t="str">
        <f>"FES1162673002"</f>
        <v>FES1162673002</v>
      </c>
      <c r="D2154" s="14" t="s">
        <v>18</v>
      </c>
      <c r="E2154" s="14" t="s">
        <v>530</v>
      </c>
      <c r="F2154" s="14" t="str">
        <f>"2170674066 "</f>
        <v xml:space="preserve">2170674066 </v>
      </c>
      <c r="G2154" s="14" t="str">
        <f t="shared" si="67"/>
        <v>ON1</v>
      </c>
      <c r="H2154" s="14" t="s">
        <v>20</v>
      </c>
      <c r="I2154" s="14" t="s">
        <v>531</v>
      </c>
      <c r="J2154" s="14" t="str">
        <f>""</f>
        <v/>
      </c>
      <c r="K2154" s="14" t="str">
        <f>"PFES1162673002_0001"</f>
        <v>PFES1162673002_0001</v>
      </c>
      <c r="L2154" s="14">
        <v>1</v>
      </c>
      <c r="M2154" s="14">
        <v>3</v>
      </c>
    </row>
    <row r="2155" spans="1:13">
      <c r="A2155" s="6">
        <v>43510</v>
      </c>
      <c r="B2155" s="7">
        <v>0.52777777777777779</v>
      </c>
      <c r="C2155" s="14" t="str">
        <f>"FES1162673100"</f>
        <v>FES1162673100</v>
      </c>
      <c r="D2155" s="14" t="s">
        <v>18</v>
      </c>
      <c r="E2155" s="14" t="s">
        <v>90</v>
      </c>
      <c r="F2155" s="14" t="str">
        <f>"2170671996 "</f>
        <v xml:space="preserve">2170671996 </v>
      </c>
      <c r="G2155" s="14" t="str">
        <f t="shared" si="67"/>
        <v>ON1</v>
      </c>
      <c r="H2155" s="14" t="s">
        <v>20</v>
      </c>
      <c r="I2155" s="14" t="s">
        <v>89</v>
      </c>
      <c r="J2155" s="14" t="str">
        <f>""</f>
        <v/>
      </c>
      <c r="K2155" s="14" t="str">
        <f>"PFES1162673100_0001"</f>
        <v>PFES1162673100_0001</v>
      </c>
      <c r="L2155" s="14">
        <v>1</v>
      </c>
      <c r="M2155" s="14">
        <v>2</v>
      </c>
    </row>
    <row r="2156" spans="1:13">
      <c r="A2156" s="6">
        <v>43510</v>
      </c>
      <c r="B2156" s="7">
        <v>0.52708333333333335</v>
      </c>
      <c r="C2156" s="14" t="str">
        <f>"FES1162673127"</f>
        <v>FES1162673127</v>
      </c>
      <c r="D2156" s="14" t="s">
        <v>18</v>
      </c>
      <c r="E2156" s="14" t="s">
        <v>298</v>
      </c>
      <c r="F2156" s="14" t="str">
        <f>"2170672587 "</f>
        <v xml:space="preserve">2170672587 </v>
      </c>
      <c r="G2156" s="14" t="str">
        <f t="shared" si="67"/>
        <v>ON1</v>
      </c>
      <c r="H2156" s="14" t="s">
        <v>20</v>
      </c>
      <c r="I2156" s="14" t="s">
        <v>93</v>
      </c>
      <c r="J2156" s="14" t="str">
        <f>""</f>
        <v/>
      </c>
      <c r="K2156" s="14" t="str">
        <f>"PFES1162673127_0001"</f>
        <v>PFES1162673127_0001</v>
      </c>
      <c r="L2156" s="14">
        <v>1</v>
      </c>
      <c r="M2156" s="14">
        <v>1</v>
      </c>
    </row>
    <row r="2157" spans="1:13">
      <c r="A2157" s="6">
        <v>43510</v>
      </c>
      <c r="B2157" s="7">
        <v>0.52638888888888891</v>
      </c>
      <c r="C2157" s="14" t="str">
        <f>"FES1162672999"</f>
        <v>FES1162672999</v>
      </c>
      <c r="D2157" s="14" t="s">
        <v>18</v>
      </c>
      <c r="E2157" s="14" t="s">
        <v>129</v>
      </c>
      <c r="F2157" s="14" t="str">
        <f>"2170673431 "</f>
        <v xml:space="preserve">2170673431 </v>
      </c>
      <c r="G2157" s="14" t="str">
        <f t="shared" si="67"/>
        <v>ON1</v>
      </c>
      <c r="H2157" s="14" t="s">
        <v>20</v>
      </c>
      <c r="I2157" s="14" t="s">
        <v>130</v>
      </c>
      <c r="J2157" s="14" t="str">
        <f>""</f>
        <v/>
      </c>
      <c r="K2157" s="14" t="str">
        <f>"PFES1162672999_0001"</f>
        <v>PFES1162672999_0001</v>
      </c>
      <c r="L2157" s="14">
        <v>1</v>
      </c>
      <c r="M2157" s="14">
        <v>8</v>
      </c>
    </row>
    <row r="2158" spans="1:13">
      <c r="A2158" s="6">
        <v>43510</v>
      </c>
      <c r="B2158" s="7">
        <v>0.52569444444444446</v>
      </c>
      <c r="C2158" s="14" t="str">
        <f>"FES1162673222"</f>
        <v>FES1162673222</v>
      </c>
      <c r="D2158" s="14" t="s">
        <v>18</v>
      </c>
      <c r="E2158" s="14" t="s">
        <v>340</v>
      </c>
      <c r="F2158" s="14" t="str">
        <f>"2170671789 "</f>
        <v xml:space="preserve">2170671789 </v>
      </c>
      <c r="G2158" s="14" t="str">
        <f t="shared" si="67"/>
        <v>ON1</v>
      </c>
      <c r="H2158" s="14" t="s">
        <v>20</v>
      </c>
      <c r="I2158" s="14" t="s">
        <v>341</v>
      </c>
      <c r="J2158" s="14" t="str">
        <f>""</f>
        <v/>
      </c>
      <c r="K2158" s="14" t="str">
        <f>"PFES1162673222_0001"</f>
        <v>PFES1162673222_0001</v>
      </c>
      <c r="L2158" s="14">
        <v>1</v>
      </c>
      <c r="M2158" s="14">
        <v>8</v>
      </c>
    </row>
    <row r="2159" spans="1:13">
      <c r="A2159" s="6">
        <v>43510</v>
      </c>
      <c r="B2159" s="7">
        <v>0.52500000000000002</v>
      </c>
      <c r="C2159" s="14" t="str">
        <f>"FES1162673015"</f>
        <v>FES1162673015</v>
      </c>
      <c r="D2159" s="14" t="s">
        <v>18</v>
      </c>
      <c r="E2159" s="14" t="s">
        <v>98</v>
      </c>
      <c r="F2159" s="14" t="str">
        <f>"2170674227 "</f>
        <v xml:space="preserve">2170674227 </v>
      </c>
      <c r="G2159" s="14" t="str">
        <f t="shared" si="67"/>
        <v>ON1</v>
      </c>
      <c r="H2159" s="14" t="s">
        <v>20</v>
      </c>
      <c r="I2159" s="14" t="s">
        <v>99</v>
      </c>
      <c r="J2159" s="14" t="str">
        <f>""</f>
        <v/>
      </c>
      <c r="K2159" s="14" t="str">
        <f>"PFES1162673015_0001"</f>
        <v>PFES1162673015_0001</v>
      </c>
      <c r="L2159" s="14">
        <v>1</v>
      </c>
      <c r="M2159" s="14">
        <v>1</v>
      </c>
    </row>
    <row r="2160" spans="1:13">
      <c r="A2160" s="6">
        <v>43510</v>
      </c>
      <c r="B2160" s="7">
        <v>0.52222222222222225</v>
      </c>
      <c r="C2160" s="14" t="str">
        <f>"FES1162673056"</f>
        <v>FES1162673056</v>
      </c>
      <c r="D2160" s="14" t="s">
        <v>18</v>
      </c>
      <c r="E2160" s="14" t="s">
        <v>207</v>
      </c>
      <c r="F2160" s="14" t="str">
        <f>"2170672459 "</f>
        <v xml:space="preserve">2170672459 </v>
      </c>
      <c r="G2160" s="14" t="str">
        <f t="shared" si="67"/>
        <v>ON1</v>
      </c>
      <c r="H2160" s="14" t="s">
        <v>20</v>
      </c>
      <c r="I2160" s="14" t="s">
        <v>208</v>
      </c>
      <c r="J2160" s="14" t="str">
        <f>""</f>
        <v/>
      </c>
      <c r="K2160" s="14" t="str">
        <f>"PFES1162673056_0001"</f>
        <v>PFES1162673056_0001</v>
      </c>
      <c r="L2160" s="14">
        <v>1</v>
      </c>
      <c r="M2160" s="14">
        <v>1</v>
      </c>
    </row>
    <row r="2161" spans="1:13">
      <c r="A2161" s="6">
        <v>43510</v>
      </c>
      <c r="B2161" s="7">
        <v>0.52083333333333337</v>
      </c>
      <c r="C2161" s="14" t="str">
        <f>"FES1162673088"</f>
        <v>FES1162673088</v>
      </c>
      <c r="D2161" s="14" t="s">
        <v>18</v>
      </c>
      <c r="E2161" s="14" t="s">
        <v>100</v>
      </c>
      <c r="F2161" s="14" t="str">
        <f>"2170671667 "</f>
        <v xml:space="preserve">2170671667 </v>
      </c>
      <c r="G2161" s="14" t="str">
        <f t="shared" si="67"/>
        <v>ON1</v>
      </c>
      <c r="H2161" s="14" t="s">
        <v>20</v>
      </c>
      <c r="I2161" s="14" t="s">
        <v>101</v>
      </c>
      <c r="J2161" s="14" t="str">
        <f>""</f>
        <v/>
      </c>
      <c r="K2161" s="14" t="str">
        <f>"PFES1162673088_0001"</f>
        <v>PFES1162673088_0001</v>
      </c>
      <c r="L2161" s="14">
        <v>1</v>
      </c>
      <c r="M2161" s="14">
        <v>1</v>
      </c>
    </row>
    <row r="2162" spans="1:13">
      <c r="A2162" s="6">
        <v>43510</v>
      </c>
      <c r="B2162" s="7">
        <v>0.51736111111111105</v>
      </c>
      <c r="C2162" s="14" t="str">
        <f>"FES1162673126"</f>
        <v>FES1162673126</v>
      </c>
      <c r="D2162" s="14" t="s">
        <v>18</v>
      </c>
      <c r="E2162" s="14" t="s">
        <v>501</v>
      </c>
      <c r="F2162" s="14" t="str">
        <f>"2170672583 "</f>
        <v xml:space="preserve">2170672583 </v>
      </c>
      <c r="G2162" s="14" t="str">
        <f t="shared" si="67"/>
        <v>ON1</v>
      </c>
      <c r="H2162" s="14" t="s">
        <v>20</v>
      </c>
      <c r="I2162" s="14" t="s">
        <v>286</v>
      </c>
      <c r="J2162" s="14" t="str">
        <f>""</f>
        <v/>
      </c>
      <c r="K2162" s="14" t="str">
        <f>"PFES1162673126_0001"</f>
        <v>PFES1162673126_0001</v>
      </c>
      <c r="L2162" s="14">
        <v>1</v>
      </c>
      <c r="M2162" s="14">
        <v>3</v>
      </c>
    </row>
    <row r="2163" spans="1:13">
      <c r="A2163" s="6">
        <v>43510</v>
      </c>
      <c r="B2163" s="7">
        <v>0.51666666666666672</v>
      </c>
      <c r="C2163" s="14" t="str">
        <f>"FES1162673084"</f>
        <v>FES1162673084</v>
      </c>
      <c r="D2163" s="14" t="s">
        <v>18</v>
      </c>
      <c r="E2163" s="14" t="s">
        <v>517</v>
      </c>
      <c r="F2163" s="14" t="str">
        <f>"2170671603 "</f>
        <v xml:space="preserve">2170671603 </v>
      </c>
      <c r="G2163" s="14" t="str">
        <f t="shared" si="67"/>
        <v>ON1</v>
      </c>
      <c r="H2163" s="14" t="s">
        <v>20</v>
      </c>
      <c r="I2163" s="14" t="s">
        <v>518</v>
      </c>
      <c r="J2163" s="14" t="str">
        <f>""</f>
        <v/>
      </c>
      <c r="K2163" s="14" t="str">
        <f>"PFES1162673084_0001"</f>
        <v>PFES1162673084_0001</v>
      </c>
      <c r="L2163" s="14">
        <v>1</v>
      </c>
      <c r="M2163" s="14">
        <v>3</v>
      </c>
    </row>
    <row r="2164" spans="1:13">
      <c r="A2164" s="6">
        <v>43510</v>
      </c>
      <c r="B2164" s="7">
        <v>0.51527777777777783</v>
      </c>
      <c r="C2164" s="14" t="str">
        <f>"FES1162673044"</f>
        <v>FES1162673044</v>
      </c>
      <c r="D2164" s="14" t="s">
        <v>18</v>
      </c>
      <c r="E2164" s="14" t="s">
        <v>120</v>
      </c>
      <c r="F2164" s="14" t="str">
        <f>"2170672172 "</f>
        <v xml:space="preserve">2170672172 </v>
      </c>
      <c r="G2164" s="14" t="str">
        <f t="shared" si="67"/>
        <v>ON1</v>
      </c>
      <c r="H2164" s="14" t="s">
        <v>20</v>
      </c>
      <c r="I2164" s="14" t="s">
        <v>121</v>
      </c>
      <c r="J2164" s="14" t="str">
        <f>""</f>
        <v/>
      </c>
      <c r="K2164" s="14" t="str">
        <f>"PFES1162673044_0001"</f>
        <v>PFES1162673044_0001</v>
      </c>
      <c r="L2164" s="14">
        <v>1</v>
      </c>
      <c r="M2164" s="14">
        <v>3</v>
      </c>
    </row>
    <row r="2165" spans="1:13">
      <c r="A2165" s="6">
        <v>43510</v>
      </c>
      <c r="B2165" s="7">
        <v>0.51458333333333328</v>
      </c>
      <c r="C2165" s="14" t="str">
        <f>"FES1162673048"</f>
        <v>FES1162673048</v>
      </c>
      <c r="D2165" s="14" t="s">
        <v>18</v>
      </c>
      <c r="E2165" s="14" t="s">
        <v>150</v>
      </c>
      <c r="F2165" s="14" t="str">
        <f>"2170672329 "</f>
        <v xml:space="preserve">2170672329 </v>
      </c>
      <c r="G2165" s="14" t="str">
        <f t="shared" si="67"/>
        <v>ON1</v>
      </c>
      <c r="H2165" s="14" t="s">
        <v>20</v>
      </c>
      <c r="I2165" s="14" t="s">
        <v>137</v>
      </c>
      <c r="J2165" s="14" t="str">
        <f>""</f>
        <v/>
      </c>
      <c r="K2165" s="14" t="str">
        <f>"PFES1162673048_0001"</f>
        <v>PFES1162673048_0001</v>
      </c>
      <c r="L2165" s="14">
        <v>1</v>
      </c>
      <c r="M2165" s="14">
        <v>3</v>
      </c>
    </row>
    <row r="2166" spans="1:13">
      <c r="A2166" s="6">
        <v>43510</v>
      </c>
      <c r="B2166" s="7">
        <v>0.51041666666666663</v>
      </c>
      <c r="C2166" s="14" t="str">
        <f>"FES1162673181"</f>
        <v>FES1162673181</v>
      </c>
      <c r="D2166" s="14" t="s">
        <v>18</v>
      </c>
      <c r="E2166" s="14" t="s">
        <v>38</v>
      </c>
      <c r="F2166" s="14" t="str">
        <f>"2170674355 "</f>
        <v xml:space="preserve">2170674355 </v>
      </c>
      <c r="G2166" s="14" t="str">
        <f t="shared" si="67"/>
        <v>ON1</v>
      </c>
      <c r="H2166" s="14" t="s">
        <v>20</v>
      </c>
      <c r="I2166" s="14" t="s">
        <v>39</v>
      </c>
      <c r="J2166" s="14" t="str">
        <f>""</f>
        <v/>
      </c>
      <c r="K2166" s="14" t="str">
        <f>"PFES1162673181_0001"</f>
        <v>PFES1162673181_0001</v>
      </c>
      <c r="L2166" s="14">
        <v>1</v>
      </c>
      <c r="M2166" s="14">
        <v>6</v>
      </c>
    </row>
    <row r="2167" spans="1:13">
      <c r="A2167" s="6">
        <v>43510</v>
      </c>
      <c r="B2167" s="7">
        <v>0.50972222222222219</v>
      </c>
      <c r="C2167" s="14" t="str">
        <f>"FES1162673141"</f>
        <v>FES1162673141</v>
      </c>
      <c r="D2167" s="14" t="s">
        <v>18</v>
      </c>
      <c r="E2167" s="14" t="s">
        <v>839</v>
      </c>
      <c r="F2167" s="14" t="str">
        <f>"2170672788 "</f>
        <v xml:space="preserve">2170672788 </v>
      </c>
      <c r="G2167" s="14" t="str">
        <f t="shared" si="67"/>
        <v>ON1</v>
      </c>
      <c r="H2167" s="14" t="s">
        <v>20</v>
      </c>
      <c r="I2167" s="14" t="s">
        <v>260</v>
      </c>
      <c r="J2167" s="14" t="str">
        <f>""</f>
        <v/>
      </c>
      <c r="K2167" s="14" t="str">
        <f>"PFES1162673141_0001"</f>
        <v>PFES1162673141_0001</v>
      </c>
      <c r="L2167" s="14">
        <v>1</v>
      </c>
      <c r="M2167" s="14">
        <v>1</v>
      </c>
    </row>
    <row r="2168" spans="1:13">
      <c r="A2168" s="6">
        <v>43510</v>
      </c>
      <c r="B2168" s="7">
        <v>0.50902777777777775</v>
      </c>
      <c r="C2168" s="14" t="str">
        <f>"FES1162673024"</f>
        <v>FES1162673024</v>
      </c>
      <c r="D2168" s="14" t="s">
        <v>18</v>
      </c>
      <c r="E2168" s="14" t="s">
        <v>159</v>
      </c>
      <c r="F2168" s="14" t="str">
        <f>"2170674290 "</f>
        <v xml:space="preserve">2170674290 </v>
      </c>
      <c r="G2168" s="14" t="str">
        <f t="shared" si="67"/>
        <v>ON1</v>
      </c>
      <c r="H2168" s="14" t="s">
        <v>20</v>
      </c>
      <c r="I2168" s="14" t="s">
        <v>137</v>
      </c>
      <c r="J2168" s="14" t="str">
        <f>""</f>
        <v/>
      </c>
      <c r="K2168" s="14" t="str">
        <f>"PFES1162673024_0001"</f>
        <v>PFES1162673024_0001</v>
      </c>
      <c r="L2168" s="14">
        <v>1</v>
      </c>
      <c r="M2168" s="14">
        <v>1</v>
      </c>
    </row>
    <row r="2169" spans="1:13">
      <c r="A2169" s="6">
        <v>43510</v>
      </c>
      <c r="B2169" s="7">
        <v>0.50902777777777775</v>
      </c>
      <c r="C2169" s="14" t="str">
        <f>"FES1162673027"</f>
        <v>FES1162673027</v>
      </c>
      <c r="D2169" s="14" t="s">
        <v>18</v>
      </c>
      <c r="E2169" s="14" t="s">
        <v>339</v>
      </c>
      <c r="F2169" s="14" t="str">
        <f>"2170674053 "</f>
        <v xml:space="preserve">2170674053 </v>
      </c>
      <c r="G2169" s="14" t="str">
        <f t="shared" si="67"/>
        <v>ON1</v>
      </c>
      <c r="H2169" s="14" t="s">
        <v>20</v>
      </c>
      <c r="I2169" s="14" t="s">
        <v>37</v>
      </c>
      <c r="J2169" s="14" t="str">
        <f>""</f>
        <v/>
      </c>
      <c r="K2169" s="14" t="str">
        <f>"PFES1162673027_0001"</f>
        <v>PFES1162673027_0001</v>
      </c>
      <c r="L2169" s="14">
        <v>1</v>
      </c>
      <c r="M2169" s="14">
        <v>1</v>
      </c>
    </row>
    <row r="2170" spans="1:13">
      <c r="A2170" s="6">
        <v>43510</v>
      </c>
      <c r="B2170" s="7">
        <v>0.50902777777777775</v>
      </c>
      <c r="C2170" s="14" t="str">
        <f>"FES1162672991"</f>
        <v>FES1162672991</v>
      </c>
      <c r="D2170" s="14" t="s">
        <v>18</v>
      </c>
      <c r="E2170" s="14" t="s">
        <v>501</v>
      </c>
      <c r="F2170" s="14" t="str">
        <f>"2170672583 "</f>
        <v xml:space="preserve">2170672583 </v>
      </c>
      <c r="G2170" s="14" t="str">
        <f t="shared" si="67"/>
        <v>ON1</v>
      </c>
      <c r="H2170" s="14" t="s">
        <v>20</v>
      </c>
      <c r="I2170" s="14" t="s">
        <v>286</v>
      </c>
      <c r="J2170" s="14" t="str">
        <f>""</f>
        <v/>
      </c>
      <c r="K2170" s="14" t="str">
        <f>"PFES1162672991_0001"</f>
        <v>PFES1162672991_0001</v>
      </c>
      <c r="L2170" s="14">
        <v>1</v>
      </c>
      <c r="M2170" s="14">
        <v>6</v>
      </c>
    </row>
    <row r="2171" spans="1:13">
      <c r="A2171" s="6">
        <v>43510</v>
      </c>
      <c r="B2171" s="7">
        <v>0.5083333333333333</v>
      </c>
      <c r="C2171" s="14" t="str">
        <f>"FES1162673057"</f>
        <v>FES1162673057</v>
      </c>
      <c r="D2171" s="14" t="s">
        <v>18</v>
      </c>
      <c r="E2171" s="14" t="s">
        <v>919</v>
      </c>
      <c r="F2171" s="14" t="str">
        <f>"2170672486 "</f>
        <v xml:space="preserve">2170672486 </v>
      </c>
      <c r="G2171" s="14" t="str">
        <f t="shared" si="67"/>
        <v>ON1</v>
      </c>
      <c r="H2171" s="14" t="s">
        <v>20</v>
      </c>
      <c r="I2171" s="14" t="s">
        <v>163</v>
      </c>
      <c r="J2171" s="14" t="str">
        <f>""</f>
        <v/>
      </c>
      <c r="K2171" s="14" t="str">
        <f>"PFES1162673057_0001"</f>
        <v>PFES1162673057_0001</v>
      </c>
      <c r="L2171" s="14">
        <v>1</v>
      </c>
      <c r="M2171" s="14">
        <v>1</v>
      </c>
    </row>
    <row r="2172" spans="1:13">
      <c r="A2172" s="6">
        <v>43510</v>
      </c>
      <c r="B2172" s="7">
        <v>0.50763888888888886</v>
      </c>
      <c r="C2172" s="14" t="str">
        <f>"FES1162673069"</f>
        <v>FES1162673069</v>
      </c>
      <c r="D2172" s="14" t="s">
        <v>18</v>
      </c>
      <c r="E2172" s="14" t="s">
        <v>816</v>
      </c>
      <c r="F2172" s="14" t="str">
        <f>"2170672026 "</f>
        <v xml:space="preserve">2170672026 </v>
      </c>
      <c r="G2172" s="14" t="str">
        <f t="shared" si="67"/>
        <v>ON1</v>
      </c>
      <c r="H2172" s="14" t="s">
        <v>20</v>
      </c>
      <c r="I2172" s="14" t="s">
        <v>359</v>
      </c>
      <c r="J2172" s="14" t="str">
        <f>""</f>
        <v/>
      </c>
      <c r="K2172" s="14" t="str">
        <f>"PFES1162673069_0001"</f>
        <v>PFES1162673069_0001</v>
      </c>
      <c r="L2172" s="14">
        <v>1</v>
      </c>
      <c r="M2172" s="14">
        <v>6</v>
      </c>
    </row>
    <row r="2173" spans="1:13">
      <c r="A2173" s="6">
        <v>43510</v>
      </c>
      <c r="B2173" s="7">
        <v>0.50694444444444442</v>
      </c>
      <c r="C2173" s="14" t="str">
        <f>"FES1162673145"</f>
        <v>FES1162673145</v>
      </c>
      <c r="D2173" s="14" t="s">
        <v>18</v>
      </c>
      <c r="E2173" s="14" t="s">
        <v>159</v>
      </c>
      <c r="F2173" s="14" t="str">
        <f>"2170673170 "</f>
        <v xml:space="preserve">2170673170 </v>
      </c>
      <c r="G2173" s="14" t="str">
        <f t="shared" si="67"/>
        <v>ON1</v>
      </c>
      <c r="H2173" s="14" t="s">
        <v>20</v>
      </c>
      <c r="I2173" s="14" t="s">
        <v>137</v>
      </c>
      <c r="J2173" s="14" t="str">
        <f>""</f>
        <v/>
      </c>
      <c r="K2173" s="14" t="str">
        <f>"PFES1162673145_0001"</f>
        <v>PFES1162673145_0001</v>
      </c>
      <c r="L2173" s="14">
        <v>1</v>
      </c>
      <c r="M2173" s="14">
        <v>1</v>
      </c>
    </row>
    <row r="2174" spans="1:13">
      <c r="A2174" s="6">
        <v>43510</v>
      </c>
      <c r="B2174" s="7">
        <v>0.50694444444444442</v>
      </c>
      <c r="C2174" s="14" t="str">
        <f>"FES1162672975"</f>
        <v>FES1162672975</v>
      </c>
      <c r="D2174" s="14" t="s">
        <v>18</v>
      </c>
      <c r="E2174" s="14" t="s">
        <v>823</v>
      </c>
      <c r="F2174" s="14" t="str">
        <f>"2170674240 "</f>
        <v xml:space="preserve">2170674240 </v>
      </c>
      <c r="G2174" s="14" t="str">
        <f t="shared" si="67"/>
        <v>ON1</v>
      </c>
      <c r="H2174" s="14" t="s">
        <v>20</v>
      </c>
      <c r="I2174" s="14" t="s">
        <v>99</v>
      </c>
      <c r="J2174" s="14" t="str">
        <f>""</f>
        <v/>
      </c>
      <c r="K2174" s="14" t="str">
        <f>"PFES1162672975_0001"</f>
        <v>PFES1162672975_0001</v>
      </c>
      <c r="L2174" s="14">
        <v>1</v>
      </c>
      <c r="M2174" s="14">
        <v>1</v>
      </c>
    </row>
    <row r="2175" spans="1:13">
      <c r="A2175" s="6">
        <v>43510</v>
      </c>
      <c r="B2175" s="7">
        <v>0.50624999999999998</v>
      </c>
      <c r="C2175" s="14" t="str">
        <f>"FES1162673022"</f>
        <v>FES1162673022</v>
      </c>
      <c r="D2175" s="14" t="s">
        <v>18</v>
      </c>
      <c r="E2175" s="14" t="s">
        <v>959</v>
      </c>
      <c r="F2175" s="14" t="str">
        <f>"2170674286 "</f>
        <v xml:space="preserve">2170674286 </v>
      </c>
      <c r="G2175" s="14" t="str">
        <f t="shared" si="67"/>
        <v>ON1</v>
      </c>
      <c r="H2175" s="14" t="s">
        <v>20</v>
      </c>
      <c r="I2175" s="14" t="s">
        <v>473</v>
      </c>
      <c r="J2175" s="14" t="str">
        <f>""</f>
        <v/>
      </c>
      <c r="K2175" s="14" t="str">
        <f>"PFES1162673022_0001"</f>
        <v>PFES1162673022_0001</v>
      </c>
      <c r="L2175" s="14">
        <v>1</v>
      </c>
      <c r="M2175" s="14">
        <v>1</v>
      </c>
    </row>
    <row r="2176" spans="1:13">
      <c r="A2176" s="6">
        <v>43510</v>
      </c>
      <c r="B2176" s="7">
        <v>0.50555555555555554</v>
      </c>
      <c r="C2176" s="14" t="str">
        <f>"FES1162672973"</f>
        <v>FES1162672973</v>
      </c>
      <c r="D2176" s="14" t="s">
        <v>18</v>
      </c>
      <c r="E2176" s="14" t="s">
        <v>337</v>
      </c>
      <c r="F2176" s="14" t="str">
        <f>"2170674231 "</f>
        <v xml:space="preserve">2170674231 </v>
      </c>
      <c r="G2176" s="14" t="str">
        <f t="shared" si="67"/>
        <v>ON1</v>
      </c>
      <c r="H2176" s="14" t="s">
        <v>20</v>
      </c>
      <c r="I2176" s="14" t="s">
        <v>338</v>
      </c>
      <c r="J2176" s="14" t="str">
        <f>"DELIVERY AND COLLECT"</f>
        <v>DELIVERY AND COLLECT</v>
      </c>
      <c r="K2176" s="14" t="str">
        <f>"PFES1162672973_0001"</f>
        <v>PFES1162672973_0001</v>
      </c>
      <c r="L2176" s="14">
        <v>1</v>
      </c>
      <c r="M2176" s="14">
        <v>1</v>
      </c>
    </row>
    <row r="2177" spans="1:13">
      <c r="A2177" s="6">
        <v>43510</v>
      </c>
      <c r="B2177" s="7">
        <v>0.50555555555555554</v>
      </c>
      <c r="C2177" s="14" t="str">
        <f>"FES1162672979"</f>
        <v>FES1162672979</v>
      </c>
      <c r="D2177" s="14" t="s">
        <v>18</v>
      </c>
      <c r="E2177" s="14" t="s">
        <v>439</v>
      </c>
      <c r="F2177" s="14" t="str">
        <f>"2170674248 "</f>
        <v xml:space="preserve">2170674248 </v>
      </c>
      <c r="G2177" s="14" t="str">
        <f t="shared" si="67"/>
        <v>ON1</v>
      </c>
      <c r="H2177" s="14" t="s">
        <v>20</v>
      </c>
      <c r="I2177" s="14" t="s">
        <v>41</v>
      </c>
      <c r="J2177" s="14" t="str">
        <f>""</f>
        <v/>
      </c>
      <c r="K2177" s="14" t="str">
        <f>"PFES1162672979_0001"</f>
        <v>PFES1162672979_0001</v>
      </c>
      <c r="L2177" s="14">
        <v>1</v>
      </c>
      <c r="M2177" s="14">
        <v>2</v>
      </c>
    </row>
    <row r="2178" spans="1:13">
      <c r="A2178" s="6">
        <v>43510</v>
      </c>
      <c r="B2178" s="7">
        <v>0.50555555555555554</v>
      </c>
      <c r="C2178" s="14" t="str">
        <f>"FES1162672978"</f>
        <v>FES1162672978</v>
      </c>
      <c r="D2178" s="14" t="s">
        <v>18</v>
      </c>
      <c r="E2178" s="14" t="s">
        <v>47</v>
      </c>
      <c r="F2178" s="14" t="str">
        <f>"2170674247 "</f>
        <v xml:space="preserve">2170674247 </v>
      </c>
      <c r="G2178" s="14" t="str">
        <f t="shared" si="67"/>
        <v>ON1</v>
      </c>
      <c r="H2178" s="14" t="s">
        <v>20</v>
      </c>
      <c r="I2178" s="14" t="s">
        <v>48</v>
      </c>
      <c r="J2178" s="14" t="str">
        <f>""</f>
        <v/>
      </c>
      <c r="K2178" s="14" t="str">
        <f>"PFES1162672978_0001"</f>
        <v>PFES1162672978_0001</v>
      </c>
      <c r="L2178" s="14">
        <v>1</v>
      </c>
      <c r="M2178" s="14">
        <v>1</v>
      </c>
    </row>
    <row r="2179" spans="1:13">
      <c r="A2179" s="6">
        <v>43510</v>
      </c>
      <c r="B2179" s="7">
        <v>0.50486111111111109</v>
      </c>
      <c r="C2179" s="14" t="str">
        <f>"FES1162673083"</f>
        <v>FES1162673083</v>
      </c>
      <c r="D2179" s="14" t="s">
        <v>18</v>
      </c>
      <c r="E2179" s="14" t="s">
        <v>259</v>
      </c>
      <c r="F2179" s="14" t="str">
        <f>"2170671602 "</f>
        <v xml:space="preserve">2170671602 </v>
      </c>
      <c r="G2179" s="14" t="str">
        <f t="shared" si="67"/>
        <v>ON1</v>
      </c>
      <c r="H2179" s="14" t="s">
        <v>20</v>
      </c>
      <c r="I2179" s="14" t="s">
        <v>260</v>
      </c>
      <c r="J2179" s="14" t="str">
        <f>""</f>
        <v/>
      </c>
      <c r="K2179" s="14" t="str">
        <f>"PFES1162673083_0001"</f>
        <v>PFES1162673083_0001</v>
      </c>
      <c r="L2179" s="14">
        <v>1</v>
      </c>
      <c r="M2179" s="14">
        <v>1</v>
      </c>
    </row>
    <row r="2180" spans="1:13">
      <c r="A2180" s="6">
        <v>43510</v>
      </c>
      <c r="B2180" s="7">
        <v>0.50416666666666665</v>
      </c>
      <c r="C2180" s="14" t="str">
        <f>"FES1162673064"</f>
        <v>FES1162673064</v>
      </c>
      <c r="D2180" s="14" t="s">
        <v>18</v>
      </c>
      <c r="E2180" s="14" t="s">
        <v>960</v>
      </c>
      <c r="F2180" s="14" t="str">
        <f>"2170674304 "</f>
        <v xml:space="preserve">2170674304 </v>
      </c>
      <c r="G2180" s="14" t="str">
        <f t="shared" si="67"/>
        <v>ON1</v>
      </c>
      <c r="H2180" s="14" t="s">
        <v>20</v>
      </c>
      <c r="I2180" s="14" t="s">
        <v>256</v>
      </c>
      <c r="J2180" s="14" t="str">
        <f>""</f>
        <v/>
      </c>
      <c r="K2180" s="14" t="str">
        <f>"PFES1162673064_0001"</f>
        <v>PFES1162673064_0001</v>
      </c>
      <c r="L2180" s="14">
        <v>1</v>
      </c>
      <c r="M2180" s="14">
        <v>1</v>
      </c>
    </row>
    <row r="2181" spans="1:13">
      <c r="A2181" s="6">
        <v>43510</v>
      </c>
      <c r="B2181" s="7">
        <v>0.50416666666666665</v>
      </c>
      <c r="C2181" s="14" t="str">
        <f>"FES1162673168"</f>
        <v>FES1162673168</v>
      </c>
      <c r="D2181" s="14" t="s">
        <v>18</v>
      </c>
      <c r="E2181" s="14" t="s">
        <v>961</v>
      </c>
      <c r="F2181" s="14" t="str">
        <f>"2170674057 "</f>
        <v xml:space="preserve">2170674057 </v>
      </c>
      <c r="G2181" s="14" t="str">
        <f t="shared" si="67"/>
        <v>ON1</v>
      </c>
      <c r="H2181" s="14" t="s">
        <v>20</v>
      </c>
      <c r="I2181" s="14" t="s">
        <v>708</v>
      </c>
      <c r="J2181" s="14" t="str">
        <f>""</f>
        <v/>
      </c>
      <c r="K2181" s="14" t="str">
        <f>"PFES1162673168_0001"</f>
        <v>PFES1162673168_0001</v>
      </c>
      <c r="L2181" s="14">
        <v>1</v>
      </c>
      <c r="M2181" s="14">
        <v>2</v>
      </c>
    </row>
    <row r="2182" spans="1:13">
      <c r="A2182" s="6">
        <v>43510</v>
      </c>
      <c r="B2182" s="7">
        <v>0.50416666666666665</v>
      </c>
      <c r="C2182" s="14" t="str">
        <f>"FES1162673060"</f>
        <v>FES1162673060</v>
      </c>
      <c r="D2182" s="14" t="s">
        <v>18</v>
      </c>
      <c r="E2182" s="14" t="s">
        <v>501</v>
      </c>
      <c r="F2182" s="14" t="str">
        <f>"2170673060 "</f>
        <v xml:space="preserve">2170673060 </v>
      </c>
      <c r="G2182" s="14" t="str">
        <f t="shared" si="67"/>
        <v>ON1</v>
      </c>
      <c r="H2182" s="14" t="s">
        <v>20</v>
      </c>
      <c r="I2182" s="14" t="s">
        <v>286</v>
      </c>
      <c r="J2182" s="14" t="str">
        <f>""</f>
        <v/>
      </c>
      <c r="K2182" s="14" t="str">
        <f>"PFES1162673060_0001"</f>
        <v>PFES1162673060_0001</v>
      </c>
      <c r="L2182" s="14">
        <v>1</v>
      </c>
      <c r="M2182" s="14">
        <v>1</v>
      </c>
    </row>
    <row r="2183" spans="1:13">
      <c r="A2183" s="6">
        <v>43510</v>
      </c>
      <c r="B2183" s="7">
        <v>0.50277777777777777</v>
      </c>
      <c r="C2183" s="14" t="str">
        <f>"FES1162673144"</f>
        <v>FES1162673144</v>
      </c>
      <c r="D2183" s="14" t="s">
        <v>18</v>
      </c>
      <c r="E2183" s="14" t="s">
        <v>150</v>
      </c>
      <c r="F2183" s="14" t="str">
        <f>"2170672803 "</f>
        <v xml:space="preserve">2170672803 </v>
      </c>
      <c r="G2183" s="14" t="str">
        <f t="shared" si="67"/>
        <v>ON1</v>
      </c>
      <c r="H2183" s="14" t="s">
        <v>20</v>
      </c>
      <c r="I2183" s="14" t="s">
        <v>137</v>
      </c>
      <c r="J2183" s="14" t="str">
        <f>""</f>
        <v/>
      </c>
      <c r="K2183" s="14" t="str">
        <f>"PFES1162673144_0001"</f>
        <v>PFES1162673144_0001</v>
      </c>
      <c r="L2183" s="14">
        <v>1</v>
      </c>
      <c r="M2183" s="14">
        <v>1</v>
      </c>
    </row>
    <row r="2184" spans="1:13">
      <c r="A2184" s="6">
        <v>43510</v>
      </c>
      <c r="B2184" s="7">
        <v>0.50208333333333333</v>
      </c>
      <c r="C2184" s="14" t="str">
        <f>"FES1162673013"</f>
        <v>FES1162673013</v>
      </c>
      <c r="D2184" s="14" t="s">
        <v>18</v>
      </c>
      <c r="E2184" s="14" t="s">
        <v>360</v>
      </c>
      <c r="F2184" s="14" t="str">
        <f>"2170674274 "</f>
        <v xml:space="preserve">2170674274 </v>
      </c>
      <c r="G2184" s="14" t="str">
        <f t="shared" si="67"/>
        <v>ON1</v>
      </c>
      <c r="H2184" s="14" t="s">
        <v>20</v>
      </c>
      <c r="I2184" s="14" t="s">
        <v>121</v>
      </c>
      <c r="J2184" s="14" t="str">
        <f>""</f>
        <v/>
      </c>
      <c r="K2184" s="14" t="str">
        <f>"PFES1162673013_0001"</f>
        <v>PFES1162673013_0001</v>
      </c>
      <c r="L2184" s="14">
        <v>1</v>
      </c>
      <c r="M2184" s="14">
        <v>1</v>
      </c>
    </row>
    <row r="2185" spans="1:13">
      <c r="A2185" s="6">
        <v>43510</v>
      </c>
      <c r="B2185" s="7">
        <v>0.50208333333333333</v>
      </c>
      <c r="C2185" s="14" t="str">
        <f>"FES1162673147"</f>
        <v>FES1162673147</v>
      </c>
      <c r="D2185" s="14" t="s">
        <v>18</v>
      </c>
      <c r="E2185" s="14" t="s">
        <v>721</v>
      </c>
      <c r="F2185" s="14" t="str">
        <f>"2170673383 "</f>
        <v xml:space="preserve">2170673383 </v>
      </c>
      <c r="G2185" s="14" t="str">
        <f t="shared" si="67"/>
        <v>ON1</v>
      </c>
      <c r="H2185" s="14" t="s">
        <v>20</v>
      </c>
      <c r="I2185" s="14" t="s">
        <v>215</v>
      </c>
      <c r="J2185" s="14" t="str">
        <f>""</f>
        <v/>
      </c>
      <c r="K2185" s="14" t="str">
        <f>"PFES1162673147_0001"</f>
        <v>PFES1162673147_0001</v>
      </c>
      <c r="L2185" s="14">
        <v>1</v>
      </c>
      <c r="M2185" s="14">
        <v>3</v>
      </c>
    </row>
    <row r="2186" spans="1:13">
      <c r="A2186" s="6">
        <v>43510</v>
      </c>
      <c r="B2186" s="7">
        <v>0.50138888888888888</v>
      </c>
      <c r="C2186" s="14" t="str">
        <f>"FES1162673090"</f>
        <v>FES1162673090</v>
      </c>
      <c r="D2186" s="14" t="s">
        <v>18</v>
      </c>
      <c r="E2186" s="14" t="s">
        <v>919</v>
      </c>
      <c r="F2186" s="14" t="str">
        <f>"2170671681 "</f>
        <v xml:space="preserve">2170671681 </v>
      </c>
      <c r="G2186" s="14" t="str">
        <f t="shared" si="67"/>
        <v>ON1</v>
      </c>
      <c r="H2186" s="14" t="s">
        <v>20</v>
      </c>
      <c r="I2186" s="14" t="s">
        <v>163</v>
      </c>
      <c r="J2186" s="14" t="str">
        <f>""</f>
        <v/>
      </c>
      <c r="K2186" s="14" t="str">
        <f>"PFES1162673090_0001"</f>
        <v>PFES1162673090_0001</v>
      </c>
      <c r="L2186" s="14">
        <v>1</v>
      </c>
      <c r="M2186" s="14">
        <v>1</v>
      </c>
    </row>
    <row r="2187" spans="1:13">
      <c r="A2187" s="6">
        <v>43510</v>
      </c>
      <c r="B2187" s="7">
        <v>0.50138888888888888</v>
      </c>
      <c r="C2187" s="14" t="str">
        <f>"FES1162672977"</f>
        <v>FES1162672977</v>
      </c>
      <c r="D2187" s="14" t="s">
        <v>18</v>
      </c>
      <c r="E2187" s="14" t="s">
        <v>868</v>
      </c>
      <c r="F2187" s="14" t="str">
        <f>"23170674245 "</f>
        <v xml:space="preserve">23170674245 </v>
      </c>
      <c r="G2187" s="14" t="str">
        <f t="shared" si="67"/>
        <v>ON1</v>
      </c>
      <c r="H2187" s="14" t="s">
        <v>20</v>
      </c>
      <c r="I2187" s="14" t="s">
        <v>39</v>
      </c>
      <c r="J2187" s="14" t="str">
        <f>""</f>
        <v/>
      </c>
      <c r="K2187" s="14" t="str">
        <f>"PFES1162672977_0001"</f>
        <v>PFES1162672977_0001</v>
      </c>
      <c r="L2187" s="14">
        <v>1</v>
      </c>
      <c r="M2187" s="14">
        <v>1</v>
      </c>
    </row>
    <row r="2188" spans="1:13">
      <c r="A2188" s="6">
        <v>43510</v>
      </c>
      <c r="B2188" s="7">
        <v>0.50069444444444444</v>
      </c>
      <c r="C2188" s="14" t="str">
        <f>"FES1162673182"</f>
        <v>FES1162673182</v>
      </c>
      <c r="D2188" s="14" t="s">
        <v>18</v>
      </c>
      <c r="E2188" s="14" t="s">
        <v>634</v>
      </c>
      <c r="F2188" s="14" t="str">
        <f>"2170674356 "</f>
        <v xml:space="preserve">2170674356 </v>
      </c>
      <c r="G2188" s="14" t="str">
        <f t="shared" si="67"/>
        <v>ON1</v>
      </c>
      <c r="H2188" s="14" t="s">
        <v>20</v>
      </c>
      <c r="I2188" s="14" t="s">
        <v>635</v>
      </c>
      <c r="J2188" s="14" t="str">
        <f>""</f>
        <v/>
      </c>
      <c r="K2188" s="14" t="str">
        <f>"PFES1162673182_0001"</f>
        <v>PFES1162673182_0001</v>
      </c>
      <c r="L2188" s="14">
        <v>1</v>
      </c>
      <c r="M2188" s="14">
        <v>1</v>
      </c>
    </row>
    <row r="2189" spans="1:13">
      <c r="A2189" s="6">
        <v>43510</v>
      </c>
      <c r="B2189" s="7">
        <v>0.5</v>
      </c>
      <c r="C2189" s="14" t="str">
        <f>"FES1162673142"</f>
        <v>FES1162673142</v>
      </c>
      <c r="D2189" s="14" t="s">
        <v>18</v>
      </c>
      <c r="E2189" s="14" t="s">
        <v>581</v>
      </c>
      <c r="F2189" s="14" t="str">
        <f>"2170672790 "</f>
        <v xml:space="preserve">2170672790 </v>
      </c>
      <c r="G2189" s="14" t="str">
        <f t="shared" si="67"/>
        <v>ON1</v>
      </c>
      <c r="H2189" s="14" t="s">
        <v>20</v>
      </c>
      <c r="I2189" s="14" t="s">
        <v>504</v>
      </c>
      <c r="J2189" s="14" t="str">
        <f>""</f>
        <v/>
      </c>
      <c r="K2189" s="14" t="str">
        <f>"PFES1162673142_0001"</f>
        <v>PFES1162673142_0001</v>
      </c>
      <c r="L2189" s="14">
        <v>1</v>
      </c>
      <c r="M2189" s="14">
        <v>1</v>
      </c>
    </row>
    <row r="2190" spans="1:13">
      <c r="A2190" s="6">
        <v>43510</v>
      </c>
      <c r="B2190" s="7">
        <v>0.49861111111111112</v>
      </c>
      <c r="C2190" s="14" t="str">
        <f>"FES1162673003"</f>
        <v>FES1162673003</v>
      </c>
      <c r="D2190" s="14" t="s">
        <v>18</v>
      </c>
      <c r="E2190" s="14" t="s">
        <v>936</v>
      </c>
      <c r="F2190" s="14" t="str">
        <f>"2170674161 "</f>
        <v xml:space="preserve">2170674161 </v>
      </c>
      <c r="G2190" s="14" t="str">
        <f t="shared" si="67"/>
        <v>ON1</v>
      </c>
      <c r="H2190" s="14" t="s">
        <v>20</v>
      </c>
      <c r="I2190" s="14" t="s">
        <v>937</v>
      </c>
      <c r="J2190" s="14" t="str">
        <f>""</f>
        <v/>
      </c>
      <c r="K2190" s="14" t="str">
        <f>"PFES1162673003_0001"</f>
        <v>PFES1162673003_0001</v>
      </c>
      <c r="L2190" s="14">
        <v>1</v>
      </c>
      <c r="M2190" s="14">
        <v>1</v>
      </c>
    </row>
    <row r="2191" spans="1:13">
      <c r="A2191" s="6">
        <v>43510</v>
      </c>
      <c r="B2191" s="7">
        <v>0.49791666666666662</v>
      </c>
      <c r="C2191" s="14" t="str">
        <f>"FES1162673014"</f>
        <v>FES1162673014</v>
      </c>
      <c r="D2191" s="14" t="s">
        <v>18</v>
      </c>
      <c r="E2191" s="14" t="s">
        <v>709</v>
      </c>
      <c r="F2191" s="14" t="str">
        <f>"2170674276 "</f>
        <v xml:space="preserve">2170674276 </v>
      </c>
      <c r="G2191" s="14" t="str">
        <f t="shared" si="67"/>
        <v>ON1</v>
      </c>
      <c r="H2191" s="14" t="s">
        <v>20</v>
      </c>
      <c r="I2191" s="14" t="s">
        <v>43</v>
      </c>
      <c r="J2191" s="14" t="str">
        <f>""</f>
        <v/>
      </c>
      <c r="K2191" s="14" t="str">
        <f>"PFES1162673014_0001"</f>
        <v>PFES1162673014_0001</v>
      </c>
      <c r="L2191" s="14">
        <v>1</v>
      </c>
      <c r="M2191" s="14">
        <v>1</v>
      </c>
    </row>
    <row r="2192" spans="1:13">
      <c r="A2192" s="6">
        <v>43510</v>
      </c>
      <c r="B2192" s="7">
        <v>0.49722222222222223</v>
      </c>
      <c r="C2192" s="14" t="str">
        <f>"FES1162673082"</f>
        <v>FES1162673082</v>
      </c>
      <c r="D2192" s="14" t="s">
        <v>18</v>
      </c>
      <c r="E2192" s="14" t="s">
        <v>19</v>
      </c>
      <c r="F2192" s="14" t="str">
        <f>"2170671597 "</f>
        <v xml:space="preserve">2170671597 </v>
      </c>
      <c r="G2192" s="14" t="str">
        <f t="shared" si="67"/>
        <v>ON1</v>
      </c>
      <c r="H2192" s="14" t="s">
        <v>20</v>
      </c>
      <c r="I2192" s="14" t="s">
        <v>21</v>
      </c>
      <c r="J2192" s="14" t="str">
        <f>""</f>
        <v/>
      </c>
      <c r="K2192" s="14" t="str">
        <f>"PFES1162673082_0001"</f>
        <v>PFES1162673082_0001</v>
      </c>
      <c r="L2192" s="14">
        <v>1</v>
      </c>
      <c r="M2192" s="14">
        <v>1</v>
      </c>
    </row>
    <row r="2193" spans="1:13">
      <c r="A2193" s="6">
        <v>43510</v>
      </c>
      <c r="B2193" s="7">
        <v>0.49583333333333335</v>
      </c>
      <c r="C2193" s="14" t="str">
        <f>"FES1162673020"</f>
        <v>FES1162673020</v>
      </c>
      <c r="D2193" s="14" t="s">
        <v>18</v>
      </c>
      <c r="E2193" s="14" t="s">
        <v>136</v>
      </c>
      <c r="F2193" s="14" t="str">
        <f>"2170674283 "</f>
        <v xml:space="preserve">2170674283 </v>
      </c>
      <c r="G2193" s="14" t="str">
        <f t="shared" si="67"/>
        <v>ON1</v>
      </c>
      <c r="H2193" s="14" t="s">
        <v>20</v>
      </c>
      <c r="I2193" s="14" t="s">
        <v>137</v>
      </c>
      <c r="J2193" s="14" t="str">
        <f>""</f>
        <v/>
      </c>
      <c r="K2193" s="14" t="str">
        <f>"PFES1162673020_0001"</f>
        <v>PFES1162673020_0001</v>
      </c>
      <c r="L2193" s="14">
        <v>1</v>
      </c>
      <c r="M2193" s="14">
        <v>1</v>
      </c>
    </row>
    <row r="2194" spans="1:13">
      <c r="A2194" s="6">
        <v>43510</v>
      </c>
      <c r="B2194" s="7">
        <v>0.49444444444444446</v>
      </c>
      <c r="C2194" s="14" t="str">
        <f>"FES1162673001"</f>
        <v>FES1162673001</v>
      </c>
      <c r="D2194" s="14" t="s">
        <v>18</v>
      </c>
      <c r="E2194" s="14" t="s">
        <v>259</v>
      </c>
      <c r="F2194" s="14" t="str">
        <f>"2170674042 "</f>
        <v xml:space="preserve">2170674042 </v>
      </c>
      <c r="G2194" s="14" t="str">
        <f t="shared" si="67"/>
        <v>ON1</v>
      </c>
      <c r="H2194" s="14" t="s">
        <v>20</v>
      </c>
      <c r="I2194" s="14" t="s">
        <v>260</v>
      </c>
      <c r="J2194" s="14" t="str">
        <f>""</f>
        <v/>
      </c>
      <c r="K2194" s="14" t="str">
        <f>"PFES1162673001_0001"</f>
        <v>PFES1162673001_0001</v>
      </c>
      <c r="L2194" s="14">
        <v>1</v>
      </c>
      <c r="M2194" s="14">
        <v>1</v>
      </c>
    </row>
    <row r="2195" spans="1:13">
      <c r="A2195" s="6">
        <v>43511</v>
      </c>
      <c r="B2195" s="7">
        <v>0.62361111111111112</v>
      </c>
      <c r="C2195" s="15" t="str">
        <f>"FES1162673575"</f>
        <v>FES1162673575</v>
      </c>
      <c r="D2195" s="15" t="s">
        <v>18</v>
      </c>
      <c r="E2195" s="15" t="s">
        <v>64</v>
      </c>
      <c r="F2195" s="15" t="str">
        <f>"2170674488 "</f>
        <v xml:space="preserve">2170674488 </v>
      </c>
      <c r="G2195" s="15" t="str">
        <f t="shared" si="67"/>
        <v>ON1</v>
      </c>
      <c r="H2195" s="15" t="s">
        <v>20</v>
      </c>
      <c r="I2195" s="15" t="s">
        <v>65</v>
      </c>
      <c r="J2195" s="15" t="str">
        <f>""</f>
        <v/>
      </c>
      <c r="K2195" s="15" t="str">
        <f>"PFES1162673575_0001"</f>
        <v>PFES1162673575_0001</v>
      </c>
      <c r="L2195" s="15">
        <v>1</v>
      </c>
      <c r="M2195" s="15">
        <v>4</v>
      </c>
    </row>
    <row r="2196" spans="1:13">
      <c r="A2196" s="6">
        <v>43511</v>
      </c>
      <c r="B2196" s="7">
        <v>0.62222222222222223</v>
      </c>
      <c r="C2196" s="15" t="str">
        <f>"FES1162673574"</f>
        <v>FES1162673574</v>
      </c>
      <c r="D2196" s="15" t="s">
        <v>18</v>
      </c>
      <c r="E2196" s="15" t="s">
        <v>665</v>
      </c>
      <c r="F2196" s="15" t="str">
        <f>"2170674373 "</f>
        <v xml:space="preserve">2170674373 </v>
      </c>
      <c r="G2196" s="15" t="str">
        <f t="shared" si="67"/>
        <v>ON1</v>
      </c>
      <c r="H2196" s="15" t="s">
        <v>20</v>
      </c>
      <c r="I2196" s="15" t="s">
        <v>561</v>
      </c>
      <c r="J2196" s="15" t="str">
        <f>""</f>
        <v/>
      </c>
      <c r="K2196" s="15" t="str">
        <f>"PFES1162673574_0001"</f>
        <v>PFES1162673574_0001</v>
      </c>
      <c r="L2196" s="15">
        <v>1</v>
      </c>
      <c r="M2196" s="15">
        <v>6</v>
      </c>
    </row>
    <row r="2197" spans="1:13">
      <c r="A2197" s="6">
        <v>43511</v>
      </c>
      <c r="B2197" s="7">
        <v>0.61805555555555558</v>
      </c>
      <c r="C2197" s="15" t="str">
        <f>"0099357723028"</f>
        <v>0099357723028</v>
      </c>
      <c r="D2197" s="15" t="s">
        <v>18</v>
      </c>
      <c r="E2197" s="15" t="s">
        <v>649</v>
      </c>
      <c r="F2197" s="15" t="str">
        <f>"1162672250 "</f>
        <v xml:space="preserve">1162672250 </v>
      </c>
      <c r="G2197" s="15" t="str">
        <f t="shared" si="67"/>
        <v>ON1</v>
      </c>
      <c r="H2197" s="15" t="s">
        <v>20</v>
      </c>
      <c r="I2197" s="15" t="s">
        <v>650</v>
      </c>
      <c r="J2197" s="15" t="str">
        <f>"RE SEND PARCEL"</f>
        <v>RE SEND PARCEL</v>
      </c>
      <c r="K2197" s="15" t="str">
        <f>"P0099357723028_0001"</f>
        <v>P0099357723028_0001</v>
      </c>
      <c r="L2197" s="15">
        <v>1</v>
      </c>
      <c r="M2197" s="15">
        <v>4</v>
      </c>
    </row>
    <row r="2198" spans="1:13">
      <c r="A2198" s="6">
        <v>43511</v>
      </c>
      <c r="B2198" s="7">
        <v>0.61736111111111114</v>
      </c>
      <c r="C2198" s="15" t="str">
        <f>"FES1162673580"</f>
        <v>FES1162673580</v>
      </c>
      <c r="D2198" s="15" t="s">
        <v>18</v>
      </c>
      <c r="E2198" s="15" t="s">
        <v>214</v>
      </c>
      <c r="F2198" s="15" t="str">
        <f>"2170674706 "</f>
        <v xml:space="preserve">2170674706 </v>
      </c>
      <c r="G2198" s="15" t="str">
        <f t="shared" si="67"/>
        <v>ON1</v>
      </c>
      <c r="H2198" s="15" t="s">
        <v>20</v>
      </c>
      <c r="I2198" s="15" t="s">
        <v>215</v>
      </c>
      <c r="J2198" s="15" t="str">
        <f>""</f>
        <v/>
      </c>
      <c r="K2198" s="15" t="str">
        <f>"PFES1162673580_0001"</f>
        <v>PFES1162673580_0001</v>
      </c>
      <c r="L2198" s="15">
        <v>1</v>
      </c>
      <c r="M2198" s="15">
        <v>1</v>
      </c>
    </row>
    <row r="2199" spans="1:13">
      <c r="A2199" s="6">
        <v>43511</v>
      </c>
      <c r="B2199" s="7">
        <v>0.6166666666666667</v>
      </c>
      <c r="C2199" s="15" t="str">
        <f>"0099635723027"</f>
        <v>0099635723027</v>
      </c>
      <c r="D2199" s="15" t="s">
        <v>18</v>
      </c>
      <c r="E2199" s="15" t="s">
        <v>195</v>
      </c>
      <c r="F2199" s="15" t="str">
        <f>"1162630794 "</f>
        <v xml:space="preserve">1162630794 </v>
      </c>
      <c r="G2199" s="15" t="str">
        <f t="shared" si="67"/>
        <v>ON1</v>
      </c>
      <c r="H2199" s="15" t="s">
        <v>20</v>
      </c>
      <c r="I2199" s="15" t="s">
        <v>96</v>
      </c>
      <c r="J2199" s="15" t="str">
        <f>"RE SEND PARCEL"</f>
        <v>RE SEND PARCEL</v>
      </c>
      <c r="K2199" s="15" t="str">
        <f>"P0099635723027_0001"</f>
        <v>P0099635723027_0001</v>
      </c>
      <c r="L2199" s="15">
        <v>1</v>
      </c>
      <c r="M2199" s="15">
        <v>3</v>
      </c>
    </row>
    <row r="2200" spans="1:13">
      <c r="A2200" s="6">
        <v>43511</v>
      </c>
      <c r="B2200" s="7">
        <v>0.61458333333333337</v>
      </c>
      <c r="C2200" s="15" t="str">
        <f>"FES1162673572"</f>
        <v>FES1162673572</v>
      </c>
      <c r="D2200" s="15" t="s">
        <v>18</v>
      </c>
      <c r="E2200" s="15" t="s">
        <v>198</v>
      </c>
      <c r="F2200" s="15" t="str">
        <f>"2170672592 "</f>
        <v xml:space="preserve">2170672592 </v>
      </c>
      <c r="G2200" s="15" t="str">
        <f t="shared" si="67"/>
        <v>ON1</v>
      </c>
      <c r="H2200" s="15" t="s">
        <v>20</v>
      </c>
      <c r="I2200" s="15" t="s">
        <v>199</v>
      </c>
      <c r="J2200" s="15" t="str">
        <f>""</f>
        <v/>
      </c>
      <c r="K2200" s="15" t="str">
        <f>"PFES1162673572_0001"</f>
        <v>PFES1162673572_0001</v>
      </c>
      <c r="L2200" s="15">
        <v>1</v>
      </c>
      <c r="M2200" s="15">
        <v>1</v>
      </c>
    </row>
    <row r="2201" spans="1:13">
      <c r="A2201" s="6">
        <v>43511</v>
      </c>
      <c r="B2201" s="7">
        <v>0.61458333333333337</v>
      </c>
      <c r="C2201" s="15" t="str">
        <f>"FES1162673581"</f>
        <v>FES1162673581</v>
      </c>
      <c r="D2201" s="15" t="s">
        <v>18</v>
      </c>
      <c r="E2201" s="15" t="s">
        <v>530</v>
      </c>
      <c r="F2201" s="15" t="str">
        <f>"2170674713 "</f>
        <v xml:space="preserve">2170674713 </v>
      </c>
      <c r="G2201" s="15" t="str">
        <f t="shared" si="67"/>
        <v>ON1</v>
      </c>
      <c r="H2201" s="15" t="s">
        <v>20</v>
      </c>
      <c r="I2201" s="15" t="s">
        <v>531</v>
      </c>
      <c r="J2201" s="15" t="str">
        <f>""</f>
        <v/>
      </c>
      <c r="K2201" s="15" t="str">
        <f>"PFES1162673581_0001"</f>
        <v>PFES1162673581_0001</v>
      </c>
      <c r="L2201" s="15">
        <v>1</v>
      </c>
      <c r="M2201" s="15">
        <v>1</v>
      </c>
    </row>
    <row r="2202" spans="1:13">
      <c r="A2202" s="6">
        <v>43511</v>
      </c>
      <c r="B2202" s="7">
        <v>0.61458333333333337</v>
      </c>
      <c r="C2202" s="15" t="str">
        <f>"FES1162673577"</f>
        <v>FES1162673577</v>
      </c>
      <c r="D2202" s="15" t="s">
        <v>18</v>
      </c>
      <c r="E2202" s="15" t="s">
        <v>843</v>
      </c>
      <c r="F2202" s="15" t="str">
        <f>"2170674702 "</f>
        <v xml:space="preserve">2170674702 </v>
      </c>
      <c r="G2202" s="15" t="str">
        <f t="shared" si="67"/>
        <v>ON1</v>
      </c>
      <c r="H2202" s="15" t="s">
        <v>20</v>
      </c>
      <c r="I2202" s="15" t="s">
        <v>43</v>
      </c>
      <c r="J2202" s="15" t="str">
        <f>""</f>
        <v/>
      </c>
      <c r="K2202" s="15" t="str">
        <f>"PFES1162673577_0001"</f>
        <v>PFES1162673577_0001</v>
      </c>
      <c r="L2202" s="15">
        <v>1</v>
      </c>
      <c r="M2202" s="15">
        <v>1</v>
      </c>
    </row>
    <row r="2203" spans="1:13">
      <c r="A2203" s="6">
        <v>43511</v>
      </c>
      <c r="B2203" s="7">
        <v>0.61388888888888882</v>
      </c>
      <c r="C2203" s="15" t="str">
        <f>"FES1162673563"</f>
        <v>FES1162673563</v>
      </c>
      <c r="D2203" s="15" t="s">
        <v>18</v>
      </c>
      <c r="E2203" s="15" t="s">
        <v>116</v>
      </c>
      <c r="F2203" s="15" t="str">
        <f>"2170674691 "</f>
        <v xml:space="preserve">2170674691 </v>
      </c>
      <c r="G2203" s="15" t="str">
        <f t="shared" si="67"/>
        <v>ON1</v>
      </c>
      <c r="H2203" s="15" t="s">
        <v>20</v>
      </c>
      <c r="I2203" s="15" t="s">
        <v>117</v>
      </c>
      <c r="J2203" s="15" t="str">
        <f>""</f>
        <v/>
      </c>
      <c r="K2203" s="15" t="str">
        <f>"PFES1162673563_0001"</f>
        <v>PFES1162673563_0001</v>
      </c>
      <c r="L2203" s="15">
        <v>1</v>
      </c>
      <c r="M2203" s="15">
        <v>5</v>
      </c>
    </row>
    <row r="2204" spans="1:13">
      <c r="A2204" s="6">
        <v>43511</v>
      </c>
      <c r="B2204" s="7">
        <v>0.61388888888888882</v>
      </c>
      <c r="C2204" s="15" t="str">
        <f>"FES1162673576"</f>
        <v>FES1162673576</v>
      </c>
      <c r="D2204" s="15" t="s">
        <v>18</v>
      </c>
      <c r="E2204" s="15" t="s">
        <v>919</v>
      </c>
      <c r="F2204" s="15" t="str">
        <f>"2170674699 "</f>
        <v xml:space="preserve">2170674699 </v>
      </c>
      <c r="G2204" s="15" t="str">
        <f t="shared" si="67"/>
        <v>ON1</v>
      </c>
      <c r="H2204" s="15" t="s">
        <v>20</v>
      </c>
      <c r="I2204" s="15" t="s">
        <v>163</v>
      </c>
      <c r="J2204" s="15" t="str">
        <f>""</f>
        <v/>
      </c>
      <c r="K2204" s="15" t="str">
        <f>"PFES1162673576_0001"</f>
        <v>PFES1162673576_0001</v>
      </c>
      <c r="L2204" s="15">
        <v>1</v>
      </c>
      <c r="M2204" s="15">
        <v>1</v>
      </c>
    </row>
    <row r="2205" spans="1:13">
      <c r="A2205" s="6">
        <v>43511</v>
      </c>
      <c r="B2205" s="7">
        <v>0.61319444444444449</v>
      </c>
      <c r="C2205" s="15" t="str">
        <f>"FES1162673528"</f>
        <v>FES1162673528</v>
      </c>
      <c r="D2205" s="15" t="s">
        <v>18</v>
      </c>
      <c r="E2205" s="15" t="s">
        <v>629</v>
      </c>
      <c r="F2205" s="15" t="str">
        <f>"2170674653 "</f>
        <v xml:space="preserve">2170674653 </v>
      </c>
      <c r="G2205" s="15" t="str">
        <f t="shared" si="67"/>
        <v>ON1</v>
      </c>
      <c r="H2205" s="15" t="s">
        <v>20</v>
      </c>
      <c r="I2205" s="15" t="s">
        <v>420</v>
      </c>
      <c r="J2205" s="15" t="str">
        <f>""</f>
        <v/>
      </c>
      <c r="K2205" s="15" t="str">
        <f>"PFES1162673528_0001"</f>
        <v>PFES1162673528_0001</v>
      </c>
      <c r="L2205" s="15">
        <v>1</v>
      </c>
      <c r="M2205" s="15">
        <v>1</v>
      </c>
    </row>
    <row r="2206" spans="1:13">
      <c r="A2206" s="6">
        <v>43511</v>
      </c>
      <c r="B2206" s="7">
        <v>0.61319444444444449</v>
      </c>
      <c r="C2206" s="15" t="str">
        <f>"FES1162673507"</f>
        <v>FES1162673507</v>
      </c>
      <c r="D2206" s="15" t="s">
        <v>18</v>
      </c>
      <c r="E2206" s="15" t="s">
        <v>253</v>
      </c>
      <c r="F2206" s="15" t="str">
        <f>"2170674628 "</f>
        <v xml:space="preserve">2170674628 </v>
      </c>
      <c r="G2206" s="15" t="str">
        <f t="shared" si="67"/>
        <v>ON1</v>
      </c>
      <c r="H2206" s="15" t="s">
        <v>20</v>
      </c>
      <c r="I2206" s="15" t="s">
        <v>226</v>
      </c>
      <c r="J2206" s="15" t="str">
        <f>""</f>
        <v/>
      </c>
      <c r="K2206" s="15" t="str">
        <f>"PFES1162673507_0001"</f>
        <v>PFES1162673507_0001</v>
      </c>
      <c r="L2206" s="15">
        <v>1</v>
      </c>
      <c r="M2206" s="15">
        <v>4</v>
      </c>
    </row>
    <row r="2207" spans="1:13">
      <c r="A2207" s="6">
        <v>43511</v>
      </c>
      <c r="B2207" s="7">
        <v>0.61319444444444449</v>
      </c>
      <c r="C2207" s="15" t="str">
        <f>"FES1162673541"</f>
        <v>FES1162673541</v>
      </c>
      <c r="D2207" s="15" t="s">
        <v>18</v>
      </c>
      <c r="E2207" s="15" t="s">
        <v>757</v>
      </c>
      <c r="F2207" s="15" t="str">
        <f>"2170673541 "</f>
        <v xml:space="preserve">2170673541 </v>
      </c>
      <c r="G2207" s="15" t="str">
        <f t="shared" si="67"/>
        <v>ON1</v>
      </c>
      <c r="H2207" s="15" t="s">
        <v>20</v>
      </c>
      <c r="I2207" s="15" t="s">
        <v>61</v>
      </c>
      <c r="J2207" s="15" t="str">
        <f>""</f>
        <v/>
      </c>
      <c r="K2207" s="15" t="str">
        <f>"PFES1162673541_0001"</f>
        <v>PFES1162673541_0001</v>
      </c>
      <c r="L2207" s="15">
        <v>1</v>
      </c>
      <c r="M2207" s="15">
        <v>1</v>
      </c>
    </row>
    <row r="2208" spans="1:13">
      <c r="A2208" s="6">
        <v>43511</v>
      </c>
      <c r="B2208" s="7">
        <v>0.61249999999999993</v>
      </c>
      <c r="C2208" s="15" t="str">
        <f>"FES1162673455"</f>
        <v>FES1162673455</v>
      </c>
      <c r="D2208" s="15" t="s">
        <v>18</v>
      </c>
      <c r="E2208" s="15" t="s">
        <v>73</v>
      </c>
      <c r="F2208" s="15" t="str">
        <f>"2170672246 "</f>
        <v xml:space="preserve">2170672246 </v>
      </c>
      <c r="G2208" s="15" t="str">
        <f t="shared" si="67"/>
        <v>ON1</v>
      </c>
      <c r="H2208" s="15" t="s">
        <v>20</v>
      </c>
      <c r="I2208" s="15" t="s">
        <v>61</v>
      </c>
      <c r="J2208" s="15" t="str">
        <f>""</f>
        <v/>
      </c>
      <c r="K2208" s="15" t="str">
        <f>"PFES1162673455_0001"</f>
        <v>PFES1162673455_0001</v>
      </c>
      <c r="L2208" s="15">
        <v>1</v>
      </c>
      <c r="M2208" s="15">
        <v>1</v>
      </c>
    </row>
    <row r="2209" spans="1:13">
      <c r="A2209" s="6">
        <v>43511</v>
      </c>
      <c r="B2209" s="7">
        <v>0.61249999999999993</v>
      </c>
      <c r="C2209" s="15" t="str">
        <f>"FES1162673485"</f>
        <v>FES1162673485</v>
      </c>
      <c r="D2209" s="15" t="s">
        <v>18</v>
      </c>
      <c r="E2209" s="15" t="s">
        <v>178</v>
      </c>
      <c r="F2209" s="15" t="str">
        <f>"2170674599 "</f>
        <v xml:space="preserve">2170674599 </v>
      </c>
      <c r="G2209" s="15" t="str">
        <f t="shared" si="67"/>
        <v>ON1</v>
      </c>
      <c r="H2209" s="15" t="s">
        <v>20</v>
      </c>
      <c r="I2209" s="15" t="s">
        <v>29</v>
      </c>
      <c r="J2209" s="15" t="str">
        <f>""</f>
        <v/>
      </c>
      <c r="K2209" s="15" t="str">
        <f>"PFES1162673485_0001"</f>
        <v>PFES1162673485_0001</v>
      </c>
      <c r="L2209" s="15">
        <v>1</v>
      </c>
      <c r="M2209" s="15">
        <v>10</v>
      </c>
    </row>
    <row r="2210" spans="1:13">
      <c r="A2210" s="6">
        <v>43511</v>
      </c>
      <c r="B2210" s="7">
        <v>0.6118055555555556</v>
      </c>
      <c r="C2210" s="15" t="str">
        <f>"FES1162673360"</f>
        <v>FES1162673360</v>
      </c>
      <c r="D2210" s="15" t="s">
        <v>18</v>
      </c>
      <c r="E2210" s="15" t="s">
        <v>225</v>
      </c>
      <c r="F2210" s="15" t="str">
        <f>"2170672845 "</f>
        <v xml:space="preserve">2170672845 </v>
      </c>
      <c r="G2210" s="15" t="str">
        <f t="shared" si="67"/>
        <v>ON1</v>
      </c>
      <c r="H2210" s="15" t="s">
        <v>20</v>
      </c>
      <c r="I2210" s="15" t="s">
        <v>226</v>
      </c>
      <c r="J2210" s="15" t="str">
        <f>""</f>
        <v/>
      </c>
      <c r="K2210" s="15" t="str">
        <f>"PFES1162673360_0001"</f>
        <v>PFES1162673360_0001</v>
      </c>
      <c r="L2210" s="15">
        <v>1</v>
      </c>
      <c r="M2210" s="15">
        <v>1</v>
      </c>
    </row>
    <row r="2211" spans="1:13">
      <c r="A2211" s="6">
        <v>43511</v>
      </c>
      <c r="B2211" s="7">
        <v>0.60763888888888895</v>
      </c>
      <c r="C2211" s="15" t="str">
        <f>"FES1162673398"</f>
        <v>FES1162673398</v>
      </c>
      <c r="D2211" s="15" t="s">
        <v>18</v>
      </c>
      <c r="E2211" s="15" t="s">
        <v>962</v>
      </c>
      <c r="F2211" s="15" t="str">
        <f>"2170674565 "</f>
        <v xml:space="preserve">2170674565 </v>
      </c>
      <c r="G2211" s="15" t="str">
        <f t="shared" si="67"/>
        <v>ON1</v>
      </c>
      <c r="H2211" s="15" t="s">
        <v>20</v>
      </c>
      <c r="I2211" s="15" t="s">
        <v>963</v>
      </c>
      <c r="J2211" s="15" t="str">
        <f>""</f>
        <v/>
      </c>
      <c r="K2211" s="15" t="str">
        <f>"PFES1162673398_0001"</f>
        <v>PFES1162673398_0001</v>
      </c>
      <c r="L2211" s="15">
        <v>1</v>
      </c>
      <c r="M2211" s="15">
        <v>5</v>
      </c>
    </row>
    <row r="2212" spans="1:13">
      <c r="A2212" s="6">
        <v>43511</v>
      </c>
      <c r="B2212" s="7">
        <v>0.6069444444444444</v>
      </c>
      <c r="C2212" s="15" t="str">
        <f>"FES1162673567"</f>
        <v>FES1162673567</v>
      </c>
      <c r="D2212" s="15" t="s">
        <v>18</v>
      </c>
      <c r="E2212" s="15" t="s">
        <v>964</v>
      </c>
      <c r="F2212" s="15" t="str">
        <f>"2170674203 "</f>
        <v xml:space="preserve">2170674203 </v>
      </c>
      <c r="G2212" s="15" t="str">
        <f t="shared" si="67"/>
        <v>ON1</v>
      </c>
      <c r="H2212" s="15" t="s">
        <v>20</v>
      </c>
      <c r="I2212" s="15" t="s">
        <v>29</v>
      </c>
      <c r="J2212" s="15" t="str">
        <f>""</f>
        <v/>
      </c>
      <c r="K2212" s="15" t="str">
        <f>"PFES1162673567_0001"</f>
        <v>PFES1162673567_0001</v>
      </c>
      <c r="L2212" s="15">
        <v>1</v>
      </c>
      <c r="M2212" s="15">
        <v>1</v>
      </c>
    </row>
    <row r="2213" spans="1:13">
      <c r="A2213" s="6">
        <v>43511</v>
      </c>
      <c r="B2213" s="7">
        <v>0.60625000000000007</v>
      </c>
      <c r="C2213" s="15" t="str">
        <f>"FES1162673562"</f>
        <v>FES1162673562</v>
      </c>
      <c r="D2213" s="15" t="s">
        <v>18</v>
      </c>
      <c r="E2213" s="15" t="s">
        <v>780</v>
      </c>
      <c r="F2213" s="15" t="str">
        <f>"2170674690 "</f>
        <v xml:space="preserve">2170674690 </v>
      </c>
      <c r="G2213" s="15" t="str">
        <f t="shared" si="67"/>
        <v>ON1</v>
      </c>
      <c r="H2213" s="15" t="s">
        <v>20</v>
      </c>
      <c r="I2213" s="15" t="s">
        <v>781</v>
      </c>
      <c r="J2213" s="15" t="str">
        <f>""</f>
        <v/>
      </c>
      <c r="K2213" s="15" t="str">
        <f>"PFES1162673562_0001"</f>
        <v>PFES1162673562_0001</v>
      </c>
      <c r="L2213" s="15">
        <v>1</v>
      </c>
      <c r="M2213" s="15">
        <v>1</v>
      </c>
    </row>
    <row r="2214" spans="1:13">
      <c r="A2214" s="6">
        <v>43511</v>
      </c>
      <c r="B2214" s="7">
        <v>0.60625000000000007</v>
      </c>
      <c r="C2214" s="15" t="str">
        <f>"FES1162673570"</f>
        <v>FES1162673570</v>
      </c>
      <c r="D2214" s="15" t="s">
        <v>18</v>
      </c>
      <c r="E2214" s="15" t="s">
        <v>152</v>
      </c>
      <c r="F2214" s="15" t="str">
        <f>"2170674696 "</f>
        <v xml:space="preserve">2170674696 </v>
      </c>
      <c r="G2214" s="15" t="str">
        <f t="shared" ref="G2214:G2245" si="68">"ON1"</f>
        <v>ON1</v>
      </c>
      <c r="H2214" s="15" t="s">
        <v>20</v>
      </c>
      <c r="I2214" s="15" t="s">
        <v>153</v>
      </c>
      <c r="J2214" s="15" t="str">
        <f>""</f>
        <v/>
      </c>
      <c r="K2214" s="15" t="str">
        <f>"PFES1162673570_0001"</f>
        <v>PFES1162673570_0001</v>
      </c>
      <c r="L2214" s="15">
        <v>1</v>
      </c>
      <c r="M2214" s="15">
        <v>1</v>
      </c>
    </row>
    <row r="2215" spans="1:13">
      <c r="A2215" s="6">
        <v>43511</v>
      </c>
      <c r="B2215" s="7">
        <v>0.60555555555555551</v>
      </c>
      <c r="C2215" s="15" t="str">
        <f>"FES1162673554"</f>
        <v>FES1162673554</v>
      </c>
      <c r="D2215" s="15" t="s">
        <v>18</v>
      </c>
      <c r="E2215" s="15" t="s">
        <v>629</v>
      </c>
      <c r="F2215" s="15" t="str">
        <f>"2170674684 "</f>
        <v xml:space="preserve">2170674684 </v>
      </c>
      <c r="G2215" s="15" t="str">
        <f t="shared" si="68"/>
        <v>ON1</v>
      </c>
      <c r="H2215" s="15" t="s">
        <v>20</v>
      </c>
      <c r="I2215" s="15" t="s">
        <v>420</v>
      </c>
      <c r="J2215" s="15" t="str">
        <f>""</f>
        <v/>
      </c>
      <c r="K2215" s="15" t="str">
        <f>"PFES1162673554_0001"</f>
        <v>PFES1162673554_0001</v>
      </c>
      <c r="L2215" s="15">
        <v>1</v>
      </c>
      <c r="M2215" s="15">
        <v>1</v>
      </c>
    </row>
    <row r="2216" spans="1:13">
      <c r="A2216" s="6">
        <v>43511</v>
      </c>
      <c r="B2216" s="7">
        <v>0.60555555555555551</v>
      </c>
      <c r="C2216" s="15" t="str">
        <f>"FES1162673492"</f>
        <v>FES1162673492</v>
      </c>
      <c r="D2216" s="15" t="s">
        <v>18</v>
      </c>
      <c r="E2216" s="15" t="s">
        <v>88</v>
      </c>
      <c r="F2216" s="15" t="str">
        <f>"2170674606 "</f>
        <v xml:space="preserve">2170674606 </v>
      </c>
      <c r="G2216" s="15" t="str">
        <f t="shared" si="68"/>
        <v>ON1</v>
      </c>
      <c r="H2216" s="15" t="s">
        <v>20</v>
      </c>
      <c r="I2216" s="15" t="s">
        <v>53</v>
      </c>
      <c r="J2216" s="15" t="str">
        <f>""</f>
        <v/>
      </c>
      <c r="K2216" s="15" t="str">
        <f>"PFES1162673492_0001"</f>
        <v>PFES1162673492_0001</v>
      </c>
      <c r="L2216" s="15">
        <v>2</v>
      </c>
      <c r="M2216" s="15">
        <v>3</v>
      </c>
    </row>
    <row r="2217" spans="1:13">
      <c r="A2217" s="6">
        <v>43496</v>
      </c>
      <c r="B2217" s="7">
        <v>0.66875000000000007</v>
      </c>
      <c r="C2217" s="15" t="str">
        <f>"FES1162673492"</f>
        <v>FES1162673492</v>
      </c>
      <c r="D2217" s="15" t="s">
        <v>18</v>
      </c>
      <c r="E2217" s="15" t="s">
        <v>90</v>
      </c>
      <c r="F2217" s="15" t="str">
        <f>"2170671996 "</f>
        <v xml:space="preserve">2170671996 </v>
      </c>
      <c r="G2217" s="15" t="str">
        <f t="shared" si="68"/>
        <v>ON1</v>
      </c>
      <c r="H2217" s="15" t="s">
        <v>20</v>
      </c>
      <c r="I2217" s="15" t="s">
        <v>89</v>
      </c>
      <c r="J2217" s="15" t="str">
        <f>""</f>
        <v/>
      </c>
      <c r="K2217" s="15" t="str">
        <f>"PFES1162673492_0002"</f>
        <v>PFES1162673492_0002</v>
      </c>
      <c r="L2217" s="15">
        <v>1</v>
      </c>
      <c r="M2217" s="15">
        <v>8</v>
      </c>
    </row>
    <row r="2218" spans="1:13">
      <c r="A2218" s="6">
        <v>43511</v>
      </c>
      <c r="B2218" s="7">
        <v>0.60486111111111118</v>
      </c>
      <c r="C2218" s="15" t="str">
        <f>"FES1162673456"</f>
        <v>FES1162673456</v>
      </c>
      <c r="D2218" s="15" t="s">
        <v>18</v>
      </c>
      <c r="E2218" s="15" t="s">
        <v>965</v>
      </c>
      <c r="F2218" s="15" t="str">
        <f>"2170672285 "</f>
        <v xml:space="preserve">2170672285 </v>
      </c>
      <c r="G2218" s="15" t="str">
        <f t="shared" si="68"/>
        <v>ON1</v>
      </c>
      <c r="H2218" s="15" t="s">
        <v>20</v>
      </c>
      <c r="I2218" s="15" t="s">
        <v>966</v>
      </c>
      <c r="J2218" s="15" t="str">
        <f>""</f>
        <v/>
      </c>
      <c r="K2218" s="15" t="str">
        <f>"PFES1162673456_0001"</f>
        <v>PFES1162673456_0001</v>
      </c>
      <c r="L2218" s="15">
        <v>1</v>
      </c>
      <c r="M2218" s="15">
        <v>1</v>
      </c>
    </row>
    <row r="2219" spans="1:13">
      <c r="A2219" s="6">
        <v>43511</v>
      </c>
      <c r="B2219" s="7">
        <v>0.60416666666666663</v>
      </c>
      <c r="C2219" s="15" t="str">
        <f>"FES1162673382"</f>
        <v>FES1162673382</v>
      </c>
      <c r="D2219" s="15" t="s">
        <v>18</v>
      </c>
      <c r="E2219" s="15" t="s">
        <v>706</v>
      </c>
      <c r="F2219" s="15" t="str">
        <f>"2170673513 "</f>
        <v xml:space="preserve">2170673513 </v>
      </c>
      <c r="G2219" s="15" t="str">
        <f t="shared" si="68"/>
        <v>ON1</v>
      </c>
      <c r="H2219" s="15" t="s">
        <v>20</v>
      </c>
      <c r="I2219" s="15" t="s">
        <v>29</v>
      </c>
      <c r="J2219" s="15" t="str">
        <f>""</f>
        <v/>
      </c>
      <c r="K2219" s="15" t="str">
        <f>"PFES1162673382_0001"</f>
        <v>PFES1162673382_0001</v>
      </c>
      <c r="L2219" s="15">
        <v>1</v>
      </c>
      <c r="M2219" s="15">
        <v>6</v>
      </c>
    </row>
    <row r="2220" spans="1:13">
      <c r="A2220" s="6">
        <v>43511</v>
      </c>
      <c r="B2220" s="7">
        <v>0.60347222222222219</v>
      </c>
      <c r="C2220" s="15" t="str">
        <f>"FES1162673374"</f>
        <v>FES1162673374</v>
      </c>
      <c r="D2220" s="15" t="s">
        <v>18</v>
      </c>
      <c r="E2220" s="15" t="s">
        <v>28</v>
      </c>
      <c r="F2220" s="15" t="str">
        <f>"2170673015 "</f>
        <v xml:space="preserve">2170673015 </v>
      </c>
      <c r="G2220" s="15" t="str">
        <f t="shared" si="68"/>
        <v>ON1</v>
      </c>
      <c r="H2220" s="15" t="s">
        <v>20</v>
      </c>
      <c r="I2220" s="15" t="s">
        <v>29</v>
      </c>
      <c r="J2220" s="15" t="str">
        <f>""</f>
        <v/>
      </c>
      <c r="K2220" s="15" t="str">
        <f>"PFES1162673374_0001"</f>
        <v>PFES1162673374_0001</v>
      </c>
      <c r="L2220" s="15">
        <v>1</v>
      </c>
      <c r="M2220" s="15">
        <v>1</v>
      </c>
    </row>
    <row r="2221" spans="1:13">
      <c r="A2221" s="6">
        <v>43511</v>
      </c>
      <c r="B2221" s="7">
        <v>0.60277777777777775</v>
      </c>
      <c r="C2221" s="15" t="str">
        <f>"FES1162673549"</f>
        <v>FES1162673549</v>
      </c>
      <c r="D2221" s="15" t="s">
        <v>18</v>
      </c>
      <c r="E2221" s="15" t="s">
        <v>212</v>
      </c>
      <c r="F2221" s="15" t="str">
        <f>"2170674675 "</f>
        <v xml:space="preserve">2170674675 </v>
      </c>
      <c r="G2221" s="15" t="str">
        <f t="shared" si="68"/>
        <v>ON1</v>
      </c>
      <c r="H2221" s="15" t="s">
        <v>20</v>
      </c>
      <c r="I2221" s="15" t="s">
        <v>213</v>
      </c>
      <c r="J2221" s="15" t="str">
        <f>""</f>
        <v/>
      </c>
      <c r="K2221" s="15" t="str">
        <f>"PFES1162673549_0001"</f>
        <v>PFES1162673549_0001</v>
      </c>
      <c r="L2221" s="15">
        <v>1</v>
      </c>
      <c r="M2221" s="15">
        <v>5</v>
      </c>
    </row>
    <row r="2222" spans="1:13">
      <c r="A2222" s="6">
        <v>43511</v>
      </c>
      <c r="B2222" s="7">
        <v>0.6020833333333333</v>
      </c>
      <c r="C2222" s="15" t="str">
        <f>"FES1162673569"</f>
        <v>FES1162673569</v>
      </c>
      <c r="D2222" s="15" t="s">
        <v>18</v>
      </c>
      <c r="E2222" s="15" t="s">
        <v>544</v>
      </c>
      <c r="F2222" s="15" t="str">
        <f>"2170674131 "</f>
        <v xml:space="preserve">2170674131 </v>
      </c>
      <c r="G2222" s="15" t="str">
        <f t="shared" si="68"/>
        <v>ON1</v>
      </c>
      <c r="H2222" s="15" t="s">
        <v>20</v>
      </c>
      <c r="I2222" s="15" t="s">
        <v>35</v>
      </c>
      <c r="J2222" s="15" t="str">
        <f>""</f>
        <v/>
      </c>
      <c r="K2222" s="15" t="str">
        <f>"PFES1162673569_0001"</f>
        <v>PFES1162673569_0001</v>
      </c>
      <c r="L2222" s="15">
        <v>1</v>
      </c>
      <c r="M2222" s="15">
        <v>1</v>
      </c>
    </row>
    <row r="2223" spans="1:13">
      <c r="A2223" s="6">
        <v>43511</v>
      </c>
      <c r="B2223" s="7">
        <v>0.6020833333333333</v>
      </c>
      <c r="C2223" s="15" t="str">
        <f>"FES1162673559"</f>
        <v>FES1162673559</v>
      </c>
      <c r="D2223" s="15" t="s">
        <v>18</v>
      </c>
      <c r="E2223" s="15" t="s">
        <v>556</v>
      </c>
      <c r="F2223" s="15" t="str">
        <f>"2170672406 "</f>
        <v xml:space="preserve">2170672406 </v>
      </c>
      <c r="G2223" s="15" t="str">
        <f t="shared" si="68"/>
        <v>ON1</v>
      </c>
      <c r="H2223" s="15" t="s">
        <v>20</v>
      </c>
      <c r="I2223" s="15" t="s">
        <v>435</v>
      </c>
      <c r="J2223" s="15" t="str">
        <f>""</f>
        <v/>
      </c>
      <c r="K2223" s="15" t="str">
        <f>"PFES1162673559_0001"</f>
        <v>PFES1162673559_0001</v>
      </c>
      <c r="L2223" s="15">
        <v>1</v>
      </c>
      <c r="M2223" s="15">
        <v>1</v>
      </c>
    </row>
    <row r="2224" spans="1:13">
      <c r="A2224" s="6">
        <v>43511</v>
      </c>
      <c r="B2224" s="7">
        <v>0.60138888888888886</v>
      </c>
      <c r="C2224" s="15" t="str">
        <f>"FES1162673384"</f>
        <v>FES1162673384</v>
      </c>
      <c r="D2224" s="15" t="s">
        <v>18</v>
      </c>
      <c r="E2224" s="15" t="s">
        <v>695</v>
      </c>
      <c r="F2224" s="15" t="str">
        <f>"2170673775 "</f>
        <v xml:space="preserve">2170673775 </v>
      </c>
      <c r="G2224" s="15" t="str">
        <f t="shared" si="68"/>
        <v>ON1</v>
      </c>
      <c r="H2224" s="15" t="s">
        <v>20</v>
      </c>
      <c r="I2224" s="15" t="s">
        <v>55</v>
      </c>
      <c r="J2224" s="15" t="str">
        <f>""</f>
        <v/>
      </c>
      <c r="K2224" s="15" t="str">
        <f>"PFES1162673384_0001"</f>
        <v>PFES1162673384_0001</v>
      </c>
      <c r="L2224" s="15">
        <v>1</v>
      </c>
      <c r="M2224" s="15">
        <v>1</v>
      </c>
    </row>
    <row r="2225" spans="1:13">
      <c r="A2225" s="6">
        <v>43511</v>
      </c>
      <c r="B2225" s="7">
        <v>0.60069444444444442</v>
      </c>
      <c r="C2225" s="15" t="str">
        <f>"FES1162673571"</f>
        <v>FES1162673571</v>
      </c>
      <c r="D2225" s="15" t="s">
        <v>18</v>
      </c>
      <c r="E2225" s="15" t="s">
        <v>198</v>
      </c>
      <c r="F2225" s="15" t="str">
        <f>"2170672508 "</f>
        <v xml:space="preserve">2170672508 </v>
      </c>
      <c r="G2225" s="15" t="str">
        <f t="shared" si="68"/>
        <v>ON1</v>
      </c>
      <c r="H2225" s="15" t="s">
        <v>20</v>
      </c>
      <c r="I2225" s="15" t="s">
        <v>199</v>
      </c>
      <c r="J2225" s="15" t="str">
        <f>""</f>
        <v/>
      </c>
      <c r="K2225" s="15" t="str">
        <f>"PFES1162673571_0001"</f>
        <v>PFES1162673571_0001</v>
      </c>
      <c r="L2225" s="15">
        <v>1</v>
      </c>
      <c r="M2225" s="15">
        <v>1</v>
      </c>
    </row>
    <row r="2226" spans="1:13">
      <c r="A2226" s="6">
        <v>43511</v>
      </c>
      <c r="B2226" s="7">
        <v>0.60069444444444442</v>
      </c>
      <c r="C2226" s="15" t="str">
        <f>"FES1162673477"</f>
        <v>FES1162673477</v>
      </c>
      <c r="D2226" s="15" t="s">
        <v>18</v>
      </c>
      <c r="E2226" s="15" t="s">
        <v>967</v>
      </c>
      <c r="F2226" s="15" t="str">
        <f>"2170674588 "</f>
        <v xml:space="preserve">2170674588 </v>
      </c>
      <c r="G2226" s="15" t="str">
        <f t="shared" si="68"/>
        <v>ON1</v>
      </c>
      <c r="H2226" s="15" t="s">
        <v>20</v>
      </c>
      <c r="I2226" s="15" t="s">
        <v>117</v>
      </c>
      <c r="J2226" s="15" t="str">
        <f>""</f>
        <v/>
      </c>
      <c r="K2226" s="15" t="str">
        <f>"PFES1162673477_0001"</f>
        <v>PFES1162673477_0001</v>
      </c>
      <c r="L2226" s="15">
        <v>1</v>
      </c>
      <c r="M2226" s="15">
        <v>1</v>
      </c>
    </row>
    <row r="2227" spans="1:13">
      <c r="A2227" s="6">
        <v>43511</v>
      </c>
      <c r="B2227" s="7">
        <v>0.6</v>
      </c>
      <c r="C2227" s="15" t="str">
        <f>"FES1162673498"</f>
        <v>FES1162673498</v>
      </c>
      <c r="D2227" s="15" t="s">
        <v>18</v>
      </c>
      <c r="E2227" s="15" t="s">
        <v>968</v>
      </c>
      <c r="F2227" s="15" t="str">
        <f>"2170674620 "</f>
        <v xml:space="preserve">2170674620 </v>
      </c>
      <c r="G2227" s="15" t="str">
        <f t="shared" si="68"/>
        <v>ON1</v>
      </c>
      <c r="H2227" s="15" t="s">
        <v>20</v>
      </c>
      <c r="I2227" s="15" t="s">
        <v>182</v>
      </c>
      <c r="J2227" s="15" t="str">
        <f>""</f>
        <v/>
      </c>
      <c r="K2227" s="15" t="str">
        <f>"PFES1162673498_0001"</f>
        <v>PFES1162673498_0001</v>
      </c>
      <c r="L2227" s="15">
        <v>1</v>
      </c>
      <c r="M2227" s="15">
        <v>1</v>
      </c>
    </row>
    <row r="2228" spans="1:13">
      <c r="A2228" s="6">
        <v>43511</v>
      </c>
      <c r="B2228" s="7">
        <v>0.6</v>
      </c>
      <c r="C2228" s="15" t="str">
        <f>"FES1162673475"</f>
        <v>FES1162673475</v>
      </c>
      <c r="D2228" s="15" t="s">
        <v>18</v>
      </c>
      <c r="E2228" s="15" t="s">
        <v>328</v>
      </c>
      <c r="F2228" s="15" t="str">
        <f>"2170674526 "</f>
        <v xml:space="preserve">2170674526 </v>
      </c>
      <c r="G2228" s="15" t="str">
        <f t="shared" si="68"/>
        <v>ON1</v>
      </c>
      <c r="H2228" s="15" t="s">
        <v>20</v>
      </c>
      <c r="I2228" s="15" t="s">
        <v>29</v>
      </c>
      <c r="J2228" s="15" t="str">
        <f>""</f>
        <v/>
      </c>
      <c r="K2228" s="15" t="str">
        <f>"PFES1162673475_0001"</f>
        <v>PFES1162673475_0001</v>
      </c>
      <c r="L2228" s="15">
        <v>1</v>
      </c>
      <c r="M2228" s="15">
        <v>2</v>
      </c>
    </row>
    <row r="2229" spans="1:13">
      <c r="A2229" s="6">
        <v>43511</v>
      </c>
      <c r="B2229" s="7">
        <v>0.59930555555555554</v>
      </c>
      <c r="C2229" s="15" t="str">
        <f>"FES1162673517"</f>
        <v>FES1162673517</v>
      </c>
      <c r="D2229" s="15" t="s">
        <v>18</v>
      </c>
      <c r="E2229" s="15" t="s">
        <v>88</v>
      </c>
      <c r="F2229" s="15" t="str">
        <f>"2170674645 "</f>
        <v xml:space="preserve">2170674645 </v>
      </c>
      <c r="G2229" s="15" t="str">
        <f t="shared" si="68"/>
        <v>ON1</v>
      </c>
      <c r="H2229" s="15" t="s">
        <v>20</v>
      </c>
      <c r="I2229" s="15" t="s">
        <v>53</v>
      </c>
      <c r="J2229" s="15" t="str">
        <f>""</f>
        <v/>
      </c>
      <c r="K2229" s="15" t="str">
        <f>"PFES1162673517_0001"</f>
        <v>PFES1162673517_0001</v>
      </c>
      <c r="L2229" s="15">
        <v>1</v>
      </c>
      <c r="M2229" s="15">
        <v>1</v>
      </c>
    </row>
    <row r="2230" spans="1:13">
      <c r="A2230" s="6">
        <v>43511</v>
      </c>
      <c r="B2230" s="7">
        <v>0.54305555555555551</v>
      </c>
      <c r="C2230" s="15" t="str">
        <f>"FES1162673393"</f>
        <v>FES1162673393</v>
      </c>
      <c r="D2230" s="15" t="s">
        <v>18</v>
      </c>
      <c r="E2230" s="15" t="s">
        <v>888</v>
      </c>
      <c r="F2230" s="15" t="str">
        <f>"2170674558 "</f>
        <v xml:space="preserve">2170674558 </v>
      </c>
      <c r="G2230" s="15" t="str">
        <f t="shared" si="68"/>
        <v>ON1</v>
      </c>
      <c r="H2230" s="15" t="s">
        <v>20</v>
      </c>
      <c r="I2230" s="15" t="s">
        <v>262</v>
      </c>
      <c r="J2230" s="15" t="str">
        <f>""</f>
        <v/>
      </c>
      <c r="K2230" s="15" t="str">
        <f>"PFES1162673393_0001"</f>
        <v>PFES1162673393_0001</v>
      </c>
      <c r="L2230" s="15">
        <v>1</v>
      </c>
      <c r="M2230" s="15">
        <v>4</v>
      </c>
    </row>
    <row r="2231" spans="1:13">
      <c r="A2231" s="6">
        <v>43511</v>
      </c>
      <c r="B2231" s="7">
        <v>0.54305555555555551</v>
      </c>
      <c r="C2231" s="15" t="str">
        <f>"FES1162673464"</f>
        <v>FES1162673464</v>
      </c>
      <c r="D2231" s="15" t="s">
        <v>18</v>
      </c>
      <c r="E2231" s="15" t="s">
        <v>58</v>
      </c>
      <c r="F2231" s="15" t="str">
        <f>"2170672545 "</f>
        <v xml:space="preserve">2170672545 </v>
      </c>
      <c r="G2231" s="15" t="str">
        <f t="shared" si="68"/>
        <v>ON1</v>
      </c>
      <c r="H2231" s="15" t="s">
        <v>20</v>
      </c>
      <c r="I2231" s="15" t="s">
        <v>59</v>
      </c>
      <c r="J2231" s="15" t="str">
        <f>""</f>
        <v/>
      </c>
      <c r="K2231" s="15" t="str">
        <f>"PFES1162673464_0001"</f>
        <v>PFES1162673464_0001</v>
      </c>
      <c r="L2231" s="15">
        <v>1</v>
      </c>
      <c r="M2231" s="15">
        <v>1</v>
      </c>
    </row>
    <row r="2232" spans="1:13">
      <c r="A2232" s="6">
        <v>43511</v>
      </c>
      <c r="B2232" s="7">
        <v>0.54236111111111118</v>
      </c>
      <c r="C2232" s="15" t="str">
        <f>"FES1162673534"</f>
        <v>FES1162673534</v>
      </c>
      <c r="D2232" s="15" t="s">
        <v>18</v>
      </c>
      <c r="E2232" s="15" t="s">
        <v>969</v>
      </c>
      <c r="F2232" s="15" t="str">
        <f>"2170674658 "</f>
        <v xml:space="preserve">2170674658 </v>
      </c>
      <c r="G2232" s="15" t="str">
        <f t="shared" si="68"/>
        <v>ON1</v>
      </c>
      <c r="H2232" s="15" t="s">
        <v>20</v>
      </c>
      <c r="I2232" s="15" t="s">
        <v>128</v>
      </c>
      <c r="J2232" s="15" t="str">
        <f>""</f>
        <v/>
      </c>
      <c r="K2232" s="15" t="str">
        <f>"PFES1162673534_0001"</f>
        <v>PFES1162673534_0001</v>
      </c>
      <c r="L2232" s="15">
        <v>1</v>
      </c>
      <c r="M2232" s="15">
        <v>1</v>
      </c>
    </row>
    <row r="2233" spans="1:13">
      <c r="A2233" s="6">
        <v>43511</v>
      </c>
      <c r="B2233" s="7">
        <v>0.54166666666666663</v>
      </c>
      <c r="C2233" s="15" t="str">
        <f>"FES1162673345"</f>
        <v>FES1162673345</v>
      </c>
      <c r="D2233" s="15" t="s">
        <v>18</v>
      </c>
      <c r="E2233" s="15" t="s">
        <v>776</v>
      </c>
      <c r="F2233" s="15" t="str">
        <f>"2170671584 "</f>
        <v xml:space="preserve">2170671584 </v>
      </c>
      <c r="G2233" s="15" t="str">
        <f t="shared" si="68"/>
        <v>ON1</v>
      </c>
      <c r="H2233" s="15" t="s">
        <v>20</v>
      </c>
      <c r="I2233" s="15" t="s">
        <v>103</v>
      </c>
      <c r="J2233" s="15" t="str">
        <f>""</f>
        <v/>
      </c>
      <c r="K2233" s="15" t="str">
        <f>"PFES1162673345_0001"</f>
        <v>PFES1162673345_0001</v>
      </c>
      <c r="L2233" s="15">
        <v>1</v>
      </c>
      <c r="M2233" s="15">
        <v>6</v>
      </c>
    </row>
    <row r="2234" spans="1:13">
      <c r="A2234" s="6">
        <v>43511</v>
      </c>
      <c r="B2234" s="7">
        <v>0.54166666666666663</v>
      </c>
      <c r="C2234" s="15" t="str">
        <f>"FES1162673497"</f>
        <v>FES1162673497</v>
      </c>
      <c r="D2234" s="15" t="s">
        <v>18</v>
      </c>
      <c r="E2234" s="15" t="s">
        <v>534</v>
      </c>
      <c r="F2234" s="15" t="str">
        <f>"2170674616 "</f>
        <v xml:space="preserve">2170674616 </v>
      </c>
      <c r="G2234" s="15" t="str">
        <f t="shared" si="68"/>
        <v>ON1</v>
      </c>
      <c r="H2234" s="15" t="s">
        <v>20</v>
      </c>
      <c r="I2234" s="15" t="s">
        <v>535</v>
      </c>
      <c r="J2234" s="15" t="str">
        <f>""</f>
        <v/>
      </c>
      <c r="K2234" s="15" t="str">
        <f>"PFES1162673497_0001"</f>
        <v>PFES1162673497_0001</v>
      </c>
      <c r="L2234" s="15">
        <v>1</v>
      </c>
      <c r="M2234" s="15">
        <v>1</v>
      </c>
    </row>
    <row r="2235" spans="1:13">
      <c r="A2235" s="6">
        <v>43511</v>
      </c>
      <c r="B2235" s="7">
        <v>0.54097222222222219</v>
      </c>
      <c r="C2235" s="15" t="str">
        <f>"FES1162673379"</f>
        <v>FES1162673379</v>
      </c>
      <c r="D2235" s="15" t="s">
        <v>18</v>
      </c>
      <c r="E2235" s="15" t="s">
        <v>299</v>
      </c>
      <c r="F2235" s="15" t="str">
        <f>"2170673345 "</f>
        <v xml:space="preserve">2170673345 </v>
      </c>
      <c r="G2235" s="15" t="str">
        <f t="shared" si="68"/>
        <v>ON1</v>
      </c>
      <c r="H2235" s="15" t="s">
        <v>20</v>
      </c>
      <c r="I2235" s="15" t="s">
        <v>43</v>
      </c>
      <c r="J2235" s="15" t="str">
        <f>""</f>
        <v/>
      </c>
      <c r="K2235" s="15" t="str">
        <f>"PFES1162673379_0001"</f>
        <v>PFES1162673379_0001</v>
      </c>
      <c r="L2235" s="15">
        <v>1</v>
      </c>
      <c r="M2235" s="15">
        <v>1</v>
      </c>
    </row>
    <row r="2236" spans="1:13">
      <c r="A2236" s="6">
        <v>43511</v>
      </c>
      <c r="B2236" s="7">
        <v>0.54097222222222219</v>
      </c>
      <c r="C2236" s="15" t="str">
        <f>"FES1162673445"</f>
        <v>FES1162673445</v>
      </c>
      <c r="D2236" s="15" t="s">
        <v>18</v>
      </c>
      <c r="E2236" s="15" t="s">
        <v>941</v>
      </c>
      <c r="F2236" s="15" t="str">
        <f>"2170672049 "</f>
        <v xml:space="preserve">2170672049 </v>
      </c>
      <c r="G2236" s="15" t="str">
        <f t="shared" si="68"/>
        <v>ON1</v>
      </c>
      <c r="H2236" s="15" t="s">
        <v>20</v>
      </c>
      <c r="I2236" s="15" t="s">
        <v>237</v>
      </c>
      <c r="J2236" s="15" t="str">
        <f>""</f>
        <v/>
      </c>
      <c r="K2236" s="15" t="str">
        <f>"PFES1162673445_0001"</f>
        <v>PFES1162673445_0001</v>
      </c>
      <c r="L2236" s="15">
        <v>1</v>
      </c>
      <c r="M2236" s="15">
        <v>2</v>
      </c>
    </row>
    <row r="2237" spans="1:13">
      <c r="A2237" s="6">
        <v>43511</v>
      </c>
      <c r="B2237" s="7">
        <v>0.54027777777777775</v>
      </c>
      <c r="C2237" s="15" t="str">
        <f>"FES1162673344"</f>
        <v>FES1162673344</v>
      </c>
      <c r="D2237" s="15" t="s">
        <v>18</v>
      </c>
      <c r="E2237" s="15" t="s">
        <v>299</v>
      </c>
      <c r="F2237" s="15" t="str">
        <f>"2170671529 "</f>
        <v xml:space="preserve">2170671529 </v>
      </c>
      <c r="G2237" s="15" t="str">
        <f t="shared" si="68"/>
        <v>ON1</v>
      </c>
      <c r="H2237" s="15" t="s">
        <v>20</v>
      </c>
      <c r="I2237" s="15" t="s">
        <v>43</v>
      </c>
      <c r="J2237" s="15" t="str">
        <f>""</f>
        <v/>
      </c>
      <c r="K2237" s="15" t="str">
        <f>"PFES1162673344_0001"</f>
        <v>PFES1162673344_0001</v>
      </c>
      <c r="L2237" s="15">
        <v>1</v>
      </c>
      <c r="M2237" s="15">
        <v>10</v>
      </c>
    </row>
    <row r="2238" spans="1:13">
      <c r="A2238" s="6">
        <v>43511</v>
      </c>
      <c r="B2238" s="7">
        <v>0.54027777777777775</v>
      </c>
      <c r="C2238" s="15" t="str">
        <f>"FES1162673395"</f>
        <v>FES1162673395</v>
      </c>
      <c r="D2238" s="15" t="s">
        <v>18</v>
      </c>
      <c r="E2238" s="15" t="s">
        <v>235</v>
      </c>
      <c r="F2238" s="15" t="str">
        <f>"2170674561 "</f>
        <v xml:space="preserve">2170674561 </v>
      </c>
      <c r="G2238" s="15" t="str">
        <f t="shared" si="68"/>
        <v>ON1</v>
      </c>
      <c r="H2238" s="15" t="s">
        <v>20</v>
      </c>
      <c r="I2238" s="15" t="s">
        <v>143</v>
      </c>
      <c r="J2238" s="15" t="str">
        <f>""</f>
        <v/>
      </c>
      <c r="K2238" s="15" t="str">
        <f>"PFES1162673395_0001"</f>
        <v>PFES1162673395_0001</v>
      </c>
      <c r="L2238" s="15">
        <v>1</v>
      </c>
      <c r="M2238" s="15">
        <v>1</v>
      </c>
    </row>
    <row r="2239" spans="1:13">
      <c r="A2239" s="6">
        <v>43511</v>
      </c>
      <c r="B2239" s="7">
        <v>0.5395833333333333</v>
      </c>
      <c r="C2239" s="15" t="str">
        <f>"FES1162673512"</f>
        <v>FES1162673512</v>
      </c>
      <c r="D2239" s="15" t="s">
        <v>18</v>
      </c>
      <c r="E2239" s="15" t="s">
        <v>64</v>
      </c>
      <c r="F2239" s="15" t="str">
        <f>"2170674634 "</f>
        <v xml:space="preserve">2170674634 </v>
      </c>
      <c r="G2239" s="15" t="str">
        <f t="shared" si="68"/>
        <v>ON1</v>
      </c>
      <c r="H2239" s="15" t="s">
        <v>20</v>
      </c>
      <c r="I2239" s="15" t="s">
        <v>65</v>
      </c>
      <c r="J2239" s="15" t="str">
        <f>""</f>
        <v/>
      </c>
      <c r="K2239" s="15" t="str">
        <f>"PFES1162673512_0001"</f>
        <v>PFES1162673512_0001</v>
      </c>
      <c r="L2239" s="15">
        <v>1</v>
      </c>
      <c r="M2239" s="15">
        <v>1</v>
      </c>
    </row>
    <row r="2240" spans="1:13">
      <c r="A2240" s="6">
        <v>43511</v>
      </c>
      <c r="B2240" s="7">
        <v>0.5395833333333333</v>
      </c>
      <c r="C2240" s="15" t="str">
        <f>"FES1162673363"</f>
        <v>FES1162673363</v>
      </c>
      <c r="D2240" s="15" t="s">
        <v>18</v>
      </c>
      <c r="E2240" s="15" t="s">
        <v>92</v>
      </c>
      <c r="F2240" s="15" t="str">
        <f>"2170672885 "</f>
        <v xml:space="preserve">2170672885 </v>
      </c>
      <c r="G2240" s="15" t="str">
        <f t="shared" si="68"/>
        <v>ON1</v>
      </c>
      <c r="H2240" s="15" t="s">
        <v>20</v>
      </c>
      <c r="I2240" s="15" t="s">
        <v>93</v>
      </c>
      <c r="J2240" s="15" t="str">
        <f>""</f>
        <v/>
      </c>
      <c r="K2240" s="15" t="str">
        <f>"PFES1162673363_0001"</f>
        <v>PFES1162673363_0001</v>
      </c>
      <c r="L2240" s="15">
        <v>1</v>
      </c>
      <c r="M2240" s="15">
        <v>2</v>
      </c>
    </row>
    <row r="2241" spans="1:13">
      <c r="A2241" s="6">
        <v>43511</v>
      </c>
      <c r="B2241" s="7">
        <v>0.5395833333333333</v>
      </c>
      <c r="C2241" s="15" t="str">
        <f>"FES1162673439"</f>
        <v>FES1162673439</v>
      </c>
      <c r="D2241" s="15" t="s">
        <v>18</v>
      </c>
      <c r="E2241" s="15" t="s">
        <v>811</v>
      </c>
      <c r="F2241" s="15" t="str">
        <f>"2170671886 "</f>
        <v xml:space="preserve">2170671886 </v>
      </c>
      <c r="G2241" s="15" t="str">
        <f t="shared" si="68"/>
        <v>ON1</v>
      </c>
      <c r="H2241" s="15" t="s">
        <v>20</v>
      </c>
      <c r="I2241" s="15" t="s">
        <v>239</v>
      </c>
      <c r="J2241" s="15" t="str">
        <f>""</f>
        <v/>
      </c>
      <c r="K2241" s="15" t="str">
        <f>"PFES1162673439_0001"</f>
        <v>PFES1162673439_0001</v>
      </c>
      <c r="L2241" s="15">
        <v>1</v>
      </c>
      <c r="M2241" s="15">
        <v>1</v>
      </c>
    </row>
    <row r="2242" spans="1:13">
      <c r="A2242" s="6">
        <v>43511</v>
      </c>
      <c r="B2242" s="7">
        <v>0.53819444444444442</v>
      </c>
      <c r="C2242" s="15" t="str">
        <f>"FES1162673438"</f>
        <v>FES1162673438</v>
      </c>
      <c r="D2242" s="15" t="s">
        <v>18</v>
      </c>
      <c r="E2242" s="15" t="s">
        <v>230</v>
      </c>
      <c r="F2242" s="15" t="str">
        <f>"2170671881 1"</f>
        <v>2170671881 1</v>
      </c>
      <c r="G2242" s="15" t="str">
        <f t="shared" si="68"/>
        <v>ON1</v>
      </c>
      <c r="H2242" s="15" t="s">
        <v>20</v>
      </c>
      <c r="I2242" s="15" t="s">
        <v>231</v>
      </c>
      <c r="J2242" s="15" t="str">
        <f>""</f>
        <v/>
      </c>
      <c r="K2242" s="15" t="str">
        <f>"PFES1162673438_0001"</f>
        <v>PFES1162673438_0001</v>
      </c>
      <c r="L2242" s="15">
        <v>1</v>
      </c>
      <c r="M2242" s="15">
        <v>2</v>
      </c>
    </row>
    <row r="2243" spans="1:13">
      <c r="A2243" s="6">
        <v>43511</v>
      </c>
      <c r="B2243" s="7">
        <v>0.53749999999999998</v>
      </c>
      <c r="C2243" s="15" t="str">
        <f>"FES1162673467"</f>
        <v>FES1162673467</v>
      </c>
      <c r="D2243" s="15" t="s">
        <v>18</v>
      </c>
      <c r="E2243" s="15" t="s">
        <v>944</v>
      </c>
      <c r="F2243" s="15" t="str">
        <f>"2170672653 "</f>
        <v xml:space="preserve">2170672653 </v>
      </c>
      <c r="G2243" s="15" t="str">
        <f t="shared" si="68"/>
        <v>ON1</v>
      </c>
      <c r="H2243" s="15" t="s">
        <v>20</v>
      </c>
      <c r="I2243" s="15" t="s">
        <v>945</v>
      </c>
      <c r="J2243" s="15" t="str">
        <f>""</f>
        <v/>
      </c>
      <c r="K2243" s="15" t="str">
        <f>"PFES1162673467_0001"</f>
        <v>PFES1162673467_0001</v>
      </c>
      <c r="L2243" s="15">
        <v>1</v>
      </c>
      <c r="M2243" s="15">
        <v>3</v>
      </c>
    </row>
    <row r="2244" spans="1:13">
      <c r="A2244" s="6">
        <v>43511</v>
      </c>
      <c r="B2244" s="7">
        <v>0.53541666666666665</v>
      </c>
      <c r="C2244" s="15" t="str">
        <f>"FES1162673459"</f>
        <v>FES1162673459</v>
      </c>
      <c r="D2244" s="15" t="s">
        <v>18</v>
      </c>
      <c r="E2244" s="15" t="s">
        <v>120</v>
      </c>
      <c r="F2244" s="15" t="str">
        <f>"2170672334 "</f>
        <v xml:space="preserve">2170672334 </v>
      </c>
      <c r="G2244" s="15" t="str">
        <f t="shared" si="68"/>
        <v>ON1</v>
      </c>
      <c r="H2244" s="15" t="s">
        <v>20</v>
      </c>
      <c r="I2244" s="15" t="s">
        <v>121</v>
      </c>
      <c r="J2244" s="15" t="str">
        <f>""</f>
        <v/>
      </c>
      <c r="K2244" s="15" t="str">
        <f>"PFES1162673459_0001"</f>
        <v>PFES1162673459_0001</v>
      </c>
      <c r="L2244" s="15">
        <v>1</v>
      </c>
      <c r="M2244" s="15">
        <v>1</v>
      </c>
    </row>
    <row r="2245" spans="1:13">
      <c r="A2245" s="6">
        <v>43511</v>
      </c>
      <c r="B2245" s="7">
        <v>0.53472222222222221</v>
      </c>
      <c r="C2245" s="15" t="str">
        <f>"FES1162673505"</f>
        <v>FES1162673505</v>
      </c>
      <c r="D2245" s="15" t="s">
        <v>18</v>
      </c>
      <c r="E2245" s="15" t="s">
        <v>212</v>
      </c>
      <c r="F2245" s="15" t="str">
        <f>"2170674625 "</f>
        <v xml:space="preserve">2170674625 </v>
      </c>
      <c r="G2245" s="15" t="str">
        <f t="shared" si="68"/>
        <v>ON1</v>
      </c>
      <c r="H2245" s="15" t="s">
        <v>20</v>
      </c>
      <c r="I2245" s="15" t="s">
        <v>213</v>
      </c>
      <c r="J2245" s="15" t="str">
        <f>""</f>
        <v/>
      </c>
      <c r="K2245" s="15" t="str">
        <f>"PFES1162673505_0001"</f>
        <v>PFES1162673505_0001</v>
      </c>
      <c r="L2245" s="15">
        <v>1</v>
      </c>
      <c r="M2245" s="15">
        <v>5</v>
      </c>
    </row>
    <row r="2246" spans="1:13">
      <c r="A2246" s="6">
        <v>43511</v>
      </c>
      <c r="B2246" s="7">
        <v>0.53402777777777777</v>
      </c>
      <c r="C2246" s="15" t="str">
        <f>"FES1162673543"</f>
        <v>FES1162673543</v>
      </c>
      <c r="D2246" s="15" t="s">
        <v>18</v>
      </c>
      <c r="E2246" s="15" t="s">
        <v>970</v>
      </c>
      <c r="F2246" s="15" t="str">
        <f>"2170674654 "</f>
        <v xml:space="preserve">2170674654 </v>
      </c>
      <c r="G2246" s="15" t="str">
        <f>"SDX"</f>
        <v>SDX</v>
      </c>
      <c r="H2246" s="15" t="s">
        <v>20</v>
      </c>
      <c r="I2246" s="15" t="s">
        <v>286</v>
      </c>
      <c r="J2246" s="15" t="str">
        <f>"SAME DAY, HOLD FOR COLLECTION BY CLIENT"</f>
        <v>SAME DAY, HOLD FOR COLLECTION BY CLIENT</v>
      </c>
      <c r="K2246" s="15" t="str">
        <f>"PFES1162673543_0001"</f>
        <v>PFES1162673543_0001</v>
      </c>
      <c r="L2246" s="15">
        <v>1</v>
      </c>
      <c r="M2246" s="15">
        <v>1</v>
      </c>
    </row>
    <row r="2247" spans="1:13">
      <c r="A2247" s="6">
        <v>43511</v>
      </c>
      <c r="B2247" s="7">
        <v>0.53402777777777777</v>
      </c>
      <c r="C2247" s="15" t="str">
        <f>"FES1162673504"</f>
        <v>FES1162673504</v>
      </c>
      <c r="D2247" s="15" t="s">
        <v>18</v>
      </c>
      <c r="E2247" s="15" t="s">
        <v>138</v>
      </c>
      <c r="F2247" s="15" t="str">
        <f>"2170674614 "</f>
        <v xml:space="preserve">2170674614 </v>
      </c>
      <c r="G2247" s="15" t="str">
        <f t="shared" ref="G2247:G2310" si="69">"ON1"</f>
        <v>ON1</v>
      </c>
      <c r="H2247" s="15" t="s">
        <v>20</v>
      </c>
      <c r="I2247" s="15" t="s">
        <v>139</v>
      </c>
      <c r="J2247" s="15" t="str">
        <f>""</f>
        <v/>
      </c>
      <c r="K2247" s="15" t="str">
        <f>"PFES1162673504_0001"</f>
        <v>PFES1162673504_0001</v>
      </c>
      <c r="L2247" s="15">
        <v>1</v>
      </c>
      <c r="M2247" s="15">
        <v>2</v>
      </c>
    </row>
    <row r="2248" spans="1:13">
      <c r="A2248" s="6">
        <v>43511</v>
      </c>
      <c r="B2248" s="7">
        <v>0.53194444444444444</v>
      </c>
      <c r="C2248" s="15" t="str">
        <f>"FES1162673484"</f>
        <v>FES1162673484</v>
      </c>
      <c r="D2248" s="15" t="s">
        <v>18</v>
      </c>
      <c r="E2248" s="15" t="s">
        <v>110</v>
      </c>
      <c r="F2248" s="15" t="str">
        <f>"2170674598 "</f>
        <v xml:space="preserve">2170674598 </v>
      </c>
      <c r="G2248" s="15" t="str">
        <f t="shared" si="69"/>
        <v>ON1</v>
      </c>
      <c r="H2248" s="15" t="s">
        <v>20</v>
      </c>
      <c r="I2248" s="15" t="s">
        <v>111</v>
      </c>
      <c r="J2248" s="15" t="str">
        <f>""</f>
        <v/>
      </c>
      <c r="K2248" s="15" t="str">
        <f>"PFES1162673484_0001"</f>
        <v>PFES1162673484_0001</v>
      </c>
      <c r="L2248" s="15">
        <v>1</v>
      </c>
      <c r="M2248" s="15">
        <v>7</v>
      </c>
    </row>
    <row r="2249" spans="1:13">
      <c r="A2249" s="6">
        <v>43511</v>
      </c>
      <c r="B2249" s="7">
        <v>0.52708333333333335</v>
      </c>
      <c r="C2249" s="15" t="str">
        <f>"FES1162673391"</f>
        <v>FES1162673391</v>
      </c>
      <c r="D2249" s="15" t="s">
        <v>18</v>
      </c>
      <c r="E2249" s="15" t="s">
        <v>971</v>
      </c>
      <c r="F2249" s="15" t="str">
        <f>"2170674553 "</f>
        <v xml:space="preserve">2170674553 </v>
      </c>
      <c r="G2249" s="15" t="str">
        <f t="shared" si="69"/>
        <v>ON1</v>
      </c>
      <c r="H2249" s="15" t="s">
        <v>20</v>
      </c>
      <c r="I2249" s="15" t="s">
        <v>353</v>
      </c>
      <c r="J2249" s="15" t="str">
        <f>""</f>
        <v/>
      </c>
      <c r="K2249" s="15" t="str">
        <f>"PFES1162673391_0001"</f>
        <v>PFES1162673391_0001</v>
      </c>
      <c r="L2249" s="15">
        <v>1</v>
      </c>
      <c r="M2249" s="15">
        <v>3</v>
      </c>
    </row>
    <row r="2250" spans="1:13">
      <c r="A2250" s="6">
        <v>43511</v>
      </c>
      <c r="B2250" s="7">
        <v>0.52500000000000002</v>
      </c>
      <c r="C2250" s="15" t="str">
        <f>"FES1162673533"</f>
        <v>FES1162673533</v>
      </c>
      <c r="D2250" s="15" t="s">
        <v>18</v>
      </c>
      <c r="E2250" s="15" t="s">
        <v>174</v>
      </c>
      <c r="F2250" s="15" t="str">
        <f>"2170674657 "</f>
        <v xml:space="preserve">2170674657 </v>
      </c>
      <c r="G2250" s="15" t="str">
        <f t="shared" si="69"/>
        <v>ON1</v>
      </c>
      <c r="H2250" s="15" t="s">
        <v>20</v>
      </c>
      <c r="I2250" s="15" t="s">
        <v>175</v>
      </c>
      <c r="J2250" s="15" t="str">
        <f>""</f>
        <v/>
      </c>
      <c r="K2250" s="15" t="str">
        <f>"PFES1162673533_0001"</f>
        <v>PFES1162673533_0001</v>
      </c>
      <c r="L2250" s="15">
        <v>1</v>
      </c>
      <c r="M2250" s="15">
        <v>1</v>
      </c>
    </row>
    <row r="2251" spans="1:13">
      <c r="A2251" s="6">
        <v>43511</v>
      </c>
      <c r="B2251" s="7">
        <v>0.52152777777777781</v>
      </c>
      <c r="C2251" s="15" t="str">
        <f>"FES1162673357"</f>
        <v>FES1162673357</v>
      </c>
      <c r="D2251" s="15" t="s">
        <v>18</v>
      </c>
      <c r="E2251" s="15" t="s">
        <v>634</v>
      </c>
      <c r="F2251" s="15" t="str">
        <f>"2170672826 "</f>
        <v xml:space="preserve">2170672826 </v>
      </c>
      <c r="G2251" s="15" t="str">
        <f t="shared" si="69"/>
        <v>ON1</v>
      </c>
      <c r="H2251" s="15" t="s">
        <v>20</v>
      </c>
      <c r="I2251" s="15" t="s">
        <v>635</v>
      </c>
      <c r="J2251" s="15" t="str">
        <f>""</f>
        <v/>
      </c>
      <c r="K2251" s="15" t="str">
        <f>"PFES1162673357_0001"</f>
        <v>PFES1162673357_0001</v>
      </c>
      <c r="L2251" s="15">
        <v>1</v>
      </c>
      <c r="M2251" s="15">
        <v>3</v>
      </c>
    </row>
    <row r="2252" spans="1:13">
      <c r="A2252" s="6">
        <v>43511</v>
      </c>
      <c r="B2252" s="7">
        <v>0.52013888888888882</v>
      </c>
      <c r="C2252" s="15" t="str">
        <f>"FES1162673434"</f>
        <v>FES1162673434</v>
      </c>
      <c r="D2252" s="15" t="s">
        <v>18</v>
      </c>
      <c r="E2252" s="15" t="s">
        <v>454</v>
      </c>
      <c r="F2252" s="15" t="str">
        <f>"2170671822 "</f>
        <v xml:space="preserve">2170671822 </v>
      </c>
      <c r="G2252" s="15" t="str">
        <f t="shared" si="69"/>
        <v>ON1</v>
      </c>
      <c r="H2252" s="15" t="s">
        <v>20</v>
      </c>
      <c r="I2252" s="15" t="s">
        <v>455</v>
      </c>
      <c r="J2252" s="15" t="str">
        <f>""</f>
        <v/>
      </c>
      <c r="K2252" s="15" t="str">
        <f>"PFES1162673434_0001"</f>
        <v>PFES1162673434_0001</v>
      </c>
      <c r="L2252" s="15">
        <v>1</v>
      </c>
      <c r="M2252" s="15">
        <v>1</v>
      </c>
    </row>
    <row r="2253" spans="1:13">
      <c r="A2253" s="6">
        <v>43511</v>
      </c>
      <c r="B2253" s="7">
        <v>0.51666666666666672</v>
      </c>
      <c r="C2253" s="15" t="str">
        <f>"FES1162673496"</f>
        <v>FES1162673496</v>
      </c>
      <c r="D2253" s="15" t="s">
        <v>18</v>
      </c>
      <c r="E2253" s="15" t="s">
        <v>138</v>
      </c>
      <c r="F2253" s="15" t="str">
        <f>"2170674614 "</f>
        <v xml:space="preserve">2170674614 </v>
      </c>
      <c r="G2253" s="15" t="str">
        <f t="shared" si="69"/>
        <v>ON1</v>
      </c>
      <c r="H2253" s="15" t="s">
        <v>20</v>
      </c>
      <c r="I2253" s="15" t="s">
        <v>139</v>
      </c>
      <c r="J2253" s="15" t="str">
        <f>""</f>
        <v/>
      </c>
      <c r="K2253" s="15" t="str">
        <f>"PFES1162673496_0001"</f>
        <v>PFES1162673496_0001</v>
      </c>
      <c r="L2253" s="15">
        <v>1</v>
      </c>
      <c r="M2253" s="15">
        <v>3</v>
      </c>
    </row>
    <row r="2254" spans="1:13">
      <c r="A2254" s="6">
        <v>43511</v>
      </c>
      <c r="B2254" s="7">
        <v>0.51597222222222217</v>
      </c>
      <c r="C2254" s="15" t="str">
        <f>"FES1162673392"</f>
        <v>FES1162673392</v>
      </c>
      <c r="D2254" s="15" t="s">
        <v>18</v>
      </c>
      <c r="E2254" s="15" t="s">
        <v>195</v>
      </c>
      <c r="F2254" s="15" t="str">
        <f>"2170674557 "</f>
        <v xml:space="preserve">2170674557 </v>
      </c>
      <c r="G2254" s="15" t="str">
        <f t="shared" si="69"/>
        <v>ON1</v>
      </c>
      <c r="H2254" s="15" t="s">
        <v>20</v>
      </c>
      <c r="I2254" s="15" t="s">
        <v>96</v>
      </c>
      <c r="J2254" s="15" t="str">
        <f>""</f>
        <v/>
      </c>
      <c r="K2254" s="15" t="str">
        <f>"PFES1162673392_0001"</f>
        <v>PFES1162673392_0001</v>
      </c>
      <c r="L2254" s="15">
        <v>1</v>
      </c>
      <c r="M2254" s="15">
        <v>2</v>
      </c>
    </row>
    <row r="2255" spans="1:13">
      <c r="A2255" s="6">
        <v>43511</v>
      </c>
      <c r="B2255" s="7">
        <v>0.51388888888888895</v>
      </c>
      <c r="C2255" s="15" t="str">
        <f>"FES1162673413"</f>
        <v>FES1162673413</v>
      </c>
      <c r="D2255" s="15" t="s">
        <v>18</v>
      </c>
      <c r="E2255" s="15" t="s">
        <v>19</v>
      </c>
      <c r="F2255" s="15" t="str">
        <f>"2170674578 "</f>
        <v xml:space="preserve">2170674578 </v>
      </c>
      <c r="G2255" s="15" t="str">
        <f t="shared" si="69"/>
        <v>ON1</v>
      </c>
      <c r="H2255" s="15" t="s">
        <v>20</v>
      </c>
      <c r="I2255" s="15" t="s">
        <v>21</v>
      </c>
      <c r="J2255" s="15" t="str">
        <f>""</f>
        <v/>
      </c>
      <c r="K2255" s="15" t="str">
        <f>"PFES1162673413_0001"</f>
        <v>PFES1162673413_0001</v>
      </c>
      <c r="L2255" s="15">
        <v>1</v>
      </c>
      <c r="M2255" s="15">
        <v>2</v>
      </c>
    </row>
    <row r="2256" spans="1:13">
      <c r="A2256" s="6">
        <v>43511</v>
      </c>
      <c r="B2256" s="7">
        <v>0.51041666666666663</v>
      </c>
      <c r="C2256" s="15" t="str">
        <f>"FES1162673417"</f>
        <v>FES1162673417</v>
      </c>
      <c r="D2256" s="15" t="s">
        <v>18</v>
      </c>
      <c r="E2256" s="15" t="s">
        <v>180</v>
      </c>
      <c r="F2256" s="15" t="str">
        <f>"2170674582 "</f>
        <v xml:space="preserve">2170674582 </v>
      </c>
      <c r="G2256" s="15" t="str">
        <f t="shared" si="69"/>
        <v>ON1</v>
      </c>
      <c r="H2256" s="15" t="s">
        <v>20</v>
      </c>
      <c r="I2256" s="15" t="s">
        <v>93</v>
      </c>
      <c r="J2256" s="15" t="str">
        <f>""</f>
        <v/>
      </c>
      <c r="K2256" s="15" t="str">
        <f>"PFES1162673417_0001"</f>
        <v>PFES1162673417_0001</v>
      </c>
      <c r="L2256" s="15">
        <v>1</v>
      </c>
      <c r="M2256" s="15">
        <v>1</v>
      </c>
    </row>
    <row r="2257" spans="1:13">
      <c r="A2257" s="6">
        <v>43511</v>
      </c>
      <c r="B2257" s="7">
        <v>0.51041666666666663</v>
      </c>
      <c r="C2257" s="15" t="str">
        <f>"FES1162673469"</f>
        <v>FES1162673469</v>
      </c>
      <c r="D2257" s="15" t="s">
        <v>18</v>
      </c>
      <c r="E2257" s="15" t="s">
        <v>154</v>
      </c>
      <c r="F2257" s="15" t="str">
        <f>"2170672977 "</f>
        <v xml:space="preserve">2170672977 </v>
      </c>
      <c r="G2257" s="15" t="str">
        <f t="shared" si="69"/>
        <v>ON1</v>
      </c>
      <c r="H2257" s="15" t="s">
        <v>20</v>
      </c>
      <c r="I2257" s="15" t="s">
        <v>67</v>
      </c>
      <c r="J2257" s="15" t="str">
        <f>""</f>
        <v/>
      </c>
      <c r="K2257" s="15" t="str">
        <f>"PFES1162673469_0001"</f>
        <v>PFES1162673469_0001</v>
      </c>
      <c r="L2257" s="15">
        <v>1</v>
      </c>
      <c r="M2257" s="15">
        <v>1</v>
      </c>
    </row>
    <row r="2258" spans="1:13">
      <c r="A2258" s="6">
        <v>43511</v>
      </c>
      <c r="B2258" s="7">
        <v>0.50972222222222219</v>
      </c>
      <c r="C2258" s="15" t="str">
        <f>"FES1162673408"</f>
        <v>FES1162673408</v>
      </c>
      <c r="D2258" s="15" t="s">
        <v>18</v>
      </c>
      <c r="E2258" s="15" t="s">
        <v>32</v>
      </c>
      <c r="F2258" s="15" t="str">
        <f>"2170674573 "</f>
        <v xml:space="preserve">2170674573 </v>
      </c>
      <c r="G2258" s="15" t="str">
        <f t="shared" si="69"/>
        <v>ON1</v>
      </c>
      <c r="H2258" s="15" t="s">
        <v>20</v>
      </c>
      <c r="I2258" s="15" t="s">
        <v>33</v>
      </c>
      <c r="J2258" s="15" t="str">
        <f>""</f>
        <v/>
      </c>
      <c r="K2258" s="15" t="str">
        <f>"PFES1162673408_0001"</f>
        <v>PFES1162673408_0001</v>
      </c>
      <c r="L2258" s="15">
        <v>1</v>
      </c>
      <c r="M2258" s="15">
        <v>1</v>
      </c>
    </row>
    <row r="2259" spans="1:13">
      <c r="A2259" s="6">
        <v>43511</v>
      </c>
      <c r="B2259" s="7">
        <v>0.50902777777777775</v>
      </c>
      <c r="C2259" s="15" t="str">
        <f>"FES1162673428"</f>
        <v>FES1162673428</v>
      </c>
      <c r="D2259" s="15" t="s">
        <v>18</v>
      </c>
      <c r="E2259" s="15" t="s">
        <v>798</v>
      </c>
      <c r="F2259" s="15" t="str">
        <f>"2170671598 "</f>
        <v xml:space="preserve">2170671598 </v>
      </c>
      <c r="G2259" s="15" t="str">
        <f t="shared" si="69"/>
        <v>ON1</v>
      </c>
      <c r="H2259" s="15" t="s">
        <v>20</v>
      </c>
      <c r="I2259" s="15" t="s">
        <v>433</v>
      </c>
      <c r="J2259" s="15" t="str">
        <f>""</f>
        <v/>
      </c>
      <c r="K2259" s="15" t="str">
        <f>"PFES1162673428_0001"</f>
        <v>PFES1162673428_0001</v>
      </c>
      <c r="L2259" s="15">
        <v>1</v>
      </c>
      <c r="M2259" s="15">
        <v>1</v>
      </c>
    </row>
    <row r="2260" spans="1:13">
      <c r="A2260" s="6">
        <v>43511</v>
      </c>
      <c r="B2260" s="7">
        <v>0.50902777777777775</v>
      </c>
      <c r="C2260" s="15" t="str">
        <f>"FES1162673440"</f>
        <v>FES1162673440</v>
      </c>
      <c r="D2260" s="15" t="s">
        <v>18</v>
      </c>
      <c r="E2260" s="15" t="s">
        <v>811</v>
      </c>
      <c r="F2260" s="15" t="str">
        <f>"2170671890 "</f>
        <v xml:space="preserve">2170671890 </v>
      </c>
      <c r="G2260" s="15" t="str">
        <f t="shared" si="69"/>
        <v>ON1</v>
      </c>
      <c r="H2260" s="15" t="s">
        <v>20</v>
      </c>
      <c r="I2260" s="15" t="s">
        <v>239</v>
      </c>
      <c r="J2260" s="15" t="str">
        <f>""</f>
        <v/>
      </c>
      <c r="K2260" s="15" t="str">
        <f>"PFES1162673440_0001"</f>
        <v>PFES1162673440_0001</v>
      </c>
      <c r="L2260" s="15">
        <v>1</v>
      </c>
      <c r="M2260" s="15">
        <v>1</v>
      </c>
    </row>
    <row r="2261" spans="1:13">
      <c r="A2261" s="6">
        <v>43511</v>
      </c>
      <c r="B2261" s="7">
        <v>0.5083333333333333</v>
      </c>
      <c r="C2261" s="15" t="str">
        <f>"FES1162673462"</f>
        <v>FES1162673462</v>
      </c>
      <c r="D2261" s="15" t="s">
        <v>18</v>
      </c>
      <c r="E2261" s="15" t="s">
        <v>382</v>
      </c>
      <c r="F2261" s="15" t="str">
        <f>"2170672509 "</f>
        <v xml:space="preserve">2170672509 </v>
      </c>
      <c r="G2261" s="15" t="str">
        <f t="shared" si="69"/>
        <v>ON1</v>
      </c>
      <c r="H2261" s="15" t="s">
        <v>20</v>
      </c>
      <c r="I2261" s="15" t="s">
        <v>383</v>
      </c>
      <c r="J2261" s="15" t="str">
        <f>""</f>
        <v/>
      </c>
      <c r="K2261" s="15" t="str">
        <f>"PFES1162673462_0001"</f>
        <v>PFES1162673462_0001</v>
      </c>
      <c r="L2261" s="15">
        <v>1</v>
      </c>
      <c r="M2261" s="15">
        <v>2</v>
      </c>
    </row>
    <row r="2262" spans="1:13">
      <c r="A2262" s="6">
        <v>43511</v>
      </c>
      <c r="B2262" s="7">
        <v>0.5083333333333333</v>
      </c>
      <c r="C2262" s="15" t="str">
        <f>"FES1162673468"</f>
        <v>FES1162673468</v>
      </c>
      <c r="D2262" s="15" t="s">
        <v>18</v>
      </c>
      <c r="E2262" s="15" t="s">
        <v>581</v>
      </c>
      <c r="F2262" s="15" t="str">
        <f>"2017672790 "</f>
        <v xml:space="preserve">2017672790 </v>
      </c>
      <c r="G2262" s="15" t="str">
        <f t="shared" si="69"/>
        <v>ON1</v>
      </c>
      <c r="H2262" s="15" t="s">
        <v>20</v>
      </c>
      <c r="I2262" s="15" t="s">
        <v>504</v>
      </c>
      <c r="J2262" s="15" t="str">
        <f>""</f>
        <v/>
      </c>
      <c r="K2262" s="15" t="str">
        <f>"PFES1162673468_0001"</f>
        <v>PFES1162673468_0001</v>
      </c>
      <c r="L2262" s="15">
        <v>1</v>
      </c>
      <c r="M2262" s="15">
        <v>1</v>
      </c>
    </row>
    <row r="2263" spans="1:13">
      <c r="A2263" s="6">
        <v>43511</v>
      </c>
      <c r="B2263" s="7">
        <v>0.50763888888888886</v>
      </c>
      <c r="C2263" s="15" t="str">
        <f>"FES1162673460"</f>
        <v>FES1162673460</v>
      </c>
      <c r="D2263" s="15" t="s">
        <v>18</v>
      </c>
      <c r="E2263" s="15" t="s">
        <v>151</v>
      </c>
      <c r="F2263" s="15" t="str">
        <f>"2170672384 "</f>
        <v xml:space="preserve">2170672384 </v>
      </c>
      <c r="G2263" s="15" t="str">
        <f t="shared" si="69"/>
        <v>ON1</v>
      </c>
      <c r="H2263" s="15" t="s">
        <v>20</v>
      </c>
      <c r="I2263" s="15" t="s">
        <v>63</v>
      </c>
      <c r="J2263" s="15" t="str">
        <f>""</f>
        <v/>
      </c>
      <c r="K2263" s="15" t="str">
        <f>"PFES1162673460_0001"</f>
        <v>PFES1162673460_0001</v>
      </c>
      <c r="L2263" s="15">
        <v>1</v>
      </c>
      <c r="M2263" s="15">
        <v>1</v>
      </c>
    </row>
    <row r="2264" spans="1:13">
      <c r="A2264" s="6">
        <v>43511</v>
      </c>
      <c r="B2264" s="7">
        <v>0.50416666666666665</v>
      </c>
      <c r="C2264" s="15" t="str">
        <f>"FES1162673339"</f>
        <v>FES1162673339</v>
      </c>
      <c r="D2264" s="15" t="s">
        <v>18</v>
      </c>
      <c r="E2264" s="15" t="s">
        <v>214</v>
      </c>
      <c r="F2264" s="15" t="str">
        <f>"2170674547 "</f>
        <v xml:space="preserve">2170674547 </v>
      </c>
      <c r="G2264" s="15" t="str">
        <f t="shared" si="69"/>
        <v>ON1</v>
      </c>
      <c r="H2264" s="15" t="s">
        <v>20</v>
      </c>
      <c r="I2264" s="15" t="s">
        <v>215</v>
      </c>
      <c r="J2264" s="15" t="str">
        <f>""</f>
        <v/>
      </c>
      <c r="K2264" s="15" t="str">
        <f>"PFES1162673339_0001"</f>
        <v>PFES1162673339_0001</v>
      </c>
      <c r="L2264" s="15">
        <v>1</v>
      </c>
      <c r="M2264" s="15">
        <v>3</v>
      </c>
    </row>
    <row r="2265" spans="1:13">
      <c r="A2265" s="6">
        <v>43511</v>
      </c>
      <c r="B2265" s="7">
        <v>0.50277777777777777</v>
      </c>
      <c r="C2265" s="15" t="str">
        <f>"FES1162673418"</f>
        <v>FES1162673418</v>
      </c>
      <c r="D2265" s="15" t="s">
        <v>18</v>
      </c>
      <c r="E2265" s="15" t="s">
        <v>972</v>
      </c>
      <c r="F2265" s="15" t="str">
        <f>"2170674529 "</f>
        <v xml:space="preserve">2170674529 </v>
      </c>
      <c r="G2265" s="15" t="str">
        <f t="shared" si="69"/>
        <v>ON1</v>
      </c>
      <c r="H2265" s="15" t="s">
        <v>20</v>
      </c>
      <c r="I2265" s="15" t="s">
        <v>886</v>
      </c>
      <c r="J2265" s="15" t="str">
        <f>""</f>
        <v/>
      </c>
      <c r="K2265" s="15" t="str">
        <f>"PFES1162673418_0001"</f>
        <v>PFES1162673418_0001</v>
      </c>
      <c r="L2265" s="15">
        <v>1</v>
      </c>
      <c r="M2265" s="15">
        <v>2</v>
      </c>
    </row>
    <row r="2266" spans="1:13">
      <c r="A2266" s="6">
        <v>43511</v>
      </c>
      <c r="B2266" s="7">
        <v>0.50208333333333333</v>
      </c>
      <c r="C2266" s="15" t="str">
        <f>"FES1162673338"</f>
        <v>FES1162673338</v>
      </c>
      <c r="D2266" s="15" t="s">
        <v>18</v>
      </c>
      <c r="E2266" s="15" t="s">
        <v>120</v>
      </c>
      <c r="F2266" s="15" t="str">
        <f>"2170674545 "</f>
        <v xml:space="preserve">2170674545 </v>
      </c>
      <c r="G2266" s="15" t="str">
        <f t="shared" si="69"/>
        <v>ON1</v>
      </c>
      <c r="H2266" s="15" t="s">
        <v>20</v>
      </c>
      <c r="I2266" s="15" t="s">
        <v>121</v>
      </c>
      <c r="J2266" s="15" t="str">
        <f>""</f>
        <v/>
      </c>
      <c r="K2266" s="15" t="str">
        <f>"PFES1162673338_0001"</f>
        <v>PFES1162673338_0001</v>
      </c>
      <c r="L2266" s="15">
        <v>1</v>
      </c>
      <c r="M2266" s="15">
        <v>1</v>
      </c>
    </row>
    <row r="2267" spans="1:13">
      <c r="A2267" s="6">
        <v>43511</v>
      </c>
      <c r="B2267" s="7">
        <v>0.50138888888888888</v>
      </c>
      <c r="C2267" s="15" t="str">
        <f>"FES1162673371"</f>
        <v>FES1162673371</v>
      </c>
      <c r="D2267" s="15" t="s">
        <v>18</v>
      </c>
      <c r="E2267" s="15" t="s">
        <v>287</v>
      </c>
      <c r="F2267" s="15" t="str">
        <f>"2170672963 "</f>
        <v xml:space="preserve">2170672963 </v>
      </c>
      <c r="G2267" s="15" t="str">
        <f t="shared" si="69"/>
        <v>ON1</v>
      </c>
      <c r="H2267" s="15" t="s">
        <v>20</v>
      </c>
      <c r="I2267" s="15" t="s">
        <v>288</v>
      </c>
      <c r="J2267" s="15" t="str">
        <f>""</f>
        <v/>
      </c>
      <c r="K2267" s="15" t="str">
        <f>"PFES1162673371_0001"</f>
        <v>PFES1162673371_0001</v>
      </c>
      <c r="L2267" s="15">
        <v>1</v>
      </c>
      <c r="M2267" s="15">
        <v>1</v>
      </c>
    </row>
    <row r="2268" spans="1:13">
      <c r="A2268" s="6">
        <v>43511</v>
      </c>
      <c r="B2268" s="7">
        <v>0.4993055555555555</v>
      </c>
      <c r="C2268" s="15" t="str">
        <f>"FES1162673446"</f>
        <v>FES1162673446</v>
      </c>
      <c r="D2268" s="15" t="s">
        <v>18</v>
      </c>
      <c r="E2268" s="15" t="s">
        <v>90</v>
      </c>
      <c r="F2268" s="15" t="str">
        <f>"2170672051 "</f>
        <v xml:space="preserve">2170672051 </v>
      </c>
      <c r="G2268" s="15" t="str">
        <f t="shared" si="69"/>
        <v>ON1</v>
      </c>
      <c r="H2268" s="15" t="s">
        <v>20</v>
      </c>
      <c r="I2268" s="15" t="s">
        <v>89</v>
      </c>
      <c r="J2268" s="15" t="str">
        <f>""</f>
        <v/>
      </c>
      <c r="K2268" s="15" t="str">
        <f>"PFES1162673446_0001"</f>
        <v>PFES1162673446_0001</v>
      </c>
      <c r="L2268" s="15">
        <v>1</v>
      </c>
      <c r="M2268" s="15">
        <v>2</v>
      </c>
    </row>
    <row r="2269" spans="1:13">
      <c r="A2269" s="6">
        <v>43511</v>
      </c>
      <c r="B2269" s="7">
        <v>0.49791666666666662</v>
      </c>
      <c r="C2269" s="15" t="str">
        <f>"FES1162673372"</f>
        <v>FES1162673372</v>
      </c>
      <c r="D2269" s="15" t="s">
        <v>18</v>
      </c>
      <c r="E2269" s="15" t="s">
        <v>19</v>
      </c>
      <c r="F2269" s="15" t="str">
        <f>"2170672964 "</f>
        <v xml:space="preserve">2170672964 </v>
      </c>
      <c r="G2269" s="15" t="str">
        <f t="shared" si="69"/>
        <v>ON1</v>
      </c>
      <c r="H2269" s="15" t="s">
        <v>20</v>
      </c>
      <c r="I2269" s="15" t="s">
        <v>21</v>
      </c>
      <c r="J2269" s="15" t="str">
        <f>""</f>
        <v/>
      </c>
      <c r="K2269" s="15" t="str">
        <f>"PFES1162673372_0001"</f>
        <v>PFES1162673372_0001</v>
      </c>
      <c r="L2269" s="15">
        <v>1</v>
      </c>
      <c r="M2269" s="15">
        <v>1</v>
      </c>
    </row>
    <row r="2270" spans="1:13">
      <c r="A2270" s="6">
        <v>43511</v>
      </c>
      <c r="B2270" s="7">
        <v>0.49791666666666662</v>
      </c>
      <c r="C2270" s="15" t="str">
        <f>"FES1162673443"</f>
        <v>FES1162673443</v>
      </c>
      <c r="D2270" s="15" t="s">
        <v>18</v>
      </c>
      <c r="E2270" s="15" t="s">
        <v>90</v>
      </c>
      <c r="F2270" s="15" t="str">
        <f>"2170671996 "</f>
        <v xml:space="preserve">2170671996 </v>
      </c>
      <c r="G2270" s="15" t="str">
        <f t="shared" si="69"/>
        <v>ON1</v>
      </c>
      <c r="H2270" s="15" t="s">
        <v>20</v>
      </c>
      <c r="I2270" s="15" t="s">
        <v>89</v>
      </c>
      <c r="J2270" s="15" t="str">
        <f>""</f>
        <v/>
      </c>
      <c r="K2270" s="15" t="str">
        <f>"PFES1162673443_0001"</f>
        <v>PFES1162673443_0001</v>
      </c>
      <c r="L2270" s="15">
        <v>1</v>
      </c>
      <c r="M2270" s="15">
        <v>3</v>
      </c>
    </row>
    <row r="2271" spans="1:13">
      <c r="A2271" s="6">
        <v>43511</v>
      </c>
      <c r="B2271" s="7">
        <v>0.49791666666666662</v>
      </c>
      <c r="C2271" s="15" t="str">
        <f>"FES1162673432"</f>
        <v>FES1162673432</v>
      </c>
      <c r="D2271" s="15" t="s">
        <v>18</v>
      </c>
      <c r="E2271" s="15" t="s">
        <v>973</v>
      </c>
      <c r="F2271" s="15" t="str">
        <f>"2170671704 "</f>
        <v xml:space="preserve">2170671704 </v>
      </c>
      <c r="G2271" s="15" t="str">
        <f t="shared" si="69"/>
        <v>ON1</v>
      </c>
      <c r="H2271" s="15" t="s">
        <v>20</v>
      </c>
      <c r="I2271" s="15" t="s">
        <v>87</v>
      </c>
      <c r="J2271" s="15" t="str">
        <f>""</f>
        <v/>
      </c>
      <c r="K2271" s="15" t="str">
        <f>"PFES1162673432_0001"</f>
        <v>PFES1162673432_0001</v>
      </c>
      <c r="L2271" s="15">
        <v>1</v>
      </c>
      <c r="M2271" s="15">
        <v>1</v>
      </c>
    </row>
    <row r="2272" spans="1:13">
      <c r="A2272" s="6">
        <v>43511</v>
      </c>
      <c r="B2272" s="7">
        <v>0.49722222222222223</v>
      </c>
      <c r="C2272" s="15" t="str">
        <f>"FES1162673387"</f>
        <v>FES1162673387</v>
      </c>
      <c r="D2272" s="15" t="s">
        <v>18</v>
      </c>
      <c r="E2272" s="15" t="s">
        <v>665</v>
      </c>
      <c r="F2272" s="15" t="str">
        <f>"2170674373 "</f>
        <v xml:space="preserve">2170674373 </v>
      </c>
      <c r="G2272" s="15" t="str">
        <f t="shared" si="69"/>
        <v>ON1</v>
      </c>
      <c r="H2272" s="15" t="s">
        <v>20</v>
      </c>
      <c r="I2272" s="15" t="s">
        <v>561</v>
      </c>
      <c r="J2272" s="15" t="str">
        <f>""</f>
        <v/>
      </c>
      <c r="K2272" s="15" t="str">
        <f>"PFES1162673387_0001"</f>
        <v>PFES1162673387_0001</v>
      </c>
      <c r="L2272" s="15">
        <v>1</v>
      </c>
      <c r="M2272" s="15">
        <v>1</v>
      </c>
    </row>
    <row r="2273" spans="1:13">
      <c r="A2273" s="6">
        <v>43511</v>
      </c>
      <c r="B2273" s="7">
        <v>0.49652777777777773</v>
      </c>
      <c r="C2273" s="15" t="str">
        <f>"FES1162673365"</f>
        <v>FES1162673365</v>
      </c>
      <c r="D2273" s="15" t="s">
        <v>18</v>
      </c>
      <c r="E2273" s="15" t="s">
        <v>19</v>
      </c>
      <c r="F2273" s="15" t="str">
        <f>"2170672897 "</f>
        <v xml:space="preserve">2170672897 </v>
      </c>
      <c r="G2273" s="15" t="str">
        <f t="shared" si="69"/>
        <v>ON1</v>
      </c>
      <c r="H2273" s="15" t="s">
        <v>20</v>
      </c>
      <c r="I2273" s="15" t="s">
        <v>21</v>
      </c>
      <c r="J2273" s="15" t="str">
        <f>""</f>
        <v/>
      </c>
      <c r="K2273" s="15" t="str">
        <f>"PFES1162673365_0001"</f>
        <v>PFES1162673365_0001</v>
      </c>
      <c r="L2273" s="15">
        <v>1</v>
      </c>
      <c r="M2273" s="15">
        <v>1</v>
      </c>
    </row>
    <row r="2274" spans="1:13">
      <c r="A2274" s="6">
        <v>43511</v>
      </c>
      <c r="B2274" s="7">
        <v>0.49652777777777773</v>
      </c>
      <c r="C2274" s="15" t="str">
        <f>"FES1162673470"</f>
        <v>FES1162673470</v>
      </c>
      <c r="D2274" s="15" t="s">
        <v>18</v>
      </c>
      <c r="E2274" s="15" t="s">
        <v>195</v>
      </c>
      <c r="F2274" s="15" t="str">
        <f>"2170673545 "</f>
        <v xml:space="preserve">2170673545 </v>
      </c>
      <c r="G2274" s="15" t="str">
        <f t="shared" si="69"/>
        <v>ON1</v>
      </c>
      <c r="H2274" s="15" t="s">
        <v>20</v>
      </c>
      <c r="I2274" s="15" t="s">
        <v>96</v>
      </c>
      <c r="J2274" s="15" t="str">
        <f>""</f>
        <v/>
      </c>
      <c r="K2274" s="15" t="str">
        <f>"PFES1162673470_0001"</f>
        <v>PFES1162673470_0001</v>
      </c>
      <c r="L2274" s="15">
        <v>1</v>
      </c>
      <c r="M2274" s="15">
        <v>1</v>
      </c>
    </row>
    <row r="2275" spans="1:13">
      <c r="A2275" s="6">
        <v>43511</v>
      </c>
      <c r="B2275" s="7">
        <v>0.49583333333333335</v>
      </c>
      <c r="C2275" s="15" t="str">
        <f>"FES1162673279"</f>
        <v>FES1162673279</v>
      </c>
      <c r="D2275" s="15" t="s">
        <v>18</v>
      </c>
      <c r="E2275" s="15" t="s">
        <v>384</v>
      </c>
      <c r="F2275" s="15" t="str">
        <f>"2170674025 "</f>
        <v xml:space="preserve">2170674025 </v>
      </c>
      <c r="G2275" s="15" t="str">
        <f t="shared" si="69"/>
        <v>ON1</v>
      </c>
      <c r="H2275" s="15" t="s">
        <v>20</v>
      </c>
      <c r="I2275" s="15" t="s">
        <v>29</v>
      </c>
      <c r="J2275" s="15" t="str">
        <f>""</f>
        <v/>
      </c>
      <c r="K2275" s="15" t="str">
        <f>"PFES1162673279_0001"</f>
        <v>PFES1162673279_0001</v>
      </c>
      <c r="L2275" s="15">
        <v>1</v>
      </c>
      <c r="M2275" s="15">
        <v>17</v>
      </c>
    </row>
    <row r="2276" spans="1:13">
      <c r="A2276" s="6">
        <v>43511</v>
      </c>
      <c r="B2276" s="7">
        <v>0.49583333333333335</v>
      </c>
      <c r="C2276" s="15" t="str">
        <f>"FES1162673450"</f>
        <v>FES1162673450</v>
      </c>
      <c r="D2276" s="15" t="s">
        <v>18</v>
      </c>
      <c r="E2276" s="15" t="s">
        <v>150</v>
      </c>
      <c r="F2276" s="15" t="str">
        <f>"2170672096 "</f>
        <v xml:space="preserve">2170672096 </v>
      </c>
      <c r="G2276" s="15" t="str">
        <f t="shared" si="69"/>
        <v>ON1</v>
      </c>
      <c r="H2276" s="15" t="s">
        <v>20</v>
      </c>
      <c r="I2276" s="15" t="s">
        <v>137</v>
      </c>
      <c r="J2276" s="15" t="str">
        <f>""</f>
        <v/>
      </c>
      <c r="K2276" s="15" t="str">
        <f>"PFES1162673450_0001"</f>
        <v>PFES1162673450_0001</v>
      </c>
      <c r="L2276" s="15">
        <v>1</v>
      </c>
      <c r="M2276" s="15">
        <v>1</v>
      </c>
    </row>
    <row r="2277" spans="1:13">
      <c r="A2277" s="6">
        <v>43511</v>
      </c>
      <c r="B2277" s="7">
        <v>0.49513888888888885</v>
      </c>
      <c r="C2277" s="15" t="str">
        <f>"FES1162673427"</f>
        <v>FES1162673427</v>
      </c>
      <c r="D2277" s="15" t="s">
        <v>18</v>
      </c>
      <c r="E2277" s="15" t="s">
        <v>64</v>
      </c>
      <c r="F2277" s="15" t="str">
        <f>"2170671391 "</f>
        <v xml:space="preserve">2170671391 </v>
      </c>
      <c r="G2277" s="15" t="str">
        <f t="shared" si="69"/>
        <v>ON1</v>
      </c>
      <c r="H2277" s="15" t="s">
        <v>20</v>
      </c>
      <c r="I2277" s="15" t="s">
        <v>65</v>
      </c>
      <c r="J2277" s="15" t="str">
        <f>""</f>
        <v/>
      </c>
      <c r="K2277" s="15" t="str">
        <f>"PFES1162673427_0001"</f>
        <v>PFES1162673427_0001</v>
      </c>
      <c r="L2277" s="15">
        <v>1</v>
      </c>
      <c r="M2277" s="15">
        <v>1</v>
      </c>
    </row>
    <row r="2278" spans="1:13">
      <c r="A2278" s="6">
        <v>43511</v>
      </c>
      <c r="B2278" s="7">
        <v>0.49513888888888885</v>
      </c>
      <c r="C2278" s="15" t="str">
        <f>"FES1162673304"</f>
        <v>FES1162673304</v>
      </c>
      <c r="D2278" s="15" t="s">
        <v>18</v>
      </c>
      <c r="E2278" s="15" t="s">
        <v>225</v>
      </c>
      <c r="F2278" s="15" t="str">
        <f>"2170674358 "</f>
        <v xml:space="preserve">2170674358 </v>
      </c>
      <c r="G2278" s="15" t="str">
        <f t="shared" si="69"/>
        <v>ON1</v>
      </c>
      <c r="H2278" s="15" t="s">
        <v>20</v>
      </c>
      <c r="I2278" s="15" t="s">
        <v>226</v>
      </c>
      <c r="J2278" s="15" t="str">
        <f>""</f>
        <v/>
      </c>
      <c r="K2278" s="15" t="str">
        <f>"PFES1162673304_0001"</f>
        <v>PFES1162673304_0001</v>
      </c>
      <c r="L2278" s="15">
        <v>1</v>
      </c>
      <c r="M2278" s="15">
        <v>7</v>
      </c>
    </row>
    <row r="2279" spans="1:13">
      <c r="A2279" s="6">
        <v>43511</v>
      </c>
      <c r="B2279" s="7">
        <v>0.49444444444444446</v>
      </c>
      <c r="C2279" s="15" t="str">
        <f>"FES1162673426"</f>
        <v>FES1162673426</v>
      </c>
      <c r="D2279" s="15" t="s">
        <v>18</v>
      </c>
      <c r="E2279" s="15" t="s">
        <v>19</v>
      </c>
      <c r="F2279" s="15" t="str">
        <f>"2170671293 "</f>
        <v xml:space="preserve">2170671293 </v>
      </c>
      <c r="G2279" s="15" t="str">
        <f t="shared" si="69"/>
        <v>ON1</v>
      </c>
      <c r="H2279" s="15" t="s">
        <v>20</v>
      </c>
      <c r="I2279" s="15" t="s">
        <v>21</v>
      </c>
      <c r="J2279" s="15" t="str">
        <f>""</f>
        <v/>
      </c>
      <c r="K2279" s="15" t="str">
        <f>"PFES1162673426_0001"</f>
        <v>PFES1162673426_0001</v>
      </c>
      <c r="L2279" s="15">
        <v>1</v>
      </c>
      <c r="M2279" s="15">
        <v>1</v>
      </c>
    </row>
    <row r="2280" spans="1:13">
      <c r="A2280" s="6">
        <v>43511</v>
      </c>
      <c r="B2280" s="7">
        <v>0.49444444444444446</v>
      </c>
      <c r="C2280" s="15" t="str">
        <f>"FES1162673465"</f>
        <v>FES1162673465</v>
      </c>
      <c r="D2280" s="15" t="s">
        <v>18</v>
      </c>
      <c r="E2280" s="15" t="s">
        <v>517</v>
      </c>
      <c r="F2280" s="15" t="str">
        <f>"2170672546 "</f>
        <v xml:space="preserve">2170672546 </v>
      </c>
      <c r="G2280" s="15" t="str">
        <f t="shared" si="69"/>
        <v>ON1</v>
      </c>
      <c r="H2280" s="15" t="s">
        <v>20</v>
      </c>
      <c r="I2280" s="15" t="s">
        <v>518</v>
      </c>
      <c r="J2280" s="15" t="str">
        <f>""</f>
        <v/>
      </c>
      <c r="K2280" s="15" t="str">
        <f>"PFES1162673465_0001"</f>
        <v>PFES1162673465_0001</v>
      </c>
      <c r="L2280" s="15">
        <v>1</v>
      </c>
      <c r="M2280" s="15">
        <v>1</v>
      </c>
    </row>
    <row r="2281" spans="1:13">
      <c r="A2281" s="6">
        <v>43511</v>
      </c>
      <c r="B2281" s="7">
        <v>0.49374999999999997</v>
      </c>
      <c r="C2281" s="15" t="str">
        <f>"FES1162673458"</f>
        <v>FES1162673458</v>
      </c>
      <c r="D2281" s="15" t="s">
        <v>18</v>
      </c>
      <c r="E2281" s="15" t="s">
        <v>150</v>
      </c>
      <c r="F2281" s="15" t="str">
        <f>"2170672329 "</f>
        <v xml:space="preserve">2170672329 </v>
      </c>
      <c r="G2281" s="15" t="str">
        <f t="shared" si="69"/>
        <v>ON1</v>
      </c>
      <c r="H2281" s="15" t="s">
        <v>20</v>
      </c>
      <c r="I2281" s="15" t="s">
        <v>137</v>
      </c>
      <c r="J2281" s="15" t="str">
        <f>""</f>
        <v/>
      </c>
      <c r="K2281" s="15" t="str">
        <f>"PFES1162673458_0001"</f>
        <v>PFES1162673458_0001</v>
      </c>
      <c r="L2281" s="15">
        <v>1</v>
      </c>
      <c r="M2281" s="15">
        <v>1</v>
      </c>
    </row>
    <row r="2282" spans="1:13">
      <c r="A2282" s="6">
        <v>43511</v>
      </c>
      <c r="B2282" s="7">
        <v>0.49374999999999997</v>
      </c>
      <c r="C2282" s="15" t="str">
        <f>"FES1162673242"</f>
        <v>FES1162673242</v>
      </c>
      <c r="D2282" s="15" t="s">
        <v>18</v>
      </c>
      <c r="E2282" s="15" t="s">
        <v>912</v>
      </c>
      <c r="F2282" s="15" t="str">
        <f>"2170674092 "</f>
        <v xml:space="preserve">2170674092 </v>
      </c>
      <c r="G2282" s="15" t="str">
        <f t="shared" si="69"/>
        <v>ON1</v>
      </c>
      <c r="H2282" s="15" t="s">
        <v>20</v>
      </c>
      <c r="I2282" s="15" t="s">
        <v>55</v>
      </c>
      <c r="J2282" s="15" t="str">
        <f>""</f>
        <v/>
      </c>
      <c r="K2282" s="15" t="str">
        <f>"PFES1162673242_0001"</f>
        <v>PFES1162673242_0001</v>
      </c>
      <c r="L2282" s="15">
        <v>1</v>
      </c>
      <c r="M2282" s="15">
        <v>4</v>
      </c>
    </row>
    <row r="2283" spans="1:13">
      <c r="A2283" s="6">
        <v>43511</v>
      </c>
      <c r="B2283" s="7">
        <v>0.49305555555555558</v>
      </c>
      <c r="C2283" s="15" t="str">
        <f>"FES1162673442"</f>
        <v>FES1162673442</v>
      </c>
      <c r="D2283" s="15" t="s">
        <v>18</v>
      </c>
      <c r="E2283" s="15" t="s">
        <v>780</v>
      </c>
      <c r="F2283" s="15" t="str">
        <f>"2170671993 "</f>
        <v xml:space="preserve">2170671993 </v>
      </c>
      <c r="G2283" s="15" t="str">
        <f t="shared" si="69"/>
        <v>ON1</v>
      </c>
      <c r="H2283" s="15" t="s">
        <v>20</v>
      </c>
      <c r="I2283" s="15" t="s">
        <v>781</v>
      </c>
      <c r="J2283" s="15" t="str">
        <f>""</f>
        <v/>
      </c>
      <c r="K2283" s="15" t="str">
        <f>"PFES1162673442_0001"</f>
        <v>PFES1162673442_0001</v>
      </c>
      <c r="L2283" s="15">
        <v>1</v>
      </c>
      <c r="M2283" s="15">
        <v>1</v>
      </c>
    </row>
    <row r="2284" spans="1:13">
      <c r="A2284" s="6">
        <v>43511</v>
      </c>
      <c r="B2284" s="7">
        <v>0.49305555555555558</v>
      </c>
      <c r="C2284" s="15" t="str">
        <f>"FES1162673386"</f>
        <v>FES1162673386</v>
      </c>
      <c r="D2284" s="15" t="s">
        <v>18</v>
      </c>
      <c r="E2284" s="15" t="s">
        <v>869</v>
      </c>
      <c r="F2284" s="15" t="str">
        <f>"2170674169 "</f>
        <v xml:space="preserve">2170674169 </v>
      </c>
      <c r="G2284" s="15" t="str">
        <f t="shared" si="69"/>
        <v>ON1</v>
      </c>
      <c r="H2284" s="15" t="s">
        <v>20</v>
      </c>
      <c r="I2284" s="15" t="s">
        <v>635</v>
      </c>
      <c r="J2284" s="15" t="str">
        <f>""</f>
        <v/>
      </c>
      <c r="K2284" s="15" t="str">
        <f>"PFES1162673386_0001"</f>
        <v>PFES1162673386_0001</v>
      </c>
      <c r="L2284" s="15">
        <v>1</v>
      </c>
      <c r="M2284" s="15">
        <v>1</v>
      </c>
    </row>
    <row r="2285" spans="1:13">
      <c r="A2285" s="6">
        <v>43511</v>
      </c>
      <c r="B2285" s="7">
        <v>0.49236111111111108</v>
      </c>
      <c r="C2285" s="15" t="str">
        <f>"FES1162673302"</f>
        <v>FES1162673302</v>
      </c>
      <c r="D2285" s="15" t="s">
        <v>18</v>
      </c>
      <c r="E2285" s="15" t="s">
        <v>384</v>
      </c>
      <c r="F2285" s="15" t="str">
        <f>"2170674025 "</f>
        <v xml:space="preserve">2170674025 </v>
      </c>
      <c r="G2285" s="15" t="str">
        <f t="shared" si="69"/>
        <v>ON1</v>
      </c>
      <c r="H2285" s="15" t="s">
        <v>20</v>
      </c>
      <c r="I2285" s="15" t="s">
        <v>29</v>
      </c>
      <c r="J2285" s="15" t="str">
        <f>""</f>
        <v/>
      </c>
      <c r="K2285" s="15" t="str">
        <f>"PFES1162673302_0001"</f>
        <v>PFES1162673302_0001</v>
      </c>
      <c r="L2285" s="15">
        <v>1</v>
      </c>
      <c r="M2285" s="15">
        <v>10</v>
      </c>
    </row>
    <row r="2286" spans="1:13">
      <c r="A2286" s="6">
        <v>43511</v>
      </c>
      <c r="B2286" s="7">
        <v>0.49236111111111108</v>
      </c>
      <c r="C2286" s="15" t="str">
        <f>"FES1162673516"</f>
        <v>FES1162673516</v>
      </c>
      <c r="D2286" s="15" t="s">
        <v>18</v>
      </c>
      <c r="E2286" s="15" t="s">
        <v>212</v>
      </c>
      <c r="F2286" s="15" t="str">
        <f>"2170674644 "</f>
        <v xml:space="preserve">2170674644 </v>
      </c>
      <c r="G2286" s="15" t="str">
        <f t="shared" si="69"/>
        <v>ON1</v>
      </c>
      <c r="H2286" s="15" t="s">
        <v>20</v>
      </c>
      <c r="I2286" s="15" t="s">
        <v>213</v>
      </c>
      <c r="J2286" s="15" t="str">
        <f>""</f>
        <v/>
      </c>
      <c r="K2286" s="15" t="str">
        <f>"PFES1162673516_0001"</f>
        <v>PFES1162673516_0001</v>
      </c>
      <c r="L2286" s="15">
        <v>1</v>
      </c>
      <c r="M2286" s="15">
        <v>1</v>
      </c>
    </row>
    <row r="2287" spans="1:13">
      <c r="A2287" s="6">
        <v>43511</v>
      </c>
      <c r="B2287" s="7">
        <v>0.4916666666666667</v>
      </c>
      <c r="C2287" s="15" t="str">
        <f>"FES1162673429"</f>
        <v>FES1162673429</v>
      </c>
      <c r="D2287" s="15" t="s">
        <v>18</v>
      </c>
      <c r="E2287" s="15" t="s">
        <v>296</v>
      </c>
      <c r="F2287" s="15" t="str">
        <f>"2170671608 "</f>
        <v xml:space="preserve">2170671608 </v>
      </c>
      <c r="G2287" s="15" t="str">
        <f t="shared" si="69"/>
        <v>ON1</v>
      </c>
      <c r="H2287" s="15" t="s">
        <v>20</v>
      </c>
      <c r="I2287" s="15" t="s">
        <v>93</v>
      </c>
      <c r="J2287" s="15" t="str">
        <f>""</f>
        <v/>
      </c>
      <c r="K2287" s="15" t="str">
        <f>"PFES1162673429_0001"</f>
        <v>PFES1162673429_0001</v>
      </c>
      <c r="L2287" s="15">
        <v>1</v>
      </c>
      <c r="M2287" s="15">
        <v>1</v>
      </c>
    </row>
    <row r="2288" spans="1:13">
      <c r="A2288" s="6">
        <v>43511</v>
      </c>
      <c r="B2288" s="7">
        <v>0.4909722222222222</v>
      </c>
      <c r="C2288" s="15" t="str">
        <f>"FES1162673414"</f>
        <v>FES1162673414</v>
      </c>
      <c r="D2288" s="15" t="s">
        <v>18</v>
      </c>
      <c r="E2288" s="15" t="s">
        <v>140</v>
      </c>
      <c r="F2288" s="15" t="str">
        <f>"2170674579 "</f>
        <v xml:space="preserve">2170674579 </v>
      </c>
      <c r="G2288" s="15" t="str">
        <f t="shared" si="69"/>
        <v>ON1</v>
      </c>
      <c r="H2288" s="15" t="s">
        <v>20</v>
      </c>
      <c r="I2288" s="15" t="s">
        <v>141</v>
      </c>
      <c r="J2288" s="15" t="str">
        <f>""</f>
        <v/>
      </c>
      <c r="K2288" s="15" t="str">
        <f>"PFES1162673414_0001"</f>
        <v>PFES1162673414_0001</v>
      </c>
      <c r="L2288" s="15">
        <v>1</v>
      </c>
      <c r="M2288" s="15">
        <v>8</v>
      </c>
    </row>
    <row r="2289" spans="1:13">
      <c r="A2289" s="6">
        <v>43511</v>
      </c>
      <c r="B2289" s="7">
        <v>0.4909722222222222</v>
      </c>
      <c r="C2289" s="15" t="str">
        <f>"FES1162673489"</f>
        <v>FES1162673489</v>
      </c>
      <c r="D2289" s="15" t="s">
        <v>18</v>
      </c>
      <c r="E2289" s="15" t="s">
        <v>264</v>
      </c>
      <c r="F2289" s="15" t="str">
        <f>"2170674603 "</f>
        <v xml:space="preserve">2170674603 </v>
      </c>
      <c r="G2289" s="15" t="str">
        <f t="shared" si="69"/>
        <v>ON1</v>
      </c>
      <c r="H2289" s="15" t="s">
        <v>20</v>
      </c>
      <c r="I2289" s="15" t="s">
        <v>265</v>
      </c>
      <c r="J2289" s="15" t="str">
        <f>""</f>
        <v/>
      </c>
      <c r="K2289" s="15" t="str">
        <f>"PFES1162673489_0001"</f>
        <v>PFES1162673489_0001</v>
      </c>
      <c r="L2289" s="15">
        <v>1</v>
      </c>
      <c r="M2289" s="15">
        <v>1</v>
      </c>
    </row>
    <row r="2290" spans="1:13">
      <c r="A2290" s="6">
        <v>43511</v>
      </c>
      <c r="B2290" s="7">
        <v>0.59861111111111109</v>
      </c>
      <c r="C2290" s="15" t="str">
        <f>"FES1162673518"</f>
        <v>FES1162673518</v>
      </c>
      <c r="D2290" s="15" t="s">
        <v>18</v>
      </c>
      <c r="E2290" s="15" t="s">
        <v>185</v>
      </c>
      <c r="F2290" s="15" t="str">
        <f>"2170674646 "</f>
        <v xml:space="preserve">2170674646 </v>
      </c>
      <c r="G2290" s="15" t="str">
        <f t="shared" si="69"/>
        <v>ON1</v>
      </c>
      <c r="H2290" s="15" t="s">
        <v>20</v>
      </c>
      <c r="I2290" s="15" t="s">
        <v>93</v>
      </c>
      <c r="J2290" s="15" t="str">
        <f>""</f>
        <v/>
      </c>
      <c r="K2290" s="15" t="str">
        <f>"PFES1162673518_0001"</f>
        <v>PFES1162673518_0001</v>
      </c>
      <c r="L2290" s="15">
        <v>1</v>
      </c>
      <c r="M2290" s="15">
        <v>1</v>
      </c>
    </row>
    <row r="2291" spans="1:13">
      <c r="A2291" s="6">
        <v>43511</v>
      </c>
      <c r="B2291" s="7">
        <v>0.59791666666666665</v>
      </c>
      <c r="C2291" s="15" t="str">
        <f>"FES1162673451"</f>
        <v>FES1162673451</v>
      </c>
      <c r="D2291" s="15" t="s">
        <v>18</v>
      </c>
      <c r="E2291" s="15" t="s">
        <v>118</v>
      </c>
      <c r="F2291" s="15" t="str">
        <f>"2170672142 "</f>
        <v xml:space="preserve">2170672142 </v>
      </c>
      <c r="G2291" s="15" t="str">
        <f t="shared" si="69"/>
        <v>ON1</v>
      </c>
      <c r="H2291" s="15" t="s">
        <v>20</v>
      </c>
      <c r="I2291" s="15" t="s">
        <v>119</v>
      </c>
      <c r="J2291" s="15" t="str">
        <f>""</f>
        <v/>
      </c>
      <c r="K2291" s="15" t="str">
        <f>"PFES1162673451_0001"</f>
        <v>PFES1162673451_0001</v>
      </c>
      <c r="L2291" s="15">
        <v>1</v>
      </c>
      <c r="M2291" s="15">
        <v>1</v>
      </c>
    </row>
    <row r="2292" spans="1:13">
      <c r="A2292" s="6">
        <v>43511</v>
      </c>
      <c r="B2292" s="7">
        <v>0.59791666666666665</v>
      </c>
      <c r="C2292" s="15" t="str">
        <f>"FES1162673343"</f>
        <v>FES1162673343</v>
      </c>
      <c r="D2292" s="15" t="s">
        <v>18</v>
      </c>
      <c r="E2292" s="15" t="s">
        <v>654</v>
      </c>
      <c r="F2292" s="15" t="str">
        <f>"2170670302 "</f>
        <v xml:space="preserve">2170670302 </v>
      </c>
      <c r="G2292" s="15" t="str">
        <f t="shared" si="69"/>
        <v>ON1</v>
      </c>
      <c r="H2292" s="15" t="s">
        <v>20</v>
      </c>
      <c r="I2292" s="15" t="s">
        <v>655</v>
      </c>
      <c r="J2292" s="15" t="str">
        <f>""</f>
        <v/>
      </c>
      <c r="K2292" s="15" t="str">
        <f>"PFES1162673343_0001"</f>
        <v>PFES1162673343_0001</v>
      </c>
      <c r="L2292" s="15">
        <v>1</v>
      </c>
      <c r="M2292" s="15">
        <v>1</v>
      </c>
    </row>
    <row r="2293" spans="1:13">
      <c r="A2293" s="6">
        <v>43511</v>
      </c>
      <c r="B2293" s="7">
        <v>0.59722222222222221</v>
      </c>
      <c r="C2293" s="15" t="str">
        <f>"FES1162673564"</f>
        <v>FES1162673564</v>
      </c>
      <c r="D2293" s="15" t="s">
        <v>18</v>
      </c>
      <c r="E2293" s="15" t="s">
        <v>530</v>
      </c>
      <c r="F2293" s="15" t="str">
        <f>"2170674693 "</f>
        <v xml:space="preserve">2170674693 </v>
      </c>
      <c r="G2293" s="15" t="str">
        <f t="shared" si="69"/>
        <v>ON1</v>
      </c>
      <c r="H2293" s="15" t="s">
        <v>20</v>
      </c>
      <c r="I2293" s="15" t="s">
        <v>531</v>
      </c>
      <c r="J2293" s="15" t="str">
        <f>""</f>
        <v/>
      </c>
      <c r="K2293" s="15" t="str">
        <f>"PFES1162673564_0001"</f>
        <v>PFES1162673564_0001</v>
      </c>
      <c r="L2293" s="15">
        <v>1</v>
      </c>
      <c r="M2293" s="15">
        <v>1</v>
      </c>
    </row>
    <row r="2294" spans="1:13">
      <c r="A2294" s="6">
        <v>43511</v>
      </c>
      <c r="B2294" s="7">
        <v>0.59652777777777777</v>
      </c>
      <c r="C2294" s="15" t="str">
        <f>"FES1162673550"</f>
        <v>FES1162673550</v>
      </c>
      <c r="D2294" s="15" t="s">
        <v>18</v>
      </c>
      <c r="E2294" s="15" t="s">
        <v>129</v>
      </c>
      <c r="F2294" s="15" t="str">
        <f>"2170674677 "</f>
        <v xml:space="preserve">2170674677 </v>
      </c>
      <c r="G2294" s="15" t="str">
        <f t="shared" si="69"/>
        <v>ON1</v>
      </c>
      <c r="H2294" s="15" t="s">
        <v>20</v>
      </c>
      <c r="I2294" s="15" t="s">
        <v>130</v>
      </c>
      <c r="J2294" s="15" t="str">
        <f>""</f>
        <v/>
      </c>
      <c r="K2294" s="15" t="str">
        <f>"PFES1162673550_0001"</f>
        <v>PFES1162673550_0001</v>
      </c>
      <c r="L2294" s="15">
        <v>1</v>
      </c>
      <c r="M2294" s="15">
        <v>1</v>
      </c>
    </row>
    <row r="2295" spans="1:13">
      <c r="A2295" s="6">
        <v>43511</v>
      </c>
      <c r="B2295" s="7">
        <v>0.59652777777777777</v>
      </c>
      <c r="C2295" s="15" t="str">
        <f>"FES1162673525"</f>
        <v>FES1162673525</v>
      </c>
      <c r="D2295" s="15" t="s">
        <v>18</v>
      </c>
      <c r="E2295" s="15" t="s">
        <v>88</v>
      </c>
      <c r="F2295" s="15" t="str">
        <f>"2170674648 "</f>
        <v xml:space="preserve">2170674648 </v>
      </c>
      <c r="G2295" s="15" t="str">
        <f t="shared" si="69"/>
        <v>ON1</v>
      </c>
      <c r="H2295" s="15" t="s">
        <v>20</v>
      </c>
      <c r="I2295" s="15" t="s">
        <v>53</v>
      </c>
      <c r="J2295" s="15" t="str">
        <f>""</f>
        <v/>
      </c>
      <c r="K2295" s="15" t="str">
        <f>"PFES1162673525_0001"</f>
        <v>PFES1162673525_0001</v>
      </c>
      <c r="L2295" s="15">
        <v>1</v>
      </c>
      <c r="M2295" s="15">
        <v>1</v>
      </c>
    </row>
    <row r="2296" spans="1:13">
      <c r="A2296" s="6">
        <v>43511</v>
      </c>
      <c r="B2296" s="7">
        <v>0.59583333333333333</v>
      </c>
      <c r="C2296" s="15" t="str">
        <f>"FES1162673553"</f>
        <v>FES1162673553</v>
      </c>
      <c r="D2296" s="15" t="s">
        <v>18</v>
      </c>
      <c r="E2296" s="15" t="s">
        <v>19</v>
      </c>
      <c r="F2296" s="15" t="str">
        <f>"2170674683 "</f>
        <v xml:space="preserve">2170674683 </v>
      </c>
      <c r="G2296" s="15" t="str">
        <f t="shared" si="69"/>
        <v>ON1</v>
      </c>
      <c r="H2296" s="15" t="s">
        <v>20</v>
      </c>
      <c r="I2296" s="15" t="s">
        <v>21</v>
      </c>
      <c r="J2296" s="15" t="str">
        <f>""</f>
        <v/>
      </c>
      <c r="K2296" s="15" t="str">
        <f>"PFES1162673553_0001"</f>
        <v>PFES1162673553_0001</v>
      </c>
      <c r="L2296" s="15">
        <v>1</v>
      </c>
      <c r="M2296" s="15">
        <v>6</v>
      </c>
    </row>
    <row r="2297" spans="1:13">
      <c r="A2297" s="6">
        <v>43511</v>
      </c>
      <c r="B2297" s="7">
        <v>0.59513888888888888</v>
      </c>
      <c r="C2297" s="15" t="str">
        <f>"FES1162673552"</f>
        <v>FES1162673552</v>
      </c>
      <c r="D2297" s="15" t="s">
        <v>18</v>
      </c>
      <c r="E2297" s="15" t="s">
        <v>537</v>
      </c>
      <c r="F2297" s="15" t="str">
        <f>"2170674682 "</f>
        <v xml:space="preserve">2170674682 </v>
      </c>
      <c r="G2297" s="15" t="str">
        <f t="shared" si="69"/>
        <v>ON1</v>
      </c>
      <c r="H2297" s="15" t="s">
        <v>20</v>
      </c>
      <c r="I2297" s="15" t="s">
        <v>93</v>
      </c>
      <c r="J2297" s="15" t="str">
        <f>""</f>
        <v/>
      </c>
      <c r="K2297" s="15" t="str">
        <f>"PFES1162673552_0001"</f>
        <v>PFES1162673552_0001</v>
      </c>
      <c r="L2297" s="15">
        <v>1</v>
      </c>
      <c r="M2297" s="15">
        <v>1</v>
      </c>
    </row>
    <row r="2298" spans="1:13">
      <c r="A2298" s="6">
        <v>43511</v>
      </c>
      <c r="B2298" s="7">
        <v>0.59444444444444444</v>
      </c>
      <c r="C2298" s="15" t="str">
        <f>"FES1162673555"</f>
        <v>FES1162673555</v>
      </c>
      <c r="D2298" s="15" t="s">
        <v>18</v>
      </c>
      <c r="E2298" s="15" t="s">
        <v>974</v>
      </c>
      <c r="F2298" s="15" t="str">
        <f>"2170674687 "</f>
        <v xml:space="preserve">2170674687 </v>
      </c>
      <c r="G2298" s="15" t="str">
        <f t="shared" si="69"/>
        <v>ON1</v>
      </c>
      <c r="H2298" s="15" t="s">
        <v>20</v>
      </c>
      <c r="I2298" s="15" t="s">
        <v>975</v>
      </c>
      <c r="J2298" s="15" t="str">
        <f>""</f>
        <v/>
      </c>
      <c r="K2298" s="15" t="str">
        <f>"PFES1162673555_0001"</f>
        <v>PFES1162673555_0001</v>
      </c>
      <c r="L2298" s="15">
        <v>1</v>
      </c>
      <c r="M2298" s="15">
        <v>2</v>
      </c>
    </row>
    <row r="2299" spans="1:13">
      <c r="A2299" s="6">
        <v>43511</v>
      </c>
      <c r="B2299" s="7">
        <v>0.59444444444444444</v>
      </c>
      <c r="C2299" s="15" t="str">
        <f>"FES1162673500"</f>
        <v>FES1162673500</v>
      </c>
      <c r="D2299" s="15" t="s">
        <v>18</v>
      </c>
      <c r="E2299" s="15" t="s">
        <v>527</v>
      </c>
      <c r="F2299" s="15" t="str">
        <f>"2170672537 "</f>
        <v xml:space="preserve">2170672537 </v>
      </c>
      <c r="G2299" s="15" t="str">
        <f t="shared" si="69"/>
        <v>ON1</v>
      </c>
      <c r="H2299" s="15" t="s">
        <v>20</v>
      </c>
      <c r="I2299" s="15" t="s">
        <v>276</v>
      </c>
      <c r="J2299" s="15" t="str">
        <f>""</f>
        <v/>
      </c>
      <c r="K2299" s="15" t="str">
        <f>"PFES1162673500_0001"</f>
        <v>PFES1162673500_0001</v>
      </c>
      <c r="L2299" s="15">
        <v>1</v>
      </c>
      <c r="M2299" s="15">
        <v>1</v>
      </c>
    </row>
    <row r="2300" spans="1:13">
      <c r="A2300" s="6">
        <v>43511</v>
      </c>
      <c r="B2300" s="7">
        <v>0.59375</v>
      </c>
      <c r="C2300" s="15" t="str">
        <f>"FES1162673566"</f>
        <v>FES1162673566</v>
      </c>
      <c r="D2300" s="15" t="s">
        <v>18</v>
      </c>
      <c r="E2300" s="15" t="s">
        <v>885</v>
      </c>
      <c r="F2300" s="15" t="str">
        <f>"2170674536 "</f>
        <v xml:space="preserve">2170674536 </v>
      </c>
      <c r="G2300" s="15" t="str">
        <f t="shared" si="69"/>
        <v>ON1</v>
      </c>
      <c r="H2300" s="15" t="s">
        <v>20</v>
      </c>
      <c r="I2300" s="15" t="s">
        <v>886</v>
      </c>
      <c r="J2300" s="15" t="str">
        <f>""</f>
        <v/>
      </c>
      <c r="K2300" s="15" t="str">
        <f>"PFES1162673566_0001"</f>
        <v>PFES1162673566_0001</v>
      </c>
      <c r="L2300" s="15">
        <v>1</v>
      </c>
      <c r="M2300" s="15">
        <v>1</v>
      </c>
    </row>
    <row r="2301" spans="1:13">
      <c r="A2301" s="6">
        <v>43511</v>
      </c>
      <c r="B2301" s="7">
        <v>0.59236111111111112</v>
      </c>
      <c r="C2301" s="15" t="str">
        <f>"FES1162673503"</f>
        <v>FES1162673503</v>
      </c>
      <c r="D2301" s="15" t="s">
        <v>18</v>
      </c>
      <c r="E2301" s="15" t="s">
        <v>45</v>
      </c>
      <c r="F2301" s="15" t="str">
        <f>"2170674520 "</f>
        <v xml:space="preserve">2170674520 </v>
      </c>
      <c r="G2301" s="15" t="str">
        <f t="shared" si="69"/>
        <v>ON1</v>
      </c>
      <c r="H2301" s="15" t="s">
        <v>20</v>
      </c>
      <c r="I2301" s="15" t="s">
        <v>46</v>
      </c>
      <c r="J2301" s="15" t="str">
        <f>""</f>
        <v/>
      </c>
      <c r="K2301" s="15" t="str">
        <f>"PFES1162673503_0001"</f>
        <v>PFES1162673503_0001</v>
      </c>
      <c r="L2301" s="15">
        <v>1</v>
      </c>
      <c r="M2301" s="15">
        <v>13</v>
      </c>
    </row>
    <row r="2302" spans="1:13">
      <c r="A2302" s="6">
        <v>43511</v>
      </c>
      <c r="B2302" s="7">
        <v>0.59097222222222223</v>
      </c>
      <c r="C2302" s="15" t="str">
        <f>"FES1162673546"</f>
        <v>FES1162673546</v>
      </c>
      <c r="D2302" s="15" t="s">
        <v>18</v>
      </c>
      <c r="E2302" s="15" t="s">
        <v>646</v>
      </c>
      <c r="F2302" s="15" t="str">
        <f>"2170674499 "</f>
        <v xml:space="preserve">2170674499 </v>
      </c>
      <c r="G2302" s="15" t="str">
        <f t="shared" si="69"/>
        <v>ON1</v>
      </c>
      <c r="H2302" s="15" t="s">
        <v>20</v>
      </c>
      <c r="I2302" s="15" t="s">
        <v>647</v>
      </c>
      <c r="J2302" s="15" t="str">
        <f>""</f>
        <v/>
      </c>
      <c r="K2302" s="15" t="str">
        <f>"PFES1162673546_0001"</f>
        <v>PFES1162673546_0001</v>
      </c>
      <c r="L2302" s="15">
        <v>1</v>
      </c>
      <c r="M2302" s="15">
        <v>7</v>
      </c>
    </row>
    <row r="2303" spans="1:13">
      <c r="A2303" s="6">
        <v>43511</v>
      </c>
      <c r="B2303" s="7">
        <v>0.58333333333333337</v>
      </c>
      <c r="C2303" s="15" t="str">
        <f>"FES1162673556"</f>
        <v>FES1162673556</v>
      </c>
      <c r="D2303" s="15" t="s">
        <v>18</v>
      </c>
      <c r="E2303" s="15" t="s">
        <v>120</v>
      </c>
      <c r="F2303" s="15" t="str">
        <f>"2170674688 "</f>
        <v xml:space="preserve">2170674688 </v>
      </c>
      <c r="G2303" s="15" t="str">
        <f t="shared" si="69"/>
        <v>ON1</v>
      </c>
      <c r="H2303" s="15" t="s">
        <v>20</v>
      </c>
      <c r="I2303" s="15" t="s">
        <v>121</v>
      </c>
      <c r="J2303" s="15" t="str">
        <f>""</f>
        <v/>
      </c>
      <c r="K2303" s="15" t="str">
        <f>"PFES1162673556_0001"</f>
        <v>PFES1162673556_0001</v>
      </c>
      <c r="L2303" s="15">
        <v>1</v>
      </c>
      <c r="M2303" s="15">
        <v>1</v>
      </c>
    </row>
    <row r="2304" spans="1:13">
      <c r="A2304" s="6">
        <v>43511</v>
      </c>
      <c r="B2304" s="7">
        <v>0.58333333333333337</v>
      </c>
      <c r="C2304" s="15" t="str">
        <f>"FES1162673522"</f>
        <v>FES1162673522</v>
      </c>
      <c r="D2304" s="15" t="s">
        <v>18</v>
      </c>
      <c r="E2304" s="15" t="s">
        <v>976</v>
      </c>
      <c r="F2304" s="15" t="str">
        <f>"2170674639 "</f>
        <v xml:space="preserve">2170674639 </v>
      </c>
      <c r="G2304" s="15" t="str">
        <f t="shared" si="69"/>
        <v>ON1</v>
      </c>
      <c r="H2304" s="15" t="s">
        <v>20</v>
      </c>
      <c r="I2304" s="15" t="s">
        <v>918</v>
      </c>
      <c r="J2304" s="15" t="str">
        <f>""</f>
        <v/>
      </c>
      <c r="K2304" s="15" t="str">
        <f>"PFES1162673522_0001"</f>
        <v>PFES1162673522_0001</v>
      </c>
      <c r="L2304" s="15">
        <v>1</v>
      </c>
      <c r="M2304" s="15">
        <v>1</v>
      </c>
    </row>
    <row r="2305" spans="1:13">
      <c r="A2305" s="6">
        <v>43511</v>
      </c>
      <c r="B2305" s="7">
        <v>0.58194444444444449</v>
      </c>
      <c r="C2305" s="15" t="str">
        <f>"FES1162673501"</f>
        <v>FES1162673501</v>
      </c>
      <c r="D2305" s="15" t="s">
        <v>18</v>
      </c>
      <c r="E2305" s="15" t="s">
        <v>371</v>
      </c>
      <c r="F2305" s="15" t="str">
        <f>"2170673986 "</f>
        <v xml:space="preserve">2170673986 </v>
      </c>
      <c r="G2305" s="15" t="str">
        <f t="shared" si="69"/>
        <v>ON1</v>
      </c>
      <c r="H2305" s="15" t="s">
        <v>20</v>
      </c>
      <c r="I2305" s="15" t="s">
        <v>61</v>
      </c>
      <c r="J2305" s="15" t="str">
        <f>""</f>
        <v/>
      </c>
      <c r="K2305" s="15" t="str">
        <f>"PFES1162673501_0001"</f>
        <v>PFES1162673501_0001</v>
      </c>
      <c r="L2305" s="15">
        <v>1</v>
      </c>
      <c r="M2305" s="15">
        <v>1</v>
      </c>
    </row>
    <row r="2306" spans="1:13">
      <c r="A2306" s="6">
        <v>43511</v>
      </c>
      <c r="B2306" s="7">
        <v>0.58194444444444449</v>
      </c>
      <c r="C2306" s="15" t="str">
        <f>"FES1162673403"</f>
        <v>FES1162673403</v>
      </c>
      <c r="D2306" s="15" t="s">
        <v>18</v>
      </c>
      <c r="E2306" s="15" t="s">
        <v>977</v>
      </c>
      <c r="F2306" s="15" t="str">
        <f>"2170674560 "</f>
        <v xml:space="preserve">2170674560 </v>
      </c>
      <c r="G2306" s="15" t="str">
        <f t="shared" si="69"/>
        <v>ON1</v>
      </c>
      <c r="H2306" s="15" t="s">
        <v>20</v>
      </c>
      <c r="I2306" s="15" t="s">
        <v>653</v>
      </c>
      <c r="J2306" s="15" t="str">
        <f>""</f>
        <v/>
      </c>
      <c r="K2306" s="15" t="str">
        <f>"PFES1162673403_0001"</f>
        <v>PFES1162673403_0001</v>
      </c>
      <c r="L2306" s="15">
        <v>1</v>
      </c>
      <c r="M2306" s="15">
        <v>1</v>
      </c>
    </row>
    <row r="2307" spans="1:13">
      <c r="A2307" s="6">
        <v>43511</v>
      </c>
      <c r="B2307" s="7">
        <v>0.58124999999999993</v>
      </c>
      <c r="C2307" s="15" t="str">
        <f>"FES1162673502"</f>
        <v>FES1162673502</v>
      </c>
      <c r="D2307" s="15" t="s">
        <v>18</v>
      </c>
      <c r="E2307" s="15" t="s">
        <v>371</v>
      </c>
      <c r="F2307" s="15" t="str">
        <f>"2170674158 "</f>
        <v xml:space="preserve">2170674158 </v>
      </c>
      <c r="G2307" s="15" t="str">
        <f t="shared" si="69"/>
        <v>ON1</v>
      </c>
      <c r="H2307" s="15" t="s">
        <v>20</v>
      </c>
      <c r="I2307" s="15" t="s">
        <v>61</v>
      </c>
      <c r="J2307" s="15" t="str">
        <f>""</f>
        <v/>
      </c>
      <c r="K2307" s="15" t="str">
        <f>"PFES1162673502_0001"</f>
        <v>PFES1162673502_0001</v>
      </c>
      <c r="L2307" s="15">
        <v>1</v>
      </c>
      <c r="M2307" s="15">
        <v>1</v>
      </c>
    </row>
    <row r="2308" spans="1:13">
      <c r="A2308" s="6">
        <v>43511</v>
      </c>
      <c r="B2308" s="7">
        <v>0.58124999999999993</v>
      </c>
      <c r="C2308" s="15" t="str">
        <f>"FES1162673364"</f>
        <v>FES1162673364</v>
      </c>
      <c r="D2308" s="15" t="s">
        <v>18</v>
      </c>
      <c r="E2308" s="15" t="s">
        <v>116</v>
      </c>
      <c r="F2308" s="15" t="str">
        <f>"2170672888 "</f>
        <v xml:space="preserve">2170672888 </v>
      </c>
      <c r="G2308" s="15" t="str">
        <f t="shared" si="69"/>
        <v>ON1</v>
      </c>
      <c r="H2308" s="15" t="s">
        <v>20</v>
      </c>
      <c r="I2308" s="15" t="s">
        <v>117</v>
      </c>
      <c r="J2308" s="15" t="str">
        <f>""</f>
        <v/>
      </c>
      <c r="K2308" s="15" t="str">
        <f>"PFES1162673364_0001"</f>
        <v>PFES1162673364_0001</v>
      </c>
      <c r="L2308" s="15">
        <v>1</v>
      </c>
      <c r="M2308" s="15">
        <v>1</v>
      </c>
    </row>
    <row r="2309" spans="1:13">
      <c r="A2309" s="6">
        <v>43511</v>
      </c>
      <c r="B2309" s="7">
        <v>0.5805555555555556</v>
      </c>
      <c r="C2309" s="15" t="str">
        <f>"FES1162673416"</f>
        <v>FES1162673416</v>
      </c>
      <c r="D2309" s="15" t="s">
        <v>18</v>
      </c>
      <c r="E2309" s="15" t="s">
        <v>615</v>
      </c>
      <c r="F2309" s="15" t="str">
        <f>"2170674581 "</f>
        <v xml:space="preserve">2170674581 </v>
      </c>
      <c r="G2309" s="15" t="str">
        <f t="shared" si="69"/>
        <v>ON1</v>
      </c>
      <c r="H2309" s="15" t="s">
        <v>20</v>
      </c>
      <c r="I2309" s="15" t="s">
        <v>616</v>
      </c>
      <c r="J2309" s="15" t="str">
        <f>""</f>
        <v/>
      </c>
      <c r="K2309" s="15" t="str">
        <f>"PFES1162673416_0001"</f>
        <v>PFES1162673416_0001</v>
      </c>
      <c r="L2309" s="15">
        <v>1</v>
      </c>
      <c r="M2309" s="15">
        <v>1</v>
      </c>
    </row>
    <row r="2310" spans="1:13">
      <c r="A2310" s="6">
        <v>43511</v>
      </c>
      <c r="B2310" s="7">
        <v>0.57916666666666672</v>
      </c>
      <c r="C2310" s="15" t="str">
        <f>"FES1162673514"</f>
        <v>FES1162673514</v>
      </c>
      <c r="D2310" s="15" t="s">
        <v>18</v>
      </c>
      <c r="E2310" s="15" t="s">
        <v>978</v>
      </c>
      <c r="F2310" s="15" t="str">
        <f>"2170674640 "</f>
        <v xml:space="preserve">2170674640 </v>
      </c>
      <c r="G2310" s="15" t="str">
        <f t="shared" si="69"/>
        <v>ON1</v>
      </c>
      <c r="H2310" s="15" t="s">
        <v>20</v>
      </c>
      <c r="I2310" s="15" t="s">
        <v>117</v>
      </c>
      <c r="J2310" s="15" t="str">
        <f>""</f>
        <v/>
      </c>
      <c r="K2310" s="15" t="str">
        <f>"PFES1162673514_0001"</f>
        <v>PFES1162673514_0001</v>
      </c>
      <c r="L2310" s="15">
        <v>1</v>
      </c>
      <c r="M2310" s="15">
        <v>1</v>
      </c>
    </row>
    <row r="2311" spans="1:13">
      <c r="A2311" s="6">
        <v>43511</v>
      </c>
      <c r="B2311" s="7">
        <v>0.57916666666666672</v>
      </c>
      <c r="C2311" s="15" t="str">
        <f>"FES1162673420"</f>
        <v>FES1162673420</v>
      </c>
      <c r="D2311" s="15" t="s">
        <v>18</v>
      </c>
      <c r="E2311" s="15" t="s">
        <v>78</v>
      </c>
      <c r="F2311" s="15" t="str">
        <f>"2170674584 "</f>
        <v xml:space="preserve">2170674584 </v>
      </c>
      <c r="G2311" s="15" t="str">
        <f t="shared" ref="G2311:G2313" si="70">"ON1"</f>
        <v>ON1</v>
      </c>
      <c r="H2311" s="15" t="s">
        <v>20</v>
      </c>
      <c r="I2311" s="15" t="s">
        <v>79</v>
      </c>
      <c r="J2311" s="15" t="str">
        <f>""</f>
        <v/>
      </c>
      <c r="K2311" s="15" t="str">
        <f>"PFES1162673420_0001"</f>
        <v>PFES1162673420_0001</v>
      </c>
      <c r="L2311" s="15">
        <v>1</v>
      </c>
      <c r="M2311" s="15">
        <v>9</v>
      </c>
    </row>
    <row r="2312" spans="1:13">
      <c r="A2312" s="6">
        <v>43511</v>
      </c>
      <c r="B2312" s="7">
        <v>0.57847222222222217</v>
      </c>
      <c r="C2312" s="15" t="str">
        <f>"FES1162673536"</f>
        <v>FES1162673536</v>
      </c>
      <c r="D2312" s="15" t="s">
        <v>18</v>
      </c>
      <c r="E2312" s="15" t="s">
        <v>150</v>
      </c>
      <c r="F2312" s="15" t="str">
        <f>"2170674660 "</f>
        <v xml:space="preserve">2170674660 </v>
      </c>
      <c r="G2312" s="15" t="str">
        <f t="shared" si="70"/>
        <v>ON1</v>
      </c>
      <c r="H2312" s="15" t="s">
        <v>20</v>
      </c>
      <c r="I2312" s="15" t="s">
        <v>137</v>
      </c>
      <c r="J2312" s="15" t="str">
        <f>""</f>
        <v/>
      </c>
      <c r="K2312" s="15" t="str">
        <f>"PFES1162673536_0001"</f>
        <v>PFES1162673536_0001</v>
      </c>
      <c r="L2312" s="15">
        <v>1</v>
      </c>
      <c r="M2312" s="15">
        <v>4</v>
      </c>
    </row>
    <row r="2313" spans="1:13">
      <c r="A2313" s="6">
        <v>43511</v>
      </c>
      <c r="B2313" s="7">
        <v>0.57777777777777783</v>
      </c>
      <c r="C2313" s="15" t="str">
        <f>"FES1162673508"</f>
        <v>FES1162673508</v>
      </c>
      <c r="D2313" s="15" t="s">
        <v>18</v>
      </c>
      <c r="E2313" s="15" t="s">
        <v>979</v>
      </c>
      <c r="F2313" s="15" t="str">
        <f>"2170674629 "</f>
        <v xml:space="preserve">2170674629 </v>
      </c>
      <c r="G2313" s="15" t="str">
        <f t="shared" si="70"/>
        <v>ON1</v>
      </c>
      <c r="H2313" s="15" t="s">
        <v>20</v>
      </c>
      <c r="I2313" s="15" t="s">
        <v>867</v>
      </c>
      <c r="J2313" s="15" t="str">
        <f>""</f>
        <v/>
      </c>
      <c r="K2313" s="15" t="str">
        <f>"PFES1162673508_0001"</f>
        <v>PFES1162673508_0001</v>
      </c>
      <c r="L2313" s="15">
        <v>1</v>
      </c>
      <c r="M2313" s="15">
        <v>1</v>
      </c>
    </row>
    <row r="2314" spans="1:13">
      <c r="A2314" s="6">
        <v>43511</v>
      </c>
      <c r="B2314" s="7">
        <v>0.57638888888888895</v>
      </c>
      <c r="C2314" s="15" t="str">
        <f>"FES1162673557"</f>
        <v>FES1162673557</v>
      </c>
      <c r="D2314" s="15" t="s">
        <v>18</v>
      </c>
      <c r="E2314" s="15" t="s">
        <v>980</v>
      </c>
      <c r="F2314" s="15" t="str">
        <f>"2170674673 "</f>
        <v xml:space="preserve">2170674673 </v>
      </c>
      <c r="G2314" s="15" t="str">
        <f>"SAT"</f>
        <v>SAT</v>
      </c>
      <c r="H2314" s="15" t="s">
        <v>20</v>
      </c>
      <c r="I2314" s="15" t="s">
        <v>161</v>
      </c>
      <c r="J2314" s="15" t="str">
        <f>"HOLD FOR COLLECTION"</f>
        <v>HOLD FOR COLLECTION</v>
      </c>
      <c r="K2314" s="15" t="str">
        <f>"PFES1162673557_0001"</f>
        <v>PFES1162673557_0001</v>
      </c>
      <c r="L2314" s="15">
        <v>1</v>
      </c>
      <c r="M2314" s="15">
        <v>1</v>
      </c>
    </row>
    <row r="2315" spans="1:13">
      <c r="A2315" s="6">
        <v>43511</v>
      </c>
      <c r="B2315" s="7">
        <v>0.5756944444444444</v>
      </c>
      <c r="C2315" s="15" t="str">
        <f>"FES1162673441"</f>
        <v>FES1162673441</v>
      </c>
      <c r="D2315" s="15" t="s">
        <v>18</v>
      </c>
      <c r="E2315" s="15" t="s">
        <v>624</v>
      </c>
      <c r="F2315" s="15" t="str">
        <f>"2170671990 "</f>
        <v xml:space="preserve">2170671990 </v>
      </c>
      <c r="G2315" s="15" t="str">
        <f t="shared" ref="G2315:G2378" si="71">"ON1"</f>
        <v>ON1</v>
      </c>
      <c r="H2315" s="15" t="s">
        <v>20</v>
      </c>
      <c r="I2315" s="15" t="s">
        <v>29</v>
      </c>
      <c r="J2315" s="15" t="str">
        <f>""</f>
        <v/>
      </c>
      <c r="K2315" s="15" t="str">
        <f>"PFES1162673441_0001"</f>
        <v>PFES1162673441_0001</v>
      </c>
      <c r="L2315" s="15">
        <v>1</v>
      </c>
      <c r="M2315" s="15">
        <v>3</v>
      </c>
    </row>
    <row r="2316" spans="1:13">
      <c r="A2316" s="6">
        <v>43511</v>
      </c>
      <c r="B2316" s="7">
        <v>0.57430555555555551</v>
      </c>
      <c r="C2316" s="15" t="str">
        <f>"FES1162673401"</f>
        <v>FES1162673401</v>
      </c>
      <c r="D2316" s="15" t="s">
        <v>18</v>
      </c>
      <c r="E2316" s="15" t="s">
        <v>209</v>
      </c>
      <c r="F2316" s="15" t="str">
        <f>"2170674535 "</f>
        <v xml:space="preserve">2170674535 </v>
      </c>
      <c r="G2316" s="15" t="str">
        <f t="shared" si="71"/>
        <v>ON1</v>
      </c>
      <c r="H2316" s="15" t="s">
        <v>20</v>
      </c>
      <c r="I2316" s="15" t="s">
        <v>210</v>
      </c>
      <c r="J2316" s="15" t="str">
        <f>""</f>
        <v/>
      </c>
      <c r="K2316" s="15" t="str">
        <f>"PFES1162673401_0001"</f>
        <v>PFES1162673401_0001</v>
      </c>
      <c r="L2316" s="15">
        <v>1</v>
      </c>
      <c r="M2316" s="15">
        <v>1</v>
      </c>
    </row>
    <row r="2317" spans="1:13">
      <c r="A2317" s="6">
        <v>43511</v>
      </c>
      <c r="B2317" s="7">
        <v>0.57361111111111118</v>
      </c>
      <c r="C2317" s="15" t="str">
        <f>"FES1162673530"</f>
        <v>FES1162673530</v>
      </c>
      <c r="D2317" s="15" t="s">
        <v>18</v>
      </c>
      <c r="E2317" s="15" t="s">
        <v>88</v>
      </c>
      <c r="F2317" s="15" t="str">
        <f>"2170673845 "</f>
        <v xml:space="preserve">2170673845 </v>
      </c>
      <c r="G2317" s="15" t="str">
        <f t="shared" si="71"/>
        <v>ON1</v>
      </c>
      <c r="H2317" s="15" t="s">
        <v>20</v>
      </c>
      <c r="I2317" s="15" t="s">
        <v>89</v>
      </c>
      <c r="J2317" s="15" t="str">
        <f>""</f>
        <v/>
      </c>
      <c r="K2317" s="15" t="str">
        <f>"PFES1162673530_0001"</f>
        <v>PFES1162673530_0001</v>
      </c>
      <c r="L2317" s="15">
        <v>1</v>
      </c>
      <c r="M2317" s="15">
        <v>1</v>
      </c>
    </row>
    <row r="2318" spans="1:13">
      <c r="A2318" s="6">
        <v>43511</v>
      </c>
      <c r="B2318" s="7">
        <v>0.57222222222222219</v>
      </c>
      <c r="C2318" s="15" t="str">
        <f>"FES1162673531"</f>
        <v>FES1162673531</v>
      </c>
      <c r="D2318" s="15" t="s">
        <v>18</v>
      </c>
      <c r="E2318" s="15" t="s">
        <v>88</v>
      </c>
      <c r="F2318" s="15" t="str">
        <f>"2170673641 "</f>
        <v xml:space="preserve">2170673641 </v>
      </c>
      <c r="G2318" s="15" t="str">
        <f t="shared" si="71"/>
        <v>ON1</v>
      </c>
      <c r="H2318" s="15" t="s">
        <v>20</v>
      </c>
      <c r="I2318" s="15" t="s">
        <v>89</v>
      </c>
      <c r="J2318" s="15" t="str">
        <f>""</f>
        <v/>
      </c>
      <c r="K2318" s="15" t="str">
        <f>"PFES1162673531_0001"</f>
        <v>PFES1162673531_0001</v>
      </c>
      <c r="L2318" s="15">
        <v>1</v>
      </c>
      <c r="M2318" s="15">
        <v>1</v>
      </c>
    </row>
    <row r="2319" spans="1:13">
      <c r="A2319" s="6">
        <v>43511</v>
      </c>
      <c r="B2319" s="7">
        <v>0.56388888888888888</v>
      </c>
      <c r="C2319" s="15" t="str">
        <f>"FES1162673547"</f>
        <v>FES1162673547</v>
      </c>
      <c r="D2319" s="15" t="s">
        <v>18</v>
      </c>
      <c r="E2319" s="15" t="s">
        <v>138</v>
      </c>
      <c r="F2319" s="15" t="str">
        <f>"2170674670 "</f>
        <v xml:space="preserve">2170674670 </v>
      </c>
      <c r="G2319" s="15" t="str">
        <f t="shared" si="71"/>
        <v>ON1</v>
      </c>
      <c r="H2319" s="15" t="s">
        <v>20</v>
      </c>
      <c r="I2319" s="15" t="s">
        <v>139</v>
      </c>
      <c r="J2319" s="15" t="str">
        <f>""</f>
        <v/>
      </c>
      <c r="K2319" s="15" t="str">
        <f>"PFES1162673547_0001"</f>
        <v>PFES1162673547_0001</v>
      </c>
      <c r="L2319" s="15">
        <v>1</v>
      </c>
      <c r="M2319" s="15">
        <v>1</v>
      </c>
    </row>
    <row r="2320" spans="1:13">
      <c r="A2320" s="6">
        <v>43511</v>
      </c>
      <c r="B2320" s="7">
        <v>0.56388888888888888</v>
      </c>
      <c r="C2320" s="15" t="str">
        <f>"FES1162673526"</f>
        <v>FES1162673526</v>
      </c>
      <c r="D2320" s="15" t="s">
        <v>18</v>
      </c>
      <c r="E2320" s="15" t="s">
        <v>69</v>
      </c>
      <c r="F2320" s="15" t="str">
        <f>"2170674649 "</f>
        <v xml:space="preserve">2170674649 </v>
      </c>
      <c r="G2320" s="15" t="str">
        <f t="shared" si="71"/>
        <v>ON1</v>
      </c>
      <c r="H2320" s="15" t="s">
        <v>20</v>
      </c>
      <c r="I2320" s="15" t="s">
        <v>70</v>
      </c>
      <c r="J2320" s="15" t="str">
        <f>""</f>
        <v/>
      </c>
      <c r="K2320" s="15" t="str">
        <f>"PFES1162673526_0001"</f>
        <v>PFES1162673526_0001</v>
      </c>
      <c r="L2320" s="15">
        <v>1</v>
      </c>
      <c r="M2320" s="15">
        <v>1</v>
      </c>
    </row>
    <row r="2321" spans="1:13">
      <c r="A2321" s="6">
        <v>43511</v>
      </c>
      <c r="B2321" s="7">
        <v>0.56319444444444444</v>
      </c>
      <c r="C2321" s="15" t="str">
        <f>"FES1162673551"</f>
        <v>FES1162673551</v>
      </c>
      <c r="D2321" s="15" t="s">
        <v>18</v>
      </c>
      <c r="E2321" s="15" t="s">
        <v>981</v>
      </c>
      <c r="F2321" s="15" t="str">
        <f>"2170674680 "</f>
        <v xml:space="preserve">2170674680 </v>
      </c>
      <c r="G2321" s="15" t="str">
        <f t="shared" si="71"/>
        <v>ON1</v>
      </c>
      <c r="H2321" s="15" t="s">
        <v>20</v>
      </c>
      <c r="I2321" s="15" t="s">
        <v>982</v>
      </c>
      <c r="J2321" s="15" t="str">
        <f>""</f>
        <v/>
      </c>
      <c r="K2321" s="15" t="str">
        <f>"PFES1162673551_0001"</f>
        <v>PFES1162673551_0001</v>
      </c>
      <c r="L2321" s="15">
        <v>1</v>
      </c>
      <c r="M2321" s="15">
        <v>1</v>
      </c>
    </row>
    <row r="2322" spans="1:13">
      <c r="A2322" s="6">
        <v>43511</v>
      </c>
      <c r="B2322" s="7">
        <v>0.5625</v>
      </c>
      <c r="C2322" s="15" t="str">
        <f>"FES1162673483"</f>
        <v>FES1162673483</v>
      </c>
      <c r="D2322" s="15" t="s">
        <v>18</v>
      </c>
      <c r="E2322" s="15" t="s">
        <v>190</v>
      </c>
      <c r="F2322" s="15" t="str">
        <f>"2170674597 "</f>
        <v xml:space="preserve">2170674597 </v>
      </c>
      <c r="G2322" s="15" t="str">
        <f t="shared" si="71"/>
        <v>ON1</v>
      </c>
      <c r="H2322" s="15" t="s">
        <v>20</v>
      </c>
      <c r="I2322" s="15" t="s">
        <v>362</v>
      </c>
      <c r="J2322" s="15" t="str">
        <f>""</f>
        <v/>
      </c>
      <c r="K2322" s="15" t="str">
        <f>"PFES1162673483_0001"</f>
        <v>PFES1162673483_0001</v>
      </c>
      <c r="L2322" s="15">
        <v>1</v>
      </c>
      <c r="M2322" s="15">
        <v>1</v>
      </c>
    </row>
    <row r="2323" spans="1:13">
      <c r="A2323" s="6">
        <v>43511</v>
      </c>
      <c r="B2323" s="7">
        <v>0.56180555555555556</v>
      </c>
      <c r="C2323" s="15" t="str">
        <f>"FES1162673509"</f>
        <v>FES1162673509</v>
      </c>
      <c r="D2323" s="15" t="s">
        <v>18</v>
      </c>
      <c r="E2323" s="15" t="s">
        <v>312</v>
      </c>
      <c r="F2323" s="15" t="str">
        <f>"2170674631 "</f>
        <v xml:space="preserve">2170674631 </v>
      </c>
      <c r="G2323" s="15" t="str">
        <f t="shared" si="71"/>
        <v>ON1</v>
      </c>
      <c r="H2323" s="15" t="s">
        <v>20</v>
      </c>
      <c r="I2323" s="15" t="s">
        <v>70</v>
      </c>
      <c r="J2323" s="15" t="str">
        <f>""</f>
        <v/>
      </c>
      <c r="K2323" s="15" t="str">
        <f>"PFES1162673509_0001"</f>
        <v>PFES1162673509_0001</v>
      </c>
      <c r="L2323" s="15">
        <v>1</v>
      </c>
      <c r="M2323" s="15">
        <v>1</v>
      </c>
    </row>
    <row r="2324" spans="1:13">
      <c r="A2324" s="6">
        <v>43511</v>
      </c>
      <c r="B2324" s="7">
        <v>0.56111111111111112</v>
      </c>
      <c r="C2324" s="15" t="str">
        <f>"FES1162673540"</f>
        <v>FES1162673540</v>
      </c>
      <c r="D2324" s="15" t="s">
        <v>18</v>
      </c>
      <c r="E2324" s="15" t="s">
        <v>301</v>
      </c>
      <c r="F2324" s="15" t="str">
        <f>"2170670660 "</f>
        <v xml:space="preserve">2170670660 </v>
      </c>
      <c r="G2324" s="15" t="str">
        <f t="shared" si="71"/>
        <v>ON1</v>
      </c>
      <c r="H2324" s="15" t="s">
        <v>20</v>
      </c>
      <c r="I2324" s="15" t="s">
        <v>113</v>
      </c>
      <c r="J2324" s="15" t="str">
        <f>""</f>
        <v/>
      </c>
      <c r="K2324" s="15" t="str">
        <f>"PFES1162673540_0001"</f>
        <v>PFES1162673540_0001</v>
      </c>
      <c r="L2324" s="15">
        <v>1</v>
      </c>
      <c r="M2324" s="15">
        <v>1</v>
      </c>
    </row>
    <row r="2325" spans="1:13">
      <c r="A2325" s="6">
        <v>43511</v>
      </c>
      <c r="B2325" s="7">
        <v>0.56111111111111112</v>
      </c>
      <c r="C2325" s="15" t="str">
        <f>"FES1162673396"</f>
        <v>FES1162673396</v>
      </c>
      <c r="D2325" s="15" t="s">
        <v>18</v>
      </c>
      <c r="E2325" s="15" t="s">
        <v>366</v>
      </c>
      <c r="F2325" s="15" t="str">
        <f>"2170674562 "</f>
        <v xml:space="preserve">2170674562 </v>
      </c>
      <c r="G2325" s="15" t="str">
        <f t="shared" si="71"/>
        <v>ON1</v>
      </c>
      <c r="H2325" s="15" t="s">
        <v>20</v>
      </c>
      <c r="I2325" s="15" t="s">
        <v>367</v>
      </c>
      <c r="J2325" s="15" t="str">
        <f>""</f>
        <v/>
      </c>
      <c r="K2325" s="15" t="str">
        <f>"PFES1162673396_0001"</f>
        <v>PFES1162673396_0001</v>
      </c>
      <c r="L2325" s="15">
        <v>1</v>
      </c>
      <c r="M2325" s="15">
        <v>1</v>
      </c>
    </row>
    <row r="2326" spans="1:13">
      <c r="A2326" s="6">
        <v>43511</v>
      </c>
      <c r="B2326" s="7">
        <v>0.56041666666666667</v>
      </c>
      <c r="C2326" s="15" t="str">
        <f>"FES1162673362"</f>
        <v>FES1162673362</v>
      </c>
      <c r="D2326" s="15" t="s">
        <v>18</v>
      </c>
      <c r="E2326" s="15" t="s">
        <v>438</v>
      </c>
      <c r="F2326" s="15" t="str">
        <f>"21700672867 "</f>
        <v xml:space="preserve">21700672867 </v>
      </c>
      <c r="G2326" s="15" t="str">
        <f t="shared" si="71"/>
        <v>ON1</v>
      </c>
      <c r="H2326" s="15" t="s">
        <v>20</v>
      </c>
      <c r="I2326" s="15" t="s">
        <v>390</v>
      </c>
      <c r="J2326" s="15" t="str">
        <f>""</f>
        <v/>
      </c>
      <c r="K2326" s="15" t="str">
        <f>"PFES1162673362_0001"</f>
        <v>PFES1162673362_0001</v>
      </c>
      <c r="L2326" s="15">
        <v>1</v>
      </c>
      <c r="M2326" s="15">
        <v>1</v>
      </c>
    </row>
    <row r="2327" spans="1:13">
      <c r="A2327" s="6">
        <v>43511</v>
      </c>
      <c r="B2327" s="7">
        <v>0.55972222222222223</v>
      </c>
      <c r="C2327" s="15" t="str">
        <f>"FES1162673515"</f>
        <v>FES1162673515</v>
      </c>
      <c r="D2327" s="15" t="s">
        <v>18</v>
      </c>
      <c r="E2327" s="15" t="s">
        <v>384</v>
      </c>
      <c r="F2327" s="15" t="str">
        <f>"2170674642 "</f>
        <v xml:space="preserve">2170674642 </v>
      </c>
      <c r="G2327" s="15" t="str">
        <f t="shared" si="71"/>
        <v>ON1</v>
      </c>
      <c r="H2327" s="15" t="s">
        <v>20</v>
      </c>
      <c r="I2327" s="15" t="s">
        <v>29</v>
      </c>
      <c r="J2327" s="15" t="str">
        <f>""</f>
        <v/>
      </c>
      <c r="K2327" s="15" t="str">
        <f>"PFES1162673515_0001"</f>
        <v>PFES1162673515_0001</v>
      </c>
      <c r="L2327" s="15">
        <v>1</v>
      </c>
      <c r="M2327" s="15">
        <v>1</v>
      </c>
    </row>
    <row r="2328" spans="1:13">
      <c r="A2328" s="6">
        <v>43511</v>
      </c>
      <c r="B2328" s="7">
        <v>0.55902777777777779</v>
      </c>
      <c r="C2328" s="15" t="str">
        <f>"FES1162673353"</f>
        <v>FES1162673353</v>
      </c>
      <c r="D2328" s="15" t="s">
        <v>18</v>
      </c>
      <c r="E2328" s="15" t="s">
        <v>757</v>
      </c>
      <c r="F2328" s="15" t="str">
        <f>"2170672794 "</f>
        <v xml:space="preserve">2170672794 </v>
      </c>
      <c r="G2328" s="15" t="str">
        <f t="shared" si="71"/>
        <v>ON1</v>
      </c>
      <c r="H2328" s="15" t="s">
        <v>20</v>
      </c>
      <c r="I2328" s="15" t="s">
        <v>61</v>
      </c>
      <c r="J2328" s="15" t="str">
        <f>""</f>
        <v/>
      </c>
      <c r="K2328" s="15" t="str">
        <f>"PFES1162673353_0001"</f>
        <v>PFES1162673353_0001</v>
      </c>
      <c r="L2328" s="15">
        <v>1</v>
      </c>
      <c r="M2328" s="15">
        <v>1</v>
      </c>
    </row>
    <row r="2329" spans="1:13">
      <c r="A2329" s="6">
        <v>43511</v>
      </c>
      <c r="B2329" s="7">
        <v>0.55347222222222225</v>
      </c>
      <c r="C2329" s="15" t="str">
        <f>"FES1162673385"</f>
        <v>FES1162673385</v>
      </c>
      <c r="D2329" s="15" t="s">
        <v>18</v>
      </c>
      <c r="E2329" s="15" t="s">
        <v>983</v>
      </c>
      <c r="F2329" s="15" t="str">
        <f>"2170674148 "</f>
        <v xml:space="preserve">2170674148 </v>
      </c>
      <c r="G2329" s="15" t="str">
        <f t="shared" si="71"/>
        <v>ON1</v>
      </c>
      <c r="H2329" s="15" t="s">
        <v>20</v>
      </c>
      <c r="I2329" s="15" t="s">
        <v>149</v>
      </c>
      <c r="J2329" s="15" t="str">
        <f>""</f>
        <v/>
      </c>
      <c r="K2329" s="15" t="str">
        <f>"PFES1162673385_0001"</f>
        <v>PFES1162673385_0001</v>
      </c>
      <c r="L2329" s="15">
        <v>1</v>
      </c>
      <c r="M2329" s="15">
        <v>14</v>
      </c>
    </row>
    <row r="2330" spans="1:13">
      <c r="A2330" s="6">
        <v>43511</v>
      </c>
      <c r="B2330" s="7">
        <v>0.55138888888888882</v>
      </c>
      <c r="C2330" s="15" t="str">
        <f>"FES1162673524"</f>
        <v>FES1162673524</v>
      </c>
      <c r="D2330" s="15" t="s">
        <v>18</v>
      </c>
      <c r="E2330" s="15" t="s">
        <v>984</v>
      </c>
      <c r="F2330" s="15" t="str">
        <f>"2170674647 "</f>
        <v xml:space="preserve">2170674647 </v>
      </c>
      <c r="G2330" s="15" t="str">
        <f t="shared" si="71"/>
        <v>ON1</v>
      </c>
      <c r="H2330" s="15" t="s">
        <v>20</v>
      </c>
      <c r="I2330" s="15" t="s">
        <v>237</v>
      </c>
      <c r="J2330" s="15" t="str">
        <f>""</f>
        <v/>
      </c>
      <c r="K2330" s="15" t="str">
        <f>"PFES1162673524_0001"</f>
        <v>PFES1162673524_0001</v>
      </c>
      <c r="L2330" s="15">
        <v>1</v>
      </c>
      <c r="M2330" s="15">
        <v>2</v>
      </c>
    </row>
    <row r="2331" spans="1:13">
      <c r="A2331" s="6">
        <v>43511</v>
      </c>
      <c r="B2331" s="7">
        <v>0.55069444444444449</v>
      </c>
      <c r="C2331" s="15" t="str">
        <f>"FES1162673421"</f>
        <v>FES1162673421</v>
      </c>
      <c r="D2331" s="15" t="s">
        <v>18</v>
      </c>
      <c r="E2331" s="15" t="s">
        <v>985</v>
      </c>
      <c r="F2331" s="15" t="str">
        <f>"2170674585 "</f>
        <v xml:space="preserve">2170674585 </v>
      </c>
      <c r="G2331" s="15" t="str">
        <f t="shared" si="71"/>
        <v>ON1</v>
      </c>
      <c r="H2331" s="15" t="s">
        <v>20</v>
      </c>
      <c r="I2331" s="15" t="s">
        <v>986</v>
      </c>
      <c r="J2331" s="15" t="str">
        <f>""</f>
        <v/>
      </c>
      <c r="K2331" s="15" t="str">
        <f>"PFES1162673421_0001"</f>
        <v>PFES1162673421_0001</v>
      </c>
      <c r="L2331" s="15">
        <v>1</v>
      </c>
      <c r="M2331" s="15">
        <v>3</v>
      </c>
    </row>
    <row r="2332" spans="1:13">
      <c r="A2332" s="6">
        <v>43511</v>
      </c>
      <c r="B2332" s="7">
        <v>0.54999999999999993</v>
      </c>
      <c r="C2332" s="15" t="str">
        <f>"FES1162673466"</f>
        <v>FES1162673466</v>
      </c>
      <c r="D2332" s="15" t="s">
        <v>18</v>
      </c>
      <c r="E2332" s="15" t="s">
        <v>271</v>
      </c>
      <c r="F2332" s="15" t="str">
        <f>"2170672555 "</f>
        <v xml:space="preserve">2170672555 </v>
      </c>
      <c r="G2332" s="15" t="str">
        <f t="shared" si="71"/>
        <v>ON1</v>
      </c>
      <c r="H2332" s="15" t="s">
        <v>20</v>
      </c>
      <c r="I2332" s="15" t="s">
        <v>272</v>
      </c>
      <c r="J2332" s="15" t="str">
        <f>""</f>
        <v/>
      </c>
      <c r="K2332" s="15" t="str">
        <f>"PFES1162673466_0001"</f>
        <v>PFES1162673466_0001</v>
      </c>
      <c r="L2332" s="15">
        <v>1</v>
      </c>
      <c r="M2332" s="15">
        <v>3</v>
      </c>
    </row>
    <row r="2333" spans="1:13">
      <c r="A2333" s="6">
        <v>43511</v>
      </c>
      <c r="B2333" s="7">
        <v>0.54861111111111105</v>
      </c>
      <c r="C2333" s="15" t="str">
        <f>"FES1162673389"</f>
        <v>FES1162673389</v>
      </c>
      <c r="D2333" s="15" t="s">
        <v>18</v>
      </c>
      <c r="E2333" s="15" t="s">
        <v>987</v>
      </c>
      <c r="F2333" s="15" t="str">
        <f>"2170674551 "</f>
        <v xml:space="preserve">2170674551 </v>
      </c>
      <c r="G2333" s="15" t="str">
        <f t="shared" si="71"/>
        <v>ON1</v>
      </c>
      <c r="H2333" s="15" t="s">
        <v>20</v>
      </c>
      <c r="I2333" s="15" t="s">
        <v>103</v>
      </c>
      <c r="J2333" s="15" t="str">
        <f>""</f>
        <v/>
      </c>
      <c r="K2333" s="15" t="str">
        <f>"PFES1162673389_0001"</f>
        <v>PFES1162673389_0001</v>
      </c>
      <c r="L2333" s="15">
        <v>1</v>
      </c>
      <c r="M2333" s="15">
        <v>3</v>
      </c>
    </row>
    <row r="2334" spans="1:13">
      <c r="A2334" s="6">
        <v>43511</v>
      </c>
      <c r="B2334" s="7">
        <v>0.54791666666666672</v>
      </c>
      <c r="C2334" s="15" t="str">
        <f>"FES1162673412"</f>
        <v>FES1162673412</v>
      </c>
      <c r="D2334" s="15" t="s">
        <v>18</v>
      </c>
      <c r="E2334" s="15" t="s">
        <v>19</v>
      </c>
      <c r="F2334" s="15" t="str">
        <f>"2170674576 "</f>
        <v xml:space="preserve">2170674576 </v>
      </c>
      <c r="G2334" s="15" t="str">
        <f t="shared" si="71"/>
        <v>ON1</v>
      </c>
      <c r="H2334" s="15" t="s">
        <v>20</v>
      </c>
      <c r="I2334" s="15" t="s">
        <v>21</v>
      </c>
      <c r="J2334" s="15" t="str">
        <f>""</f>
        <v/>
      </c>
      <c r="K2334" s="15" t="str">
        <f>"PFES1162673412_0001"</f>
        <v>PFES1162673412_0001</v>
      </c>
      <c r="L2334" s="15">
        <v>1</v>
      </c>
      <c r="M2334" s="15">
        <v>3</v>
      </c>
    </row>
    <row r="2335" spans="1:13">
      <c r="A2335" s="6">
        <v>43511</v>
      </c>
      <c r="B2335" s="7">
        <v>0.54722222222222217</v>
      </c>
      <c r="C2335" s="15" t="str">
        <f>"FES1162673529"</f>
        <v>FES1162673529</v>
      </c>
      <c r="D2335" s="15" t="s">
        <v>18</v>
      </c>
      <c r="E2335" s="15" t="s">
        <v>899</v>
      </c>
      <c r="F2335" s="15" t="str">
        <f>"2170673080 "</f>
        <v xml:space="preserve">2170673080 </v>
      </c>
      <c r="G2335" s="15" t="str">
        <f t="shared" si="71"/>
        <v>ON1</v>
      </c>
      <c r="H2335" s="15" t="s">
        <v>20</v>
      </c>
      <c r="I2335" s="15" t="s">
        <v>143</v>
      </c>
      <c r="J2335" s="15" t="str">
        <f>""</f>
        <v/>
      </c>
      <c r="K2335" s="15" t="str">
        <f>"PFES1162673529_0001"</f>
        <v>PFES1162673529_0001</v>
      </c>
      <c r="L2335" s="15">
        <v>1</v>
      </c>
      <c r="M2335" s="15">
        <v>1</v>
      </c>
    </row>
    <row r="2336" spans="1:13">
      <c r="A2336" s="6">
        <v>43511</v>
      </c>
      <c r="B2336" s="7">
        <v>0.54652777777777783</v>
      </c>
      <c r="C2336" s="15" t="str">
        <f>"FES1162673444"</f>
        <v>FES1162673444</v>
      </c>
      <c r="D2336" s="15" t="s">
        <v>18</v>
      </c>
      <c r="E2336" s="15" t="s">
        <v>91</v>
      </c>
      <c r="F2336" s="15" t="str">
        <f>"2170672017 "</f>
        <v xml:space="preserve">2170672017 </v>
      </c>
      <c r="G2336" s="15" t="str">
        <f t="shared" si="71"/>
        <v>ON1</v>
      </c>
      <c r="H2336" s="15" t="s">
        <v>20</v>
      </c>
      <c r="I2336" s="15" t="s">
        <v>53</v>
      </c>
      <c r="J2336" s="15" t="str">
        <f>""</f>
        <v/>
      </c>
      <c r="K2336" s="15" t="str">
        <f>"PFES1162673444_0001"</f>
        <v>PFES1162673444_0001</v>
      </c>
      <c r="L2336" s="15">
        <v>1</v>
      </c>
      <c r="M2336" s="15">
        <v>2</v>
      </c>
    </row>
    <row r="2337" spans="1:13">
      <c r="A2337" s="6">
        <v>43511</v>
      </c>
      <c r="B2337" s="7">
        <v>0.54513888888888895</v>
      </c>
      <c r="C2337" s="15" t="str">
        <f>"FES1162673397"</f>
        <v>FES1162673397</v>
      </c>
      <c r="D2337" s="15" t="s">
        <v>18</v>
      </c>
      <c r="E2337" s="15" t="s">
        <v>315</v>
      </c>
      <c r="F2337" s="15" t="str">
        <f>"2170674564 "</f>
        <v xml:space="preserve">2170674564 </v>
      </c>
      <c r="G2337" s="15" t="str">
        <f t="shared" si="71"/>
        <v>ON1</v>
      </c>
      <c r="H2337" s="15" t="s">
        <v>20</v>
      </c>
      <c r="I2337" s="15" t="s">
        <v>239</v>
      </c>
      <c r="J2337" s="15" t="str">
        <f>""</f>
        <v/>
      </c>
      <c r="K2337" s="15" t="str">
        <f>"PFES1162673397_0001"</f>
        <v>PFES1162673397_0001</v>
      </c>
      <c r="L2337" s="15">
        <v>1</v>
      </c>
      <c r="M2337" s="15">
        <v>2</v>
      </c>
    </row>
    <row r="2338" spans="1:13">
      <c r="A2338" s="6">
        <v>43511</v>
      </c>
      <c r="B2338" s="7">
        <v>0.54513888888888895</v>
      </c>
      <c r="C2338" s="15" t="str">
        <f>"FES1162673535"</f>
        <v>FES1162673535</v>
      </c>
      <c r="D2338" s="15" t="s">
        <v>18</v>
      </c>
      <c r="E2338" s="15" t="s">
        <v>601</v>
      </c>
      <c r="F2338" s="15" t="str">
        <f>"2170674659 "</f>
        <v xml:space="preserve">2170674659 </v>
      </c>
      <c r="G2338" s="15" t="str">
        <f t="shared" si="71"/>
        <v>ON1</v>
      </c>
      <c r="H2338" s="15" t="s">
        <v>20</v>
      </c>
      <c r="I2338" s="15" t="s">
        <v>602</v>
      </c>
      <c r="J2338" s="15" t="str">
        <f>""</f>
        <v/>
      </c>
      <c r="K2338" s="15" t="str">
        <f>"PFES1162673535_0001"</f>
        <v>PFES1162673535_0001</v>
      </c>
      <c r="L2338" s="15">
        <v>1</v>
      </c>
      <c r="M2338" s="15">
        <v>1</v>
      </c>
    </row>
    <row r="2339" spans="1:13">
      <c r="A2339" s="6">
        <v>43511</v>
      </c>
      <c r="B2339" s="7">
        <v>0.5444444444444444</v>
      </c>
      <c r="C2339" s="15" t="str">
        <f>"FES1162673373"</f>
        <v>FES1162673373</v>
      </c>
      <c r="D2339" s="15" t="s">
        <v>18</v>
      </c>
      <c r="E2339" s="15" t="s">
        <v>154</v>
      </c>
      <c r="F2339" s="15" t="str">
        <f>"2170672977 "</f>
        <v xml:space="preserve">2170672977 </v>
      </c>
      <c r="G2339" s="15" t="str">
        <f t="shared" si="71"/>
        <v>ON1</v>
      </c>
      <c r="H2339" s="15" t="s">
        <v>20</v>
      </c>
      <c r="I2339" s="15" t="s">
        <v>67</v>
      </c>
      <c r="J2339" s="15" t="str">
        <f>""</f>
        <v/>
      </c>
      <c r="K2339" s="15" t="str">
        <f>"PFES1162673373_0001"</f>
        <v>PFES1162673373_0001</v>
      </c>
      <c r="L2339" s="15">
        <v>1</v>
      </c>
      <c r="M2339" s="15">
        <v>1</v>
      </c>
    </row>
    <row r="2340" spans="1:13">
      <c r="A2340" s="6">
        <v>43511</v>
      </c>
      <c r="B2340" s="7">
        <v>0.5444444444444444</v>
      </c>
      <c r="C2340" s="15" t="str">
        <f>"FES1162673472"</f>
        <v>FES1162673472</v>
      </c>
      <c r="D2340" s="15" t="s">
        <v>18</v>
      </c>
      <c r="E2340" s="15" t="s">
        <v>150</v>
      </c>
      <c r="F2340" s="15" t="str">
        <f>"2170673726 "</f>
        <v xml:space="preserve">2170673726 </v>
      </c>
      <c r="G2340" s="15" t="str">
        <f t="shared" si="71"/>
        <v>ON1</v>
      </c>
      <c r="H2340" s="15" t="s">
        <v>20</v>
      </c>
      <c r="I2340" s="15" t="s">
        <v>137</v>
      </c>
      <c r="J2340" s="15" t="str">
        <f>""</f>
        <v/>
      </c>
      <c r="K2340" s="15" t="str">
        <f>"PFES1162673472_0001"</f>
        <v>PFES1162673472_0001</v>
      </c>
      <c r="L2340" s="15">
        <v>1</v>
      </c>
      <c r="M2340" s="15">
        <v>2</v>
      </c>
    </row>
    <row r="2341" spans="1:13">
      <c r="A2341" s="6">
        <v>43511</v>
      </c>
      <c r="B2341" s="7">
        <v>0.5444444444444444</v>
      </c>
      <c r="C2341" s="15" t="str">
        <f>"FES1162673523"</f>
        <v>FES1162673523</v>
      </c>
      <c r="D2341" s="15" t="s">
        <v>18</v>
      </c>
      <c r="E2341" s="15" t="s">
        <v>289</v>
      </c>
      <c r="F2341" s="15" t="str">
        <f>"2170674643 "</f>
        <v xml:space="preserve">2170674643 </v>
      </c>
      <c r="G2341" s="15" t="str">
        <f t="shared" si="71"/>
        <v>ON1</v>
      </c>
      <c r="H2341" s="15" t="s">
        <v>20</v>
      </c>
      <c r="I2341" s="15" t="s">
        <v>290</v>
      </c>
      <c r="J2341" s="15" t="str">
        <f>""</f>
        <v/>
      </c>
      <c r="K2341" s="15" t="str">
        <f>"PFES1162673523_0001"</f>
        <v>PFES1162673523_0001</v>
      </c>
      <c r="L2341" s="15">
        <v>1</v>
      </c>
      <c r="M2341" s="15">
        <v>1</v>
      </c>
    </row>
    <row r="2342" spans="1:13">
      <c r="A2342" s="6">
        <v>43511</v>
      </c>
      <c r="B2342" s="7">
        <v>0.54375000000000007</v>
      </c>
      <c r="C2342" s="15" t="str">
        <f>"FES1162673506"</f>
        <v>FES1162673506</v>
      </c>
      <c r="D2342" s="15" t="s">
        <v>18</v>
      </c>
      <c r="E2342" s="15" t="s">
        <v>832</v>
      </c>
      <c r="F2342" s="15" t="str">
        <f>"2170674627 "</f>
        <v xml:space="preserve">2170674627 </v>
      </c>
      <c r="G2342" s="15" t="str">
        <f t="shared" si="71"/>
        <v>ON1</v>
      </c>
      <c r="H2342" s="15" t="s">
        <v>20</v>
      </c>
      <c r="I2342" s="15" t="s">
        <v>833</v>
      </c>
      <c r="J2342" s="15" t="str">
        <f>""</f>
        <v/>
      </c>
      <c r="K2342" s="15" t="str">
        <f>"PFES1162673506_0001"</f>
        <v>PFES1162673506_0001</v>
      </c>
      <c r="L2342" s="15">
        <v>1</v>
      </c>
      <c r="M2342" s="15">
        <v>1</v>
      </c>
    </row>
    <row r="2343" spans="1:13">
      <c r="A2343" s="6">
        <v>43511</v>
      </c>
      <c r="B2343" s="7">
        <v>0.54375000000000007</v>
      </c>
      <c r="C2343" s="15" t="str">
        <f>"FES1162673390"</f>
        <v>FES1162673390</v>
      </c>
      <c r="D2343" s="15" t="s">
        <v>18</v>
      </c>
      <c r="E2343" s="15" t="s">
        <v>214</v>
      </c>
      <c r="F2343" s="15" t="str">
        <f>"2170674552 "</f>
        <v xml:space="preserve">2170674552 </v>
      </c>
      <c r="G2343" s="15" t="str">
        <f t="shared" si="71"/>
        <v>ON1</v>
      </c>
      <c r="H2343" s="15" t="s">
        <v>20</v>
      </c>
      <c r="I2343" s="15" t="s">
        <v>215</v>
      </c>
      <c r="J2343" s="15" t="str">
        <f>""</f>
        <v/>
      </c>
      <c r="K2343" s="15" t="str">
        <f>"PFES1162673390_0001"</f>
        <v>PFES1162673390_0001</v>
      </c>
      <c r="L2343" s="15">
        <v>1</v>
      </c>
      <c r="M2343" s="15">
        <v>2</v>
      </c>
    </row>
    <row r="2344" spans="1:13">
      <c r="A2344" s="6">
        <v>43511</v>
      </c>
      <c r="B2344" s="7">
        <v>0.54305555555555551</v>
      </c>
      <c r="C2344" s="15" t="str">
        <f>"FES1162673532"</f>
        <v>FES1162673532</v>
      </c>
      <c r="D2344" s="15" t="s">
        <v>18</v>
      </c>
      <c r="E2344" s="15" t="s">
        <v>486</v>
      </c>
      <c r="F2344" s="15" t="str">
        <f>"2170674656 "</f>
        <v xml:space="preserve">2170674656 </v>
      </c>
      <c r="G2344" s="15" t="str">
        <f t="shared" si="71"/>
        <v>ON1</v>
      </c>
      <c r="H2344" s="15" t="s">
        <v>20</v>
      </c>
      <c r="I2344" s="15" t="s">
        <v>87</v>
      </c>
      <c r="J2344" s="15" t="str">
        <f>""</f>
        <v/>
      </c>
      <c r="K2344" s="15" t="str">
        <f>"PFES1162673532_0001"</f>
        <v>PFES1162673532_0001</v>
      </c>
      <c r="L2344" s="15">
        <v>1</v>
      </c>
      <c r="M2344" s="15">
        <v>1</v>
      </c>
    </row>
    <row r="2345" spans="1:13">
      <c r="A2345" s="6">
        <v>43511</v>
      </c>
      <c r="B2345" s="7">
        <v>0.49027777777777781</v>
      </c>
      <c r="C2345" s="15" t="str">
        <f>"FES1162673488"</f>
        <v>FES1162673488</v>
      </c>
      <c r="D2345" s="15" t="s">
        <v>18</v>
      </c>
      <c r="E2345" s="15" t="s">
        <v>178</v>
      </c>
      <c r="F2345" s="15" t="str">
        <f>"2170674601 "</f>
        <v xml:space="preserve">2170674601 </v>
      </c>
      <c r="G2345" s="15" t="str">
        <f t="shared" si="71"/>
        <v>ON1</v>
      </c>
      <c r="H2345" s="15" t="s">
        <v>20</v>
      </c>
      <c r="I2345" s="15" t="s">
        <v>31</v>
      </c>
      <c r="J2345" s="15" t="str">
        <f>""</f>
        <v/>
      </c>
      <c r="K2345" s="15" t="str">
        <f>"PFES1162673488_0001"</f>
        <v>PFES1162673488_0001</v>
      </c>
      <c r="L2345" s="15">
        <v>1</v>
      </c>
      <c r="M2345" s="15">
        <v>1</v>
      </c>
    </row>
    <row r="2346" spans="1:13">
      <c r="A2346" s="6">
        <v>43511</v>
      </c>
      <c r="B2346" s="7">
        <v>0.48888888888888887</v>
      </c>
      <c r="C2346" s="15" t="str">
        <f>"FES1162673431"</f>
        <v>FES1162673431</v>
      </c>
      <c r="D2346" s="15" t="s">
        <v>18</v>
      </c>
      <c r="E2346" s="15" t="s">
        <v>927</v>
      </c>
      <c r="F2346" s="15" t="str">
        <f>"2170671639 "</f>
        <v xml:space="preserve">2170671639 </v>
      </c>
      <c r="G2346" s="15" t="str">
        <f t="shared" si="71"/>
        <v>ON1</v>
      </c>
      <c r="H2346" s="15" t="s">
        <v>20</v>
      </c>
      <c r="I2346" s="15" t="s">
        <v>53</v>
      </c>
      <c r="J2346" s="15" t="str">
        <f>""</f>
        <v/>
      </c>
      <c r="K2346" s="15" t="str">
        <f>"PFES1162673431_0001"</f>
        <v>PFES1162673431_0001</v>
      </c>
      <c r="L2346" s="15">
        <v>1</v>
      </c>
      <c r="M2346" s="15">
        <v>1</v>
      </c>
    </row>
    <row r="2347" spans="1:13">
      <c r="A2347" s="6">
        <v>43511</v>
      </c>
      <c r="B2347" s="7">
        <v>0.48680555555555555</v>
      </c>
      <c r="C2347" s="15" t="str">
        <f>"FES1162673358"</f>
        <v>FES1162673358</v>
      </c>
      <c r="D2347" s="15" t="s">
        <v>18</v>
      </c>
      <c r="E2347" s="15" t="s">
        <v>232</v>
      </c>
      <c r="F2347" s="15" t="str">
        <f>"2170672833 "</f>
        <v xml:space="preserve">2170672833 </v>
      </c>
      <c r="G2347" s="15" t="str">
        <f t="shared" si="71"/>
        <v>ON1</v>
      </c>
      <c r="H2347" s="15" t="s">
        <v>20</v>
      </c>
      <c r="I2347" s="15" t="s">
        <v>233</v>
      </c>
      <c r="J2347" s="15" t="str">
        <f>""</f>
        <v/>
      </c>
      <c r="K2347" s="15" t="str">
        <f>"PFES1162673358_0001"</f>
        <v>PFES1162673358_0001</v>
      </c>
      <c r="L2347" s="15">
        <v>1</v>
      </c>
      <c r="M2347" s="15">
        <v>1</v>
      </c>
    </row>
    <row r="2348" spans="1:13">
      <c r="A2348" s="6">
        <v>43511</v>
      </c>
      <c r="B2348" s="7">
        <v>0.4861111111111111</v>
      </c>
      <c r="C2348" s="15" t="str">
        <f>"FES1162673476"</f>
        <v>FES1162673476</v>
      </c>
      <c r="D2348" s="15" t="s">
        <v>18</v>
      </c>
      <c r="E2348" s="15" t="s">
        <v>115</v>
      </c>
      <c r="F2348" s="15" t="str">
        <f>"2170674587 "</f>
        <v xml:space="preserve">2170674587 </v>
      </c>
      <c r="G2348" s="15" t="str">
        <f t="shared" si="71"/>
        <v>ON1</v>
      </c>
      <c r="H2348" s="15" t="s">
        <v>20</v>
      </c>
      <c r="I2348" s="15" t="s">
        <v>93</v>
      </c>
      <c r="J2348" s="15" t="str">
        <f>""</f>
        <v/>
      </c>
      <c r="K2348" s="15" t="str">
        <f>"PFES1162673476_0001"</f>
        <v>PFES1162673476_0001</v>
      </c>
      <c r="L2348" s="15">
        <v>1</v>
      </c>
      <c r="M2348" s="15">
        <v>1</v>
      </c>
    </row>
    <row r="2349" spans="1:13">
      <c r="A2349" s="6">
        <v>43511</v>
      </c>
      <c r="B2349" s="7">
        <v>0.4861111111111111</v>
      </c>
      <c r="C2349" s="15" t="str">
        <f>"FES1162673449"</f>
        <v>FES1162673449</v>
      </c>
      <c r="D2349" s="15" t="s">
        <v>18</v>
      </c>
      <c r="E2349" s="15" t="s">
        <v>988</v>
      </c>
      <c r="F2349" s="15" t="str">
        <f>"217067095 "</f>
        <v xml:space="preserve">217067095 </v>
      </c>
      <c r="G2349" s="15" t="str">
        <f t="shared" si="71"/>
        <v>ON1</v>
      </c>
      <c r="H2349" s="15" t="s">
        <v>20</v>
      </c>
      <c r="I2349" s="15" t="s">
        <v>989</v>
      </c>
      <c r="J2349" s="15" t="str">
        <f>""</f>
        <v/>
      </c>
      <c r="K2349" s="15" t="str">
        <f>"PFES1162673449_0001"</f>
        <v>PFES1162673449_0001</v>
      </c>
      <c r="L2349" s="15">
        <v>1</v>
      </c>
      <c r="M2349" s="15">
        <v>1</v>
      </c>
    </row>
    <row r="2350" spans="1:13">
      <c r="A2350" s="6">
        <v>43511</v>
      </c>
      <c r="B2350" s="7">
        <v>0.48541666666666666</v>
      </c>
      <c r="C2350" s="15" t="str">
        <f>"FES1162673471"</f>
        <v>FES1162673471</v>
      </c>
      <c r="D2350" s="15" t="s">
        <v>18</v>
      </c>
      <c r="E2350" s="15" t="s">
        <v>493</v>
      </c>
      <c r="F2350" s="15" t="str">
        <f>"2170673689 "</f>
        <v xml:space="preserve">2170673689 </v>
      </c>
      <c r="G2350" s="15" t="str">
        <f t="shared" si="71"/>
        <v>ON1</v>
      </c>
      <c r="H2350" s="15" t="s">
        <v>20</v>
      </c>
      <c r="I2350" s="15" t="s">
        <v>111</v>
      </c>
      <c r="J2350" s="15" t="str">
        <f>""</f>
        <v/>
      </c>
      <c r="K2350" s="15" t="str">
        <f>"PFES1162673471_0001"</f>
        <v>PFES1162673471_0001</v>
      </c>
      <c r="L2350" s="15">
        <v>1</v>
      </c>
      <c r="M2350" s="15">
        <v>1</v>
      </c>
    </row>
    <row r="2351" spans="1:13">
      <c r="A2351" s="6">
        <v>43511</v>
      </c>
      <c r="B2351" s="7">
        <v>0.48472222222222222</v>
      </c>
      <c r="C2351" s="15" t="str">
        <f>"FES1162673480"</f>
        <v>FES1162673480</v>
      </c>
      <c r="D2351" s="15" t="s">
        <v>18</v>
      </c>
      <c r="E2351" s="15" t="s">
        <v>92</v>
      </c>
      <c r="F2351" s="15" t="str">
        <f>"2170674592 "</f>
        <v xml:space="preserve">2170674592 </v>
      </c>
      <c r="G2351" s="15" t="str">
        <f t="shared" si="71"/>
        <v>ON1</v>
      </c>
      <c r="H2351" s="15" t="s">
        <v>20</v>
      </c>
      <c r="I2351" s="15" t="s">
        <v>93</v>
      </c>
      <c r="J2351" s="15" t="str">
        <f>""</f>
        <v/>
      </c>
      <c r="K2351" s="15" t="str">
        <f>"PFES1162673480_0001"</f>
        <v>PFES1162673480_0001</v>
      </c>
      <c r="L2351" s="15">
        <v>1</v>
      </c>
      <c r="M2351" s="15">
        <v>1</v>
      </c>
    </row>
    <row r="2352" spans="1:13">
      <c r="A2352" s="6">
        <v>43511</v>
      </c>
      <c r="B2352" s="7">
        <v>0.48402777777777778</v>
      </c>
      <c r="C2352" s="15" t="str">
        <f>"FES1162673424"</f>
        <v>FES1162673424</v>
      </c>
      <c r="D2352" s="15" t="s">
        <v>18</v>
      </c>
      <c r="E2352" s="15" t="s">
        <v>585</v>
      </c>
      <c r="F2352" s="15" t="str">
        <f>"2170669824 "</f>
        <v xml:space="preserve">2170669824 </v>
      </c>
      <c r="G2352" s="15" t="str">
        <f t="shared" si="71"/>
        <v>ON1</v>
      </c>
      <c r="H2352" s="15" t="s">
        <v>20</v>
      </c>
      <c r="I2352" s="15" t="s">
        <v>586</v>
      </c>
      <c r="J2352" s="15" t="str">
        <f>""</f>
        <v/>
      </c>
      <c r="K2352" s="15" t="str">
        <f>"PFES1162673424_0001"</f>
        <v>PFES1162673424_0001</v>
      </c>
      <c r="L2352" s="15">
        <v>1</v>
      </c>
      <c r="M2352" s="15">
        <v>1</v>
      </c>
    </row>
    <row r="2353" spans="1:13">
      <c r="A2353" s="6">
        <v>43511</v>
      </c>
      <c r="B2353" s="7">
        <v>0.48402777777777778</v>
      </c>
      <c r="C2353" s="15" t="str">
        <f>"FES1162673415"</f>
        <v>FES1162673415</v>
      </c>
      <c r="D2353" s="15" t="s">
        <v>18</v>
      </c>
      <c r="E2353" s="15" t="s">
        <v>746</v>
      </c>
      <c r="F2353" s="15" t="str">
        <f>"2170674580 "</f>
        <v xml:space="preserve">2170674580 </v>
      </c>
      <c r="G2353" s="15" t="str">
        <f t="shared" si="71"/>
        <v>ON1</v>
      </c>
      <c r="H2353" s="15" t="s">
        <v>20</v>
      </c>
      <c r="I2353" s="15" t="s">
        <v>747</v>
      </c>
      <c r="J2353" s="15" t="str">
        <f>""</f>
        <v/>
      </c>
      <c r="K2353" s="15" t="str">
        <f>"PFES1162673415_0001"</f>
        <v>PFES1162673415_0001</v>
      </c>
      <c r="L2353" s="15">
        <v>1</v>
      </c>
      <c r="M2353" s="15">
        <v>1</v>
      </c>
    </row>
    <row r="2354" spans="1:13">
      <c r="A2354" s="6">
        <v>43511</v>
      </c>
      <c r="B2354" s="7">
        <v>0.48333333333333334</v>
      </c>
      <c r="C2354" s="15" t="str">
        <f>"FES1162673380"</f>
        <v>FES1162673380</v>
      </c>
      <c r="D2354" s="15" t="s">
        <v>18</v>
      </c>
      <c r="E2354" s="15" t="s">
        <v>461</v>
      </c>
      <c r="F2354" s="15" t="str">
        <f>"2170673349 "</f>
        <v xml:space="preserve">2170673349 </v>
      </c>
      <c r="G2354" s="15" t="str">
        <f t="shared" si="71"/>
        <v>ON1</v>
      </c>
      <c r="H2354" s="15" t="s">
        <v>20</v>
      </c>
      <c r="I2354" s="15" t="s">
        <v>406</v>
      </c>
      <c r="J2354" s="15" t="str">
        <f>""</f>
        <v/>
      </c>
      <c r="K2354" s="15" t="str">
        <f>"PFES1162673380_0001"</f>
        <v>PFES1162673380_0001</v>
      </c>
      <c r="L2354" s="15">
        <v>1</v>
      </c>
      <c r="M2354" s="15">
        <v>1</v>
      </c>
    </row>
    <row r="2355" spans="1:13">
      <c r="A2355" s="6">
        <v>43511</v>
      </c>
      <c r="B2355" s="7">
        <v>0.4826388888888889</v>
      </c>
      <c r="C2355" s="15" t="str">
        <f>"FES1162673425"</f>
        <v>FES1162673425</v>
      </c>
      <c r="D2355" s="15" t="s">
        <v>18</v>
      </c>
      <c r="E2355" s="15" t="s">
        <v>872</v>
      </c>
      <c r="F2355" s="15" t="str">
        <f>"2170670595 "</f>
        <v xml:space="preserve">2170670595 </v>
      </c>
      <c r="G2355" s="15" t="str">
        <f t="shared" si="71"/>
        <v>ON1</v>
      </c>
      <c r="H2355" s="15" t="s">
        <v>20</v>
      </c>
      <c r="I2355" s="15" t="s">
        <v>93</v>
      </c>
      <c r="J2355" s="15" t="str">
        <f>""</f>
        <v/>
      </c>
      <c r="K2355" s="15" t="str">
        <f>"PFES1162673425_0001"</f>
        <v>PFES1162673425_0001</v>
      </c>
      <c r="L2355" s="15">
        <v>1</v>
      </c>
      <c r="M2355" s="15">
        <v>1</v>
      </c>
    </row>
    <row r="2356" spans="1:13">
      <c r="A2356" s="6">
        <v>43511</v>
      </c>
      <c r="B2356" s="7">
        <v>0.48194444444444445</v>
      </c>
      <c r="C2356" s="15" t="str">
        <f>"FES1162673376"</f>
        <v>FES1162673376</v>
      </c>
      <c r="D2356" s="15" t="s">
        <v>18</v>
      </c>
      <c r="E2356" s="15" t="s">
        <v>214</v>
      </c>
      <c r="F2356" s="15" t="str">
        <f>"2170673179 "</f>
        <v xml:space="preserve">2170673179 </v>
      </c>
      <c r="G2356" s="15" t="str">
        <f t="shared" si="71"/>
        <v>ON1</v>
      </c>
      <c r="H2356" s="15" t="s">
        <v>20</v>
      </c>
      <c r="I2356" s="15" t="s">
        <v>215</v>
      </c>
      <c r="J2356" s="15" t="str">
        <f>""</f>
        <v/>
      </c>
      <c r="K2356" s="15" t="str">
        <f>"PFES1162673376_0001"</f>
        <v>PFES1162673376_0001</v>
      </c>
      <c r="L2356" s="15">
        <v>1</v>
      </c>
      <c r="M2356" s="15">
        <v>1</v>
      </c>
    </row>
    <row r="2357" spans="1:13">
      <c r="A2357" s="6">
        <v>43511</v>
      </c>
      <c r="B2357" s="7">
        <v>0.48125000000000001</v>
      </c>
      <c r="C2357" s="15" t="str">
        <f>"FES1162673383"</f>
        <v>FES1162673383</v>
      </c>
      <c r="D2357" s="15" t="s">
        <v>18</v>
      </c>
      <c r="E2357" s="15" t="s">
        <v>195</v>
      </c>
      <c r="F2357" s="15" t="str">
        <f>"2170673545 "</f>
        <v xml:space="preserve">2170673545 </v>
      </c>
      <c r="G2357" s="15" t="str">
        <f t="shared" si="71"/>
        <v>ON1</v>
      </c>
      <c r="H2357" s="15" t="s">
        <v>20</v>
      </c>
      <c r="I2357" s="15" t="s">
        <v>96</v>
      </c>
      <c r="J2357" s="15" t="str">
        <f>""</f>
        <v/>
      </c>
      <c r="K2357" s="15" t="str">
        <f>"PFES1162673383_0001"</f>
        <v>PFES1162673383_0001</v>
      </c>
      <c r="L2357" s="15">
        <v>1</v>
      </c>
      <c r="M2357" s="15">
        <v>1</v>
      </c>
    </row>
    <row r="2358" spans="1:13">
      <c r="A2358" s="6">
        <v>43511</v>
      </c>
      <c r="B2358" s="7">
        <v>0.48125000000000001</v>
      </c>
      <c r="C2358" s="15" t="str">
        <f>"FES1162673342"</f>
        <v>FES1162673342</v>
      </c>
      <c r="D2358" s="15" t="s">
        <v>18</v>
      </c>
      <c r="E2358" s="15" t="s">
        <v>47</v>
      </c>
      <c r="F2358" s="15" t="str">
        <f>"2170667864 "</f>
        <v xml:space="preserve">2170667864 </v>
      </c>
      <c r="G2358" s="15" t="str">
        <f t="shared" si="71"/>
        <v>ON1</v>
      </c>
      <c r="H2358" s="15" t="s">
        <v>20</v>
      </c>
      <c r="I2358" s="15" t="s">
        <v>48</v>
      </c>
      <c r="J2358" s="15" t="str">
        <f>""</f>
        <v/>
      </c>
      <c r="K2358" s="15" t="str">
        <f>"PFES1162673342_0001"</f>
        <v>PFES1162673342_0001</v>
      </c>
      <c r="L2358" s="15">
        <v>1</v>
      </c>
      <c r="M2358" s="15">
        <v>6</v>
      </c>
    </row>
    <row r="2359" spans="1:13">
      <c r="A2359" s="6">
        <v>43511</v>
      </c>
      <c r="B2359" s="7">
        <v>0.48055555555555557</v>
      </c>
      <c r="C2359" s="15" t="str">
        <f>"FES1162673381"</f>
        <v>FES1162673381</v>
      </c>
      <c r="D2359" s="15" t="s">
        <v>18</v>
      </c>
      <c r="E2359" s="15" t="s">
        <v>205</v>
      </c>
      <c r="F2359" s="15" t="str">
        <f>"2170673418 "</f>
        <v xml:space="preserve">2170673418 </v>
      </c>
      <c r="G2359" s="15" t="str">
        <f t="shared" si="71"/>
        <v>ON1</v>
      </c>
      <c r="H2359" s="15" t="s">
        <v>20</v>
      </c>
      <c r="I2359" s="15" t="s">
        <v>149</v>
      </c>
      <c r="J2359" s="15" t="str">
        <f>""</f>
        <v/>
      </c>
      <c r="K2359" s="15" t="str">
        <f>"PFES1162673381_0001"</f>
        <v>PFES1162673381_0001</v>
      </c>
      <c r="L2359" s="15">
        <v>1</v>
      </c>
      <c r="M2359" s="15">
        <v>1</v>
      </c>
    </row>
    <row r="2360" spans="1:13">
      <c r="A2360" s="6">
        <v>43511</v>
      </c>
      <c r="B2360" s="7">
        <v>0.47986111111111113</v>
      </c>
      <c r="C2360" s="15" t="str">
        <f>"FES1162673351"</f>
        <v>FES1162673351</v>
      </c>
      <c r="D2360" s="15" t="s">
        <v>18</v>
      </c>
      <c r="E2360" s="15" t="s">
        <v>195</v>
      </c>
      <c r="F2360" s="15" t="str">
        <f>"2170672697 "</f>
        <v xml:space="preserve">2170672697 </v>
      </c>
      <c r="G2360" s="15" t="str">
        <f t="shared" si="71"/>
        <v>ON1</v>
      </c>
      <c r="H2360" s="15" t="s">
        <v>20</v>
      </c>
      <c r="I2360" s="15" t="s">
        <v>96</v>
      </c>
      <c r="J2360" s="15" t="str">
        <f>""</f>
        <v/>
      </c>
      <c r="K2360" s="15" t="str">
        <f>"PFES1162673351_0001"</f>
        <v>PFES1162673351_0001</v>
      </c>
      <c r="L2360" s="15">
        <v>1</v>
      </c>
      <c r="M2360" s="15">
        <v>1</v>
      </c>
    </row>
    <row r="2361" spans="1:13">
      <c r="A2361" s="6">
        <v>43511</v>
      </c>
      <c r="B2361" s="7">
        <v>0.47986111111111113</v>
      </c>
      <c r="C2361" s="15" t="str">
        <f>"FES1162673481"</f>
        <v>FES1162673481</v>
      </c>
      <c r="D2361" s="15" t="s">
        <v>18</v>
      </c>
      <c r="E2361" s="15" t="s">
        <v>78</v>
      </c>
      <c r="F2361" s="15" t="str">
        <f>"2170674593 "</f>
        <v xml:space="preserve">2170674593 </v>
      </c>
      <c r="G2361" s="15" t="str">
        <f t="shared" si="71"/>
        <v>ON1</v>
      </c>
      <c r="H2361" s="15" t="s">
        <v>20</v>
      </c>
      <c r="I2361" s="15" t="s">
        <v>990</v>
      </c>
      <c r="J2361" s="15" t="str">
        <f>""</f>
        <v/>
      </c>
      <c r="K2361" s="15" t="str">
        <f>"PFES1162673481_0001"</f>
        <v>PFES1162673481_0001</v>
      </c>
      <c r="L2361" s="15">
        <v>1</v>
      </c>
      <c r="M2361" s="15">
        <v>3</v>
      </c>
    </row>
    <row r="2362" spans="1:13">
      <c r="A2362" s="6">
        <v>43511</v>
      </c>
      <c r="B2362" s="7">
        <v>0.47986111111111113</v>
      </c>
      <c r="C2362" s="15" t="str">
        <f>"FES1162673349"</f>
        <v>FES1162673349</v>
      </c>
      <c r="D2362" s="15" t="s">
        <v>18</v>
      </c>
      <c r="E2362" s="15" t="s">
        <v>150</v>
      </c>
      <c r="F2362" s="15" t="str">
        <f>"2170672329 "</f>
        <v xml:space="preserve">2170672329 </v>
      </c>
      <c r="G2362" s="15" t="str">
        <f t="shared" si="71"/>
        <v>ON1</v>
      </c>
      <c r="H2362" s="15" t="s">
        <v>20</v>
      </c>
      <c r="I2362" s="15" t="s">
        <v>137</v>
      </c>
      <c r="J2362" s="15" t="str">
        <f>""</f>
        <v/>
      </c>
      <c r="K2362" s="15" t="str">
        <f>"PFES1162673349_0001"</f>
        <v>PFES1162673349_0001</v>
      </c>
      <c r="L2362" s="15">
        <v>1</v>
      </c>
      <c r="M2362" s="15">
        <v>1</v>
      </c>
    </row>
    <row r="2363" spans="1:13">
      <c r="A2363" s="6">
        <v>43511</v>
      </c>
      <c r="B2363" s="7">
        <v>0.47916666666666669</v>
      </c>
      <c r="C2363" s="15" t="str">
        <f>"FES1162673453"</f>
        <v>FES1162673453</v>
      </c>
      <c r="D2363" s="15" t="s">
        <v>18</v>
      </c>
      <c r="E2363" s="15" t="s">
        <v>150</v>
      </c>
      <c r="F2363" s="15" t="str">
        <f>"2170672181 "</f>
        <v xml:space="preserve">2170672181 </v>
      </c>
      <c r="G2363" s="15" t="str">
        <f t="shared" si="71"/>
        <v>ON1</v>
      </c>
      <c r="H2363" s="15" t="s">
        <v>20</v>
      </c>
      <c r="I2363" s="15" t="s">
        <v>137</v>
      </c>
      <c r="J2363" s="15" t="str">
        <f>""</f>
        <v/>
      </c>
      <c r="K2363" s="15" t="str">
        <f>"PFES1162673453_0001"</f>
        <v>PFES1162673453_0001</v>
      </c>
      <c r="L2363" s="15">
        <v>1</v>
      </c>
      <c r="M2363" s="15">
        <v>1</v>
      </c>
    </row>
    <row r="2364" spans="1:13">
      <c r="A2364" s="6">
        <v>43511</v>
      </c>
      <c r="B2364" s="7">
        <v>0.47916666666666669</v>
      </c>
      <c r="C2364" s="15" t="str">
        <f>"FES1162673348"</f>
        <v>FES1162673348</v>
      </c>
      <c r="D2364" s="15" t="s">
        <v>18</v>
      </c>
      <c r="E2364" s="15" t="s">
        <v>549</v>
      </c>
      <c r="F2364" s="15" t="str">
        <f>"2170672302 "</f>
        <v xml:space="preserve">2170672302 </v>
      </c>
      <c r="G2364" s="15" t="str">
        <f t="shared" si="71"/>
        <v>ON1</v>
      </c>
      <c r="H2364" s="15" t="s">
        <v>20</v>
      </c>
      <c r="I2364" s="15" t="s">
        <v>130</v>
      </c>
      <c r="J2364" s="15" t="str">
        <f>""</f>
        <v/>
      </c>
      <c r="K2364" s="15" t="str">
        <f>"PFES1162673348_0001"</f>
        <v>PFES1162673348_0001</v>
      </c>
      <c r="L2364" s="15">
        <v>1</v>
      </c>
      <c r="M2364" s="15">
        <v>3</v>
      </c>
    </row>
    <row r="2365" spans="1:13">
      <c r="A2365" s="6">
        <v>43511</v>
      </c>
      <c r="B2365" s="7">
        <v>0.47847222222222219</v>
      </c>
      <c r="C2365" s="15" t="str">
        <f>"FES1162673375"</f>
        <v>FES1162673375</v>
      </c>
      <c r="D2365" s="15" t="s">
        <v>18</v>
      </c>
      <c r="E2365" s="15" t="s">
        <v>150</v>
      </c>
      <c r="F2365" s="15" t="str">
        <f>"2170673024 "</f>
        <v xml:space="preserve">2170673024 </v>
      </c>
      <c r="G2365" s="15" t="str">
        <f t="shared" si="71"/>
        <v>ON1</v>
      </c>
      <c r="H2365" s="15" t="s">
        <v>20</v>
      </c>
      <c r="I2365" s="15" t="s">
        <v>137</v>
      </c>
      <c r="J2365" s="15" t="str">
        <f>""</f>
        <v/>
      </c>
      <c r="K2365" s="15" t="str">
        <f>"PFES1162673375_0001"</f>
        <v>PFES1162673375_0001</v>
      </c>
      <c r="L2365" s="15">
        <v>1</v>
      </c>
      <c r="M2365" s="15">
        <v>1</v>
      </c>
    </row>
    <row r="2366" spans="1:13">
      <c r="A2366" s="6">
        <v>43511</v>
      </c>
      <c r="B2366" s="7">
        <v>0.47847222222222219</v>
      </c>
      <c r="C2366" s="15" t="str">
        <f>"FES1162673346"</f>
        <v>FES1162673346</v>
      </c>
      <c r="D2366" s="15" t="s">
        <v>18</v>
      </c>
      <c r="E2366" s="15" t="s">
        <v>150</v>
      </c>
      <c r="F2366" s="15" t="str">
        <f>"2170672096 "</f>
        <v xml:space="preserve">2170672096 </v>
      </c>
      <c r="G2366" s="15" t="str">
        <f t="shared" si="71"/>
        <v>ON1</v>
      </c>
      <c r="H2366" s="15" t="s">
        <v>20</v>
      </c>
      <c r="I2366" s="15" t="s">
        <v>137</v>
      </c>
      <c r="J2366" s="15" t="str">
        <f>""</f>
        <v/>
      </c>
      <c r="K2366" s="15" t="str">
        <f>"PFES1162673346_0001"</f>
        <v>PFES1162673346_0001</v>
      </c>
      <c r="L2366" s="15">
        <v>1</v>
      </c>
      <c r="M2366" s="15">
        <v>1</v>
      </c>
    </row>
    <row r="2367" spans="1:13">
      <c r="A2367" s="6">
        <v>43511</v>
      </c>
      <c r="B2367" s="7">
        <v>0.4777777777777778</v>
      </c>
      <c r="C2367" s="15" t="str">
        <f>"FES1162673478"</f>
        <v>FES1162673478</v>
      </c>
      <c r="D2367" s="15" t="s">
        <v>18</v>
      </c>
      <c r="E2367" s="15" t="s">
        <v>138</v>
      </c>
      <c r="F2367" s="15" t="str">
        <f>"2170674590 "</f>
        <v xml:space="preserve">2170674590 </v>
      </c>
      <c r="G2367" s="15" t="str">
        <f t="shared" si="71"/>
        <v>ON1</v>
      </c>
      <c r="H2367" s="15" t="s">
        <v>20</v>
      </c>
      <c r="I2367" s="15" t="s">
        <v>139</v>
      </c>
      <c r="J2367" s="15" t="str">
        <f>""</f>
        <v/>
      </c>
      <c r="K2367" s="15" t="str">
        <f>"PFES1162673478_0001"</f>
        <v>PFES1162673478_0001</v>
      </c>
      <c r="L2367" s="15">
        <v>1</v>
      </c>
      <c r="M2367" s="15">
        <v>4</v>
      </c>
    </row>
    <row r="2368" spans="1:13">
      <c r="A2368" s="6">
        <v>43511</v>
      </c>
      <c r="B2368" s="7">
        <v>0.47638888888888892</v>
      </c>
      <c r="C2368" s="15" t="str">
        <f>"FES1162673388"</f>
        <v>FES1162673388</v>
      </c>
      <c r="D2368" s="15" t="s">
        <v>18</v>
      </c>
      <c r="E2368" s="15" t="s">
        <v>699</v>
      </c>
      <c r="F2368" s="15" t="str">
        <f>"2170674550 "</f>
        <v xml:space="preserve">2170674550 </v>
      </c>
      <c r="G2368" s="15" t="str">
        <f t="shared" si="71"/>
        <v>ON1</v>
      </c>
      <c r="H2368" s="15" t="s">
        <v>20</v>
      </c>
      <c r="I2368" s="15" t="s">
        <v>700</v>
      </c>
      <c r="J2368" s="15" t="str">
        <f>""</f>
        <v/>
      </c>
      <c r="K2368" s="15" t="str">
        <f>"PFES1162673388_0001"</f>
        <v>PFES1162673388_0001</v>
      </c>
      <c r="L2368" s="15">
        <v>1</v>
      </c>
      <c r="M2368" s="15">
        <v>1</v>
      </c>
    </row>
    <row r="2369" spans="1:13">
      <c r="A2369" s="6">
        <v>43511</v>
      </c>
      <c r="B2369" s="7">
        <v>0.47013888888888888</v>
      </c>
      <c r="C2369" s="15" t="str">
        <f>"FES1162673340"</f>
        <v>FES1162673340</v>
      </c>
      <c r="D2369" s="15" t="s">
        <v>18</v>
      </c>
      <c r="E2369" s="15" t="s">
        <v>200</v>
      </c>
      <c r="F2369" s="15" t="str">
        <f>"2170674548 "</f>
        <v xml:space="preserve">2170674548 </v>
      </c>
      <c r="G2369" s="15" t="str">
        <f t="shared" si="71"/>
        <v>ON1</v>
      </c>
      <c r="H2369" s="15" t="s">
        <v>20</v>
      </c>
      <c r="I2369" s="15" t="s">
        <v>201</v>
      </c>
      <c r="J2369" s="15" t="str">
        <f>""</f>
        <v/>
      </c>
      <c r="K2369" s="15" t="str">
        <f>"PFES1162673340_0001"</f>
        <v>PFES1162673340_0001</v>
      </c>
      <c r="L2369" s="15">
        <v>1</v>
      </c>
      <c r="M2369" s="15">
        <v>1</v>
      </c>
    </row>
    <row r="2370" spans="1:13">
      <c r="A2370" s="6">
        <v>43511</v>
      </c>
      <c r="B2370" s="7">
        <v>0.4694444444444445</v>
      </c>
      <c r="C2370" s="15" t="str">
        <f>"FES1162673436"</f>
        <v>FES1162673436</v>
      </c>
      <c r="D2370" s="15" t="s">
        <v>18</v>
      </c>
      <c r="E2370" s="15" t="s">
        <v>160</v>
      </c>
      <c r="F2370" s="15" t="str">
        <f>"2170671865 "</f>
        <v xml:space="preserve">2170671865 </v>
      </c>
      <c r="G2370" s="15" t="str">
        <f t="shared" si="71"/>
        <v>ON1</v>
      </c>
      <c r="H2370" s="15" t="s">
        <v>20</v>
      </c>
      <c r="I2370" s="15" t="s">
        <v>161</v>
      </c>
      <c r="J2370" s="15" t="str">
        <f>""</f>
        <v/>
      </c>
      <c r="K2370" s="15" t="str">
        <f>"PFES1162673436_0001"</f>
        <v>PFES1162673436_0001</v>
      </c>
      <c r="L2370" s="15">
        <v>1</v>
      </c>
      <c r="M2370" s="15">
        <v>1</v>
      </c>
    </row>
    <row r="2371" spans="1:13">
      <c r="A2371" s="6">
        <v>43511</v>
      </c>
      <c r="B2371" s="7">
        <v>0.4694444444444445</v>
      </c>
      <c r="C2371" s="15" t="str">
        <f>"FES1162673430"</f>
        <v>FES1162673430</v>
      </c>
      <c r="D2371" s="15" t="s">
        <v>18</v>
      </c>
      <c r="E2371" s="15" t="s">
        <v>363</v>
      </c>
      <c r="F2371" s="15" t="str">
        <f>"2170671632 "</f>
        <v xml:space="preserve">2170671632 </v>
      </c>
      <c r="G2371" s="15" t="str">
        <f t="shared" si="71"/>
        <v>ON1</v>
      </c>
      <c r="H2371" s="15" t="s">
        <v>20</v>
      </c>
      <c r="I2371" s="15" t="s">
        <v>364</v>
      </c>
      <c r="J2371" s="15" t="str">
        <f>""</f>
        <v/>
      </c>
      <c r="K2371" s="15" t="str">
        <f>"PFES1162673430_0001"</f>
        <v>PFES1162673430_0001</v>
      </c>
      <c r="L2371" s="15">
        <v>1</v>
      </c>
      <c r="M2371" s="15">
        <v>1</v>
      </c>
    </row>
    <row r="2372" spans="1:13">
      <c r="A2372" s="6">
        <v>43511</v>
      </c>
      <c r="B2372" s="7">
        <v>0.46875</v>
      </c>
      <c r="C2372" s="15" t="str">
        <f>"FES1162673473"</f>
        <v>FES1162673473</v>
      </c>
      <c r="D2372" s="15" t="s">
        <v>18</v>
      </c>
      <c r="E2372" s="15" t="s">
        <v>530</v>
      </c>
      <c r="F2372" s="15" t="str">
        <f>"2170674066 "</f>
        <v xml:space="preserve">2170674066 </v>
      </c>
      <c r="G2372" s="15" t="str">
        <f t="shared" si="71"/>
        <v>ON1</v>
      </c>
      <c r="H2372" s="15" t="s">
        <v>20</v>
      </c>
      <c r="I2372" s="15" t="s">
        <v>531</v>
      </c>
      <c r="J2372" s="15" t="str">
        <f>""</f>
        <v/>
      </c>
      <c r="K2372" s="15" t="str">
        <f>"PFES1162673473_0001"</f>
        <v>PFES1162673473_0001</v>
      </c>
      <c r="L2372" s="15">
        <v>1</v>
      </c>
      <c r="M2372" s="15">
        <v>1</v>
      </c>
    </row>
    <row r="2373" spans="1:13">
      <c r="A2373" s="6">
        <v>43511</v>
      </c>
      <c r="B2373" s="7">
        <v>0.4680555555555555</v>
      </c>
      <c r="C2373" s="15" t="str">
        <f>"FES1162673463"</f>
        <v>FES1162673463</v>
      </c>
      <c r="D2373" s="15" t="s">
        <v>18</v>
      </c>
      <c r="E2373" s="15" t="s">
        <v>447</v>
      </c>
      <c r="F2373" s="15" t="str">
        <f>"2170672534 "</f>
        <v xml:space="preserve">2170672534 </v>
      </c>
      <c r="G2373" s="15" t="str">
        <f t="shared" si="71"/>
        <v>ON1</v>
      </c>
      <c r="H2373" s="15" t="s">
        <v>20</v>
      </c>
      <c r="I2373" s="15" t="s">
        <v>182</v>
      </c>
      <c r="J2373" s="15" t="str">
        <f>""</f>
        <v/>
      </c>
      <c r="K2373" s="15" t="str">
        <f>"PFES1162673463_0001"</f>
        <v>PFES1162673463_0001</v>
      </c>
      <c r="L2373" s="15">
        <v>1</v>
      </c>
      <c r="M2373" s="15">
        <v>1</v>
      </c>
    </row>
    <row r="2374" spans="1:13">
      <c r="A2374" s="6">
        <v>43511</v>
      </c>
      <c r="B2374" s="7">
        <v>0.46666666666666662</v>
      </c>
      <c r="C2374" s="15" t="str">
        <f>"FES1162673461"</f>
        <v>FES1162673461</v>
      </c>
      <c r="D2374" s="15" t="s">
        <v>18</v>
      </c>
      <c r="E2374" s="15" t="s">
        <v>207</v>
      </c>
      <c r="F2374" s="15" t="str">
        <f>"2170672459 "</f>
        <v xml:space="preserve">2170672459 </v>
      </c>
      <c r="G2374" s="15" t="str">
        <f t="shared" si="71"/>
        <v>ON1</v>
      </c>
      <c r="H2374" s="15" t="s">
        <v>20</v>
      </c>
      <c r="I2374" s="15" t="s">
        <v>208</v>
      </c>
      <c r="J2374" s="15" t="str">
        <f>""</f>
        <v/>
      </c>
      <c r="K2374" s="15" t="str">
        <f>"PFES1162673461_0001"</f>
        <v>PFES1162673461_0001</v>
      </c>
      <c r="L2374" s="15">
        <v>1</v>
      </c>
      <c r="M2374" s="15">
        <v>1</v>
      </c>
    </row>
    <row r="2375" spans="1:13">
      <c r="A2375" s="6">
        <v>43511</v>
      </c>
      <c r="B2375" s="7">
        <v>0.46597222222222223</v>
      </c>
      <c r="C2375" s="15" t="str">
        <f>"FES1162673336"</f>
        <v>FES1162673336</v>
      </c>
      <c r="D2375" s="15" t="s">
        <v>18</v>
      </c>
      <c r="E2375" s="15" t="s">
        <v>701</v>
      </c>
      <c r="F2375" s="15" t="str">
        <f>"2170674540 "</f>
        <v xml:space="preserve">2170674540 </v>
      </c>
      <c r="G2375" s="15" t="str">
        <f t="shared" si="71"/>
        <v>ON1</v>
      </c>
      <c r="H2375" s="15" t="s">
        <v>20</v>
      </c>
      <c r="I2375" s="15" t="s">
        <v>213</v>
      </c>
      <c r="J2375" s="15" t="str">
        <f>""</f>
        <v/>
      </c>
      <c r="K2375" s="15" t="str">
        <f>"PFES1162673336_0001"</f>
        <v>PFES1162673336_0001</v>
      </c>
      <c r="L2375" s="15">
        <v>1</v>
      </c>
      <c r="M2375" s="15">
        <v>1</v>
      </c>
    </row>
    <row r="2376" spans="1:13">
      <c r="A2376" s="6">
        <v>43511</v>
      </c>
      <c r="B2376" s="7">
        <v>0.46527777777777773</v>
      </c>
      <c r="C2376" s="15" t="str">
        <f>"FES1162673422"</f>
        <v>FES1162673422</v>
      </c>
      <c r="D2376" s="15" t="s">
        <v>18</v>
      </c>
      <c r="E2376" s="15" t="s">
        <v>991</v>
      </c>
      <c r="F2376" s="15" t="str">
        <f>"2170674586 "</f>
        <v xml:space="preserve">2170674586 </v>
      </c>
      <c r="G2376" s="15" t="str">
        <f t="shared" si="71"/>
        <v>ON1</v>
      </c>
      <c r="H2376" s="15" t="s">
        <v>20</v>
      </c>
      <c r="I2376" s="15" t="s">
        <v>213</v>
      </c>
      <c r="J2376" s="15" t="str">
        <f>""</f>
        <v/>
      </c>
      <c r="K2376" s="15" t="str">
        <f>"PFES1162673422_0001"</f>
        <v>PFES1162673422_0001</v>
      </c>
      <c r="L2376" s="15">
        <v>1</v>
      </c>
      <c r="M2376" s="15">
        <v>1</v>
      </c>
    </row>
    <row r="2377" spans="1:13">
      <c r="A2377" s="6">
        <v>43511</v>
      </c>
      <c r="B2377" s="7">
        <v>0.46249999999999997</v>
      </c>
      <c r="C2377" s="15" t="str">
        <f>"FES1162673447"</f>
        <v>FES1162673447</v>
      </c>
      <c r="D2377" s="15" t="s">
        <v>18</v>
      </c>
      <c r="E2377" s="15" t="s">
        <v>129</v>
      </c>
      <c r="F2377" s="15" t="str">
        <f>"2170672088 "</f>
        <v xml:space="preserve">2170672088 </v>
      </c>
      <c r="G2377" s="15" t="str">
        <f t="shared" si="71"/>
        <v>ON1</v>
      </c>
      <c r="H2377" s="15" t="s">
        <v>20</v>
      </c>
      <c r="I2377" s="15" t="s">
        <v>130</v>
      </c>
      <c r="J2377" s="15" t="str">
        <f>""</f>
        <v/>
      </c>
      <c r="K2377" s="15" t="str">
        <f>"PFES1162673447_0001"</f>
        <v>PFES1162673447_0001</v>
      </c>
      <c r="L2377" s="15">
        <v>1</v>
      </c>
      <c r="M2377" s="15">
        <v>1</v>
      </c>
    </row>
    <row r="2378" spans="1:13">
      <c r="A2378" s="6">
        <v>43511</v>
      </c>
      <c r="B2378" s="7">
        <v>0.46249999999999997</v>
      </c>
      <c r="C2378" s="15" t="str">
        <f>"FES1162673377"</f>
        <v>FES1162673377</v>
      </c>
      <c r="D2378" s="15" t="s">
        <v>18</v>
      </c>
      <c r="E2378" s="15" t="s">
        <v>639</v>
      </c>
      <c r="F2378" s="15" t="str">
        <f>"2170673229 "</f>
        <v xml:space="preserve">2170673229 </v>
      </c>
      <c r="G2378" s="15" t="str">
        <f t="shared" si="71"/>
        <v>ON1</v>
      </c>
      <c r="H2378" s="15" t="s">
        <v>20</v>
      </c>
      <c r="I2378" s="15" t="s">
        <v>539</v>
      </c>
      <c r="J2378" s="15" t="str">
        <f>""</f>
        <v/>
      </c>
      <c r="K2378" s="15" t="str">
        <f>"PFES1162673377_0001"</f>
        <v>PFES1162673377_0001</v>
      </c>
      <c r="L2378" s="15">
        <v>1</v>
      </c>
      <c r="M2378" s="15">
        <v>1</v>
      </c>
    </row>
    <row r="2379" spans="1:13">
      <c r="A2379" s="6">
        <v>43511</v>
      </c>
      <c r="B2379" s="7">
        <v>0.46180555555555558</v>
      </c>
      <c r="C2379" s="15" t="str">
        <f>"FES1162673354"</f>
        <v>FES1162673354</v>
      </c>
      <c r="D2379" s="15" t="s">
        <v>18</v>
      </c>
      <c r="E2379" s="15" t="s">
        <v>530</v>
      </c>
      <c r="F2379" s="15" t="str">
        <f>"2170672810 "</f>
        <v xml:space="preserve">2170672810 </v>
      </c>
      <c r="G2379" s="15" t="str">
        <f t="shared" ref="G2379:G2386" si="72">"ON1"</f>
        <v>ON1</v>
      </c>
      <c r="H2379" s="15" t="s">
        <v>20</v>
      </c>
      <c r="I2379" s="15" t="s">
        <v>531</v>
      </c>
      <c r="J2379" s="15" t="str">
        <f>""</f>
        <v/>
      </c>
      <c r="K2379" s="15" t="str">
        <f>"PFES1162673354_0001"</f>
        <v>PFES1162673354_0001</v>
      </c>
      <c r="L2379" s="15">
        <v>1</v>
      </c>
      <c r="M2379" s="15">
        <v>1</v>
      </c>
    </row>
    <row r="2380" spans="1:13">
      <c r="A2380" s="6">
        <v>43511</v>
      </c>
      <c r="B2380" s="7">
        <v>0.46111111111111108</v>
      </c>
      <c r="C2380" s="15" t="str">
        <f>"FES1162673356"</f>
        <v>FES1162673356</v>
      </c>
      <c r="D2380" s="15" t="s">
        <v>18</v>
      </c>
      <c r="E2380" s="15" t="s">
        <v>19</v>
      </c>
      <c r="F2380" s="15" t="str">
        <f>"2170672823 "</f>
        <v xml:space="preserve">2170672823 </v>
      </c>
      <c r="G2380" s="15" t="str">
        <f t="shared" si="72"/>
        <v>ON1</v>
      </c>
      <c r="H2380" s="15" t="s">
        <v>20</v>
      </c>
      <c r="I2380" s="15" t="s">
        <v>21</v>
      </c>
      <c r="J2380" s="15" t="str">
        <f>""</f>
        <v/>
      </c>
      <c r="K2380" s="15" t="str">
        <f>"PFES1162673356_0001"</f>
        <v>PFES1162673356_0001</v>
      </c>
      <c r="L2380" s="15">
        <v>1</v>
      </c>
      <c r="M2380" s="15">
        <v>1</v>
      </c>
    </row>
    <row r="2381" spans="1:13">
      <c r="A2381" s="6">
        <v>43511</v>
      </c>
      <c r="B2381" s="7">
        <v>0.4604166666666667</v>
      </c>
      <c r="C2381" s="15" t="str">
        <f>"FES1162673423"</f>
        <v>FES1162673423</v>
      </c>
      <c r="D2381" s="15" t="s">
        <v>18</v>
      </c>
      <c r="E2381" s="15" t="s">
        <v>212</v>
      </c>
      <c r="F2381" s="15" t="str">
        <f>"2170669613 "</f>
        <v xml:space="preserve">2170669613 </v>
      </c>
      <c r="G2381" s="15" t="str">
        <f t="shared" si="72"/>
        <v>ON1</v>
      </c>
      <c r="H2381" s="15" t="s">
        <v>20</v>
      </c>
      <c r="I2381" s="15" t="s">
        <v>213</v>
      </c>
      <c r="J2381" s="15" t="str">
        <f>""</f>
        <v/>
      </c>
      <c r="K2381" s="15" t="str">
        <f>"PFES1162673423_0001"</f>
        <v>PFES1162673423_0001</v>
      </c>
      <c r="L2381" s="15">
        <v>1</v>
      </c>
      <c r="M2381" s="15">
        <v>1</v>
      </c>
    </row>
    <row r="2382" spans="1:13">
      <c r="A2382" s="6">
        <v>43511</v>
      </c>
      <c r="B2382" s="7">
        <v>0.4604166666666667</v>
      </c>
      <c r="C2382" s="15" t="str">
        <f>"FES1162673433"</f>
        <v>FES1162673433</v>
      </c>
      <c r="D2382" s="15" t="s">
        <v>18</v>
      </c>
      <c r="E2382" s="15" t="s">
        <v>47</v>
      </c>
      <c r="F2382" s="15" t="str">
        <f>"2170671818 "</f>
        <v xml:space="preserve">2170671818 </v>
      </c>
      <c r="G2382" s="15" t="str">
        <f t="shared" si="72"/>
        <v>ON1</v>
      </c>
      <c r="H2382" s="15" t="s">
        <v>20</v>
      </c>
      <c r="I2382" s="15" t="s">
        <v>48</v>
      </c>
      <c r="J2382" s="15" t="str">
        <f>""</f>
        <v/>
      </c>
      <c r="K2382" s="15" t="str">
        <f>"PFES1162673433_0001"</f>
        <v>PFES1162673433_0001</v>
      </c>
      <c r="L2382" s="15">
        <v>1</v>
      </c>
      <c r="M2382" s="15">
        <v>1</v>
      </c>
    </row>
    <row r="2383" spans="1:13">
      <c r="A2383" s="6">
        <v>43511</v>
      </c>
      <c r="B2383" s="7">
        <v>0.4597222222222222</v>
      </c>
      <c r="C2383" s="15" t="str">
        <f>"FES1162673474"</f>
        <v>FES1162673474</v>
      </c>
      <c r="D2383" s="15" t="s">
        <v>18</v>
      </c>
      <c r="E2383" s="15" t="s">
        <v>665</v>
      </c>
      <c r="F2383" s="15" t="str">
        <f>"2170674373 "</f>
        <v xml:space="preserve">2170674373 </v>
      </c>
      <c r="G2383" s="15" t="str">
        <f t="shared" si="72"/>
        <v>ON1</v>
      </c>
      <c r="H2383" s="15" t="s">
        <v>20</v>
      </c>
      <c r="I2383" s="15" t="s">
        <v>561</v>
      </c>
      <c r="J2383" s="15" t="str">
        <f>""</f>
        <v/>
      </c>
      <c r="K2383" s="15" t="str">
        <f>"PFES1162673474_0001"</f>
        <v>PFES1162673474_0001</v>
      </c>
      <c r="L2383" s="15">
        <v>1</v>
      </c>
      <c r="M2383" s="15">
        <v>1</v>
      </c>
    </row>
    <row r="2384" spans="1:13">
      <c r="A2384" s="6">
        <v>43511</v>
      </c>
      <c r="B2384" s="7">
        <v>0.45902777777777781</v>
      </c>
      <c r="C2384" s="15" t="str">
        <f>"FES1162673352"</f>
        <v>FES1162673352</v>
      </c>
      <c r="D2384" s="15" t="s">
        <v>18</v>
      </c>
      <c r="E2384" s="15" t="s">
        <v>579</v>
      </c>
      <c r="F2384" s="15" t="str">
        <f>"2170672756 "</f>
        <v xml:space="preserve">2170672756 </v>
      </c>
      <c r="G2384" s="15" t="str">
        <f t="shared" si="72"/>
        <v>ON1</v>
      </c>
      <c r="H2384" s="15" t="s">
        <v>20</v>
      </c>
      <c r="I2384" s="15" t="s">
        <v>580</v>
      </c>
      <c r="J2384" s="15" t="str">
        <f>""</f>
        <v/>
      </c>
      <c r="K2384" s="15" t="str">
        <f>"PFES1162673352_0001"</f>
        <v>PFES1162673352_0001</v>
      </c>
      <c r="L2384" s="15">
        <v>1</v>
      </c>
      <c r="M2384" s="15">
        <v>1</v>
      </c>
    </row>
    <row r="2385" spans="1:13">
      <c r="A2385" s="6">
        <v>43511</v>
      </c>
      <c r="B2385" s="7">
        <v>0.45763888888888887</v>
      </c>
      <c r="C2385" s="15" t="str">
        <f>"FES1162673404"</f>
        <v>FES1162673404</v>
      </c>
      <c r="D2385" s="15" t="s">
        <v>18</v>
      </c>
      <c r="E2385" s="15" t="s">
        <v>992</v>
      </c>
      <c r="F2385" s="15" t="str">
        <f>"2170674567 "</f>
        <v xml:space="preserve">2170674567 </v>
      </c>
      <c r="G2385" s="15" t="str">
        <f t="shared" si="72"/>
        <v>ON1</v>
      </c>
      <c r="H2385" s="15" t="s">
        <v>20</v>
      </c>
      <c r="I2385" s="15" t="s">
        <v>993</v>
      </c>
      <c r="J2385" s="15" t="str">
        <f>""</f>
        <v/>
      </c>
      <c r="K2385" s="15" t="str">
        <f>"PFES1162673404_0001"</f>
        <v>PFES1162673404_0001</v>
      </c>
      <c r="L2385" s="15">
        <v>1</v>
      </c>
      <c r="M2385" s="15">
        <v>1</v>
      </c>
    </row>
    <row r="2386" spans="1:13">
      <c r="A2386" s="6">
        <v>43511</v>
      </c>
      <c r="B2386" s="7">
        <v>0.45694444444444443</v>
      </c>
      <c r="C2386" s="15" t="str">
        <f>"FES1162673400"</f>
        <v>FES1162673400</v>
      </c>
      <c r="D2386" s="15" t="s">
        <v>18</v>
      </c>
      <c r="E2386" s="15" t="s">
        <v>994</v>
      </c>
      <c r="F2386" s="15" t="str">
        <f>"2170674521 "</f>
        <v xml:space="preserve">2170674521 </v>
      </c>
      <c r="G2386" s="15" t="str">
        <f t="shared" si="72"/>
        <v>ON1</v>
      </c>
      <c r="H2386" s="15" t="s">
        <v>20</v>
      </c>
      <c r="I2386" s="15" t="s">
        <v>137</v>
      </c>
      <c r="J2386" s="15" t="str">
        <f>""</f>
        <v/>
      </c>
      <c r="K2386" s="15" t="str">
        <f>"PFES1162673400_0001"</f>
        <v>PFES1162673400_0001</v>
      </c>
      <c r="L2386" s="15">
        <v>1</v>
      </c>
      <c r="M2386" s="15">
        <v>1</v>
      </c>
    </row>
    <row r="2387" spans="1:13">
      <c r="A2387" s="6">
        <v>43514</v>
      </c>
      <c r="B2387" s="7">
        <v>0.68611111111111101</v>
      </c>
      <c r="C2387" s="15" t="str">
        <f>"FES1162673597"</f>
        <v>FES1162673597</v>
      </c>
      <c r="D2387" s="15" t="s">
        <v>18</v>
      </c>
      <c r="E2387" s="15" t="s">
        <v>438</v>
      </c>
      <c r="F2387" s="15" t="str">
        <f>"2170672867 "</f>
        <v xml:space="preserve">2170672867 </v>
      </c>
      <c r="G2387" s="15" t="str">
        <f>"ON1"</f>
        <v>ON1</v>
      </c>
      <c r="H2387" s="15" t="s">
        <v>20</v>
      </c>
      <c r="I2387" s="15" t="s">
        <v>390</v>
      </c>
      <c r="J2387" s="15" t="str">
        <f>""</f>
        <v/>
      </c>
      <c r="K2387" s="15" t="str">
        <f>"PFES1162673597_0001"</f>
        <v>PFES1162673597_0001</v>
      </c>
      <c r="L2387" s="15">
        <v>1</v>
      </c>
      <c r="M2387" s="15">
        <v>8</v>
      </c>
    </row>
    <row r="2388" spans="1:13">
      <c r="A2388" s="6">
        <v>43514</v>
      </c>
      <c r="B2388" s="7">
        <v>0.68402777777777779</v>
      </c>
      <c r="C2388" s="15" t="str">
        <f>"FES1162673837"</f>
        <v>FES1162673837</v>
      </c>
      <c r="D2388" s="15" t="s">
        <v>18</v>
      </c>
      <c r="E2388" s="15" t="s">
        <v>138</v>
      </c>
      <c r="F2388" s="15" t="str">
        <f>"2170674945 "</f>
        <v xml:space="preserve">2170674945 </v>
      </c>
      <c r="G2388" s="15" t="str">
        <f>"ON1"</f>
        <v>ON1</v>
      </c>
      <c r="H2388" s="15" t="s">
        <v>20</v>
      </c>
      <c r="I2388" s="15" t="s">
        <v>139</v>
      </c>
      <c r="J2388" s="15" t="str">
        <f>""</f>
        <v/>
      </c>
      <c r="K2388" s="15" t="str">
        <f>"PFES1162673837_0001"</f>
        <v>PFES1162673837_0001</v>
      </c>
      <c r="L2388" s="15">
        <v>1</v>
      </c>
      <c r="M2388" s="15">
        <v>1</v>
      </c>
    </row>
    <row r="2389" spans="1:13">
      <c r="A2389" s="6">
        <v>43514</v>
      </c>
      <c r="B2389" s="7">
        <v>0.68333333333333324</v>
      </c>
      <c r="C2389" s="15" t="str">
        <f>"FES1162673831"</f>
        <v>FES1162673831</v>
      </c>
      <c r="D2389" s="15" t="s">
        <v>18</v>
      </c>
      <c r="E2389" s="15" t="s">
        <v>30</v>
      </c>
      <c r="F2389" s="15" t="str">
        <f>"217064937 "</f>
        <v xml:space="preserve">217064937 </v>
      </c>
      <c r="G2389" s="15" t="str">
        <f>"ON1"</f>
        <v>ON1</v>
      </c>
      <c r="H2389" s="15" t="s">
        <v>20</v>
      </c>
      <c r="I2389" s="15" t="s">
        <v>31</v>
      </c>
      <c r="J2389" s="15" t="str">
        <f>""</f>
        <v/>
      </c>
      <c r="K2389" s="15" t="str">
        <f>"PFES1162673831_0001"</f>
        <v>PFES1162673831_0001</v>
      </c>
      <c r="L2389" s="15">
        <v>1</v>
      </c>
      <c r="M2389" s="15">
        <v>1</v>
      </c>
    </row>
    <row r="2390" spans="1:13">
      <c r="A2390" s="6">
        <v>43514</v>
      </c>
      <c r="B2390" s="7">
        <v>0.68263888888888891</v>
      </c>
      <c r="C2390" s="15" t="str">
        <f>"FES1162673839"</f>
        <v>FES1162673839</v>
      </c>
      <c r="D2390" s="15" t="s">
        <v>18</v>
      </c>
      <c r="E2390" s="15" t="s">
        <v>995</v>
      </c>
      <c r="F2390" s="15" t="str">
        <f>"2170674952 "</f>
        <v xml:space="preserve">2170674952 </v>
      </c>
      <c r="G2390" s="15" t="str">
        <f>"ON1"</f>
        <v>ON1</v>
      </c>
      <c r="H2390" s="15" t="s">
        <v>20</v>
      </c>
      <c r="I2390" s="15" t="s">
        <v>937</v>
      </c>
      <c r="J2390" s="15" t="str">
        <f>""</f>
        <v/>
      </c>
      <c r="K2390" s="15" t="str">
        <f>"PFES1162673839_0001"</f>
        <v>PFES1162673839_0001</v>
      </c>
      <c r="L2390" s="15">
        <v>1</v>
      </c>
      <c r="M2390" s="15">
        <v>1</v>
      </c>
    </row>
    <row r="2391" spans="1:13">
      <c r="A2391" s="6">
        <v>43514</v>
      </c>
      <c r="B2391" s="7">
        <v>0.68194444444444446</v>
      </c>
      <c r="C2391" s="15" t="str">
        <f>"FES1162673773"</f>
        <v>FES1162673773</v>
      </c>
      <c r="D2391" s="15" t="s">
        <v>18</v>
      </c>
      <c r="E2391" s="15" t="s">
        <v>218</v>
      </c>
      <c r="F2391" s="15" t="str">
        <f>"2170674882 "</f>
        <v xml:space="preserve">2170674882 </v>
      </c>
      <c r="G2391" s="15" t="str">
        <f>"ON1"</f>
        <v>ON1</v>
      </c>
      <c r="H2391" s="15" t="s">
        <v>20</v>
      </c>
      <c r="I2391" s="15" t="s">
        <v>219</v>
      </c>
      <c r="J2391" s="15" t="str">
        <f>""</f>
        <v/>
      </c>
      <c r="K2391" s="15" t="str">
        <f>"PFES1162673773_0001"</f>
        <v>PFES1162673773_0001</v>
      </c>
      <c r="L2391" s="15">
        <v>1</v>
      </c>
      <c r="M2391" s="15">
        <v>3</v>
      </c>
    </row>
    <row r="2392" spans="1:13">
      <c r="A2392" s="6">
        <v>43514</v>
      </c>
      <c r="B2392" s="7">
        <v>0.68194444444444446</v>
      </c>
      <c r="C2392" s="15" t="str">
        <f>"FES1162673836"</f>
        <v>FES1162673836</v>
      </c>
      <c r="D2392" s="15" t="s">
        <v>18</v>
      </c>
      <c r="E2392" s="15" t="s">
        <v>521</v>
      </c>
      <c r="F2392" s="15" t="str">
        <f>"2170649444 "</f>
        <v xml:space="preserve">2170649444 </v>
      </c>
      <c r="G2392" s="15" t="str">
        <f>"DBC"</f>
        <v>DBC</v>
      </c>
      <c r="H2392" s="15" t="s">
        <v>20</v>
      </c>
      <c r="I2392" s="15" t="s">
        <v>445</v>
      </c>
      <c r="J2392" s="15" t="str">
        <f>""</f>
        <v/>
      </c>
      <c r="K2392" s="15" t="str">
        <f>"PFES1162673836_0001"</f>
        <v>PFES1162673836_0001</v>
      </c>
      <c r="L2392" s="15">
        <v>1</v>
      </c>
      <c r="M2392" s="15">
        <v>3</v>
      </c>
    </row>
    <row r="2393" spans="1:13">
      <c r="A2393" s="6">
        <v>43514</v>
      </c>
      <c r="B2393" s="7">
        <v>0.68125000000000002</v>
      </c>
      <c r="C2393" s="15" t="str">
        <f>"FES1162673804"</f>
        <v>FES1162673804</v>
      </c>
      <c r="D2393" s="15" t="s">
        <v>18</v>
      </c>
      <c r="E2393" s="15" t="s">
        <v>996</v>
      </c>
      <c r="F2393" s="15" t="str">
        <f>"2170674058 "</f>
        <v xml:space="preserve">2170674058 </v>
      </c>
      <c r="G2393" s="15" t="str">
        <f t="shared" ref="G2393:G2456" si="73">"ON1"</f>
        <v>ON1</v>
      </c>
      <c r="H2393" s="15" t="s">
        <v>20</v>
      </c>
      <c r="I2393" s="15" t="s">
        <v>137</v>
      </c>
      <c r="J2393" s="15" t="str">
        <f>""</f>
        <v/>
      </c>
      <c r="K2393" s="15" t="str">
        <f>"PFES1162673804_0001"</f>
        <v>PFES1162673804_0001</v>
      </c>
      <c r="L2393" s="15">
        <v>1</v>
      </c>
      <c r="M2393" s="15">
        <v>4</v>
      </c>
    </row>
    <row r="2394" spans="1:13">
      <c r="A2394" s="6">
        <v>43514</v>
      </c>
      <c r="B2394" s="7">
        <v>0.68055555555555547</v>
      </c>
      <c r="C2394" s="15" t="str">
        <f>"FES1162673805"</f>
        <v>FES1162673805</v>
      </c>
      <c r="D2394" s="15" t="s">
        <v>18</v>
      </c>
      <c r="E2394" s="15" t="s">
        <v>129</v>
      </c>
      <c r="F2394" s="15" t="str">
        <f>"2170674685 "</f>
        <v xml:space="preserve">2170674685 </v>
      </c>
      <c r="G2394" s="15" t="str">
        <f t="shared" si="73"/>
        <v>ON1</v>
      </c>
      <c r="H2394" s="15" t="s">
        <v>20</v>
      </c>
      <c r="I2394" s="15" t="s">
        <v>130</v>
      </c>
      <c r="J2394" s="15" t="str">
        <f>""</f>
        <v/>
      </c>
      <c r="K2394" s="15" t="str">
        <f>"PFES1162673805_0001"</f>
        <v>PFES1162673805_0001</v>
      </c>
      <c r="L2394" s="15">
        <v>1</v>
      </c>
      <c r="M2394" s="15">
        <v>5</v>
      </c>
    </row>
    <row r="2395" spans="1:13">
      <c r="A2395" s="6">
        <v>43514</v>
      </c>
      <c r="B2395" s="7">
        <v>0.67986111111111114</v>
      </c>
      <c r="C2395" s="15" t="str">
        <f>"FES1162673832"</f>
        <v>FES1162673832</v>
      </c>
      <c r="D2395" s="15" t="s">
        <v>18</v>
      </c>
      <c r="E2395" s="15" t="s">
        <v>997</v>
      </c>
      <c r="F2395" s="15" t="str">
        <f>"2170641939 "</f>
        <v xml:space="preserve">2170641939 </v>
      </c>
      <c r="G2395" s="15" t="str">
        <f t="shared" si="73"/>
        <v>ON1</v>
      </c>
      <c r="H2395" s="15" t="s">
        <v>20</v>
      </c>
      <c r="I2395" s="15" t="s">
        <v>143</v>
      </c>
      <c r="J2395" s="15" t="str">
        <f>""</f>
        <v/>
      </c>
      <c r="K2395" s="15" t="str">
        <f>"PFES1162673832_0001"</f>
        <v>PFES1162673832_0001</v>
      </c>
      <c r="L2395" s="15">
        <v>1</v>
      </c>
      <c r="M2395" s="15">
        <v>3</v>
      </c>
    </row>
    <row r="2396" spans="1:13">
      <c r="A2396" s="6">
        <v>43514</v>
      </c>
      <c r="B2396" s="7">
        <v>0.67986111111111114</v>
      </c>
      <c r="C2396" s="15" t="str">
        <f>"FES1162673830"</f>
        <v>FES1162673830</v>
      </c>
      <c r="D2396" s="15" t="s">
        <v>18</v>
      </c>
      <c r="E2396" s="15" t="s">
        <v>176</v>
      </c>
      <c r="F2396" s="15" t="str">
        <f>"2170674913 "</f>
        <v xml:space="preserve">2170674913 </v>
      </c>
      <c r="G2396" s="15" t="str">
        <f t="shared" si="73"/>
        <v>ON1</v>
      </c>
      <c r="H2396" s="15" t="s">
        <v>20</v>
      </c>
      <c r="I2396" s="15" t="s">
        <v>177</v>
      </c>
      <c r="J2396" s="15" t="str">
        <f>""</f>
        <v/>
      </c>
      <c r="K2396" s="15" t="str">
        <f>"PFES1162673830_0001"</f>
        <v>PFES1162673830_0001</v>
      </c>
      <c r="L2396" s="15">
        <v>1</v>
      </c>
      <c r="M2396" s="15">
        <v>1</v>
      </c>
    </row>
    <row r="2397" spans="1:13">
      <c r="A2397" s="6">
        <v>43514</v>
      </c>
      <c r="B2397" s="7">
        <v>0.67986111111111114</v>
      </c>
      <c r="C2397" s="15" t="str">
        <f>"FES1162673838"</f>
        <v>FES1162673838</v>
      </c>
      <c r="D2397" s="15" t="s">
        <v>18</v>
      </c>
      <c r="E2397" s="15" t="s">
        <v>28</v>
      </c>
      <c r="F2397" s="15" t="str">
        <f>"2170646747 "</f>
        <v xml:space="preserve">2170646747 </v>
      </c>
      <c r="G2397" s="15" t="str">
        <f t="shared" si="73"/>
        <v>ON1</v>
      </c>
      <c r="H2397" s="15" t="s">
        <v>20</v>
      </c>
      <c r="I2397" s="15" t="s">
        <v>29</v>
      </c>
      <c r="J2397" s="15" t="str">
        <f>""</f>
        <v/>
      </c>
      <c r="K2397" s="15" t="str">
        <f>"PFES1162673838_0001"</f>
        <v>PFES1162673838_0001</v>
      </c>
      <c r="L2397" s="15">
        <v>1</v>
      </c>
      <c r="M2397" s="15">
        <v>4</v>
      </c>
    </row>
    <row r="2398" spans="1:13">
      <c r="A2398" s="6">
        <v>43514</v>
      </c>
      <c r="B2398" s="7">
        <v>0.6791666666666667</v>
      </c>
      <c r="C2398" s="15" t="str">
        <f>"FES1162673833"</f>
        <v>FES1162673833</v>
      </c>
      <c r="D2398" s="15" t="s">
        <v>18</v>
      </c>
      <c r="E2398" s="15" t="s">
        <v>522</v>
      </c>
      <c r="F2398" s="15" t="str">
        <f>"2170674500 "</f>
        <v xml:space="preserve">2170674500 </v>
      </c>
      <c r="G2398" s="15" t="str">
        <f t="shared" si="73"/>
        <v>ON1</v>
      </c>
      <c r="H2398" s="15" t="s">
        <v>20</v>
      </c>
      <c r="I2398" s="15" t="s">
        <v>388</v>
      </c>
      <c r="J2398" s="15" t="str">
        <f>""</f>
        <v/>
      </c>
      <c r="K2398" s="15" t="str">
        <f>"PFES1162673833_0001"</f>
        <v>PFES1162673833_0001</v>
      </c>
      <c r="L2398" s="15">
        <v>1</v>
      </c>
      <c r="M2398" s="15">
        <v>7</v>
      </c>
    </row>
    <row r="2399" spans="1:13">
      <c r="A2399" s="6">
        <v>43514</v>
      </c>
      <c r="B2399" s="7">
        <v>0.67847222222222225</v>
      </c>
      <c r="C2399" s="15" t="str">
        <f>"FES1162673486"</f>
        <v>FES1162673486</v>
      </c>
      <c r="D2399" s="15" t="s">
        <v>18</v>
      </c>
      <c r="E2399" s="15" t="s">
        <v>687</v>
      </c>
      <c r="F2399" s="15" t="str">
        <f>"2170674600 "</f>
        <v xml:space="preserve">2170674600 </v>
      </c>
      <c r="G2399" s="15" t="str">
        <f t="shared" si="73"/>
        <v>ON1</v>
      </c>
      <c r="H2399" s="15" t="s">
        <v>20</v>
      </c>
      <c r="I2399" s="15" t="s">
        <v>688</v>
      </c>
      <c r="J2399" s="15" t="str">
        <f>""</f>
        <v/>
      </c>
      <c r="K2399" s="15" t="str">
        <f>"PFES1162673486_0001"</f>
        <v>PFES1162673486_0001</v>
      </c>
      <c r="L2399" s="15">
        <v>1</v>
      </c>
      <c r="M2399" s="15">
        <v>9</v>
      </c>
    </row>
    <row r="2400" spans="1:13">
      <c r="A2400" s="6">
        <v>43514</v>
      </c>
      <c r="B2400" s="7">
        <v>0.6777777777777777</v>
      </c>
      <c r="C2400" s="15" t="str">
        <f>"FES1162673819"</f>
        <v>FES1162673819</v>
      </c>
      <c r="D2400" s="15" t="s">
        <v>18</v>
      </c>
      <c r="E2400" s="15" t="s">
        <v>140</v>
      </c>
      <c r="F2400" s="15" t="str">
        <f>"2170674929 "</f>
        <v xml:space="preserve">2170674929 </v>
      </c>
      <c r="G2400" s="15" t="str">
        <f t="shared" si="73"/>
        <v>ON1</v>
      </c>
      <c r="H2400" s="15" t="s">
        <v>20</v>
      </c>
      <c r="I2400" s="15" t="s">
        <v>141</v>
      </c>
      <c r="J2400" s="15" t="str">
        <f>""</f>
        <v/>
      </c>
      <c r="K2400" s="15" t="str">
        <f>"PFES1162673819_0001"</f>
        <v>PFES1162673819_0001</v>
      </c>
      <c r="L2400" s="15">
        <v>1</v>
      </c>
      <c r="M2400" s="15">
        <v>1</v>
      </c>
    </row>
    <row r="2401" spans="1:13">
      <c r="A2401" s="6">
        <v>43514</v>
      </c>
      <c r="B2401" s="7">
        <v>0.6777777777777777</v>
      </c>
      <c r="C2401" s="15" t="str">
        <f>"FES1162673834"</f>
        <v>FES1162673834</v>
      </c>
      <c r="D2401" s="15" t="s">
        <v>18</v>
      </c>
      <c r="E2401" s="15" t="s">
        <v>556</v>
      </c>
      <c r="F2401" s="15" t="str">
        <f>"2170674264 "</f>
        <v xml:space="preserve">2170674264 </v>
      </c>
      <c r="G2401" s="15" t="str">
        <f t="shared" si="73"/>
        <v>ON1</v>
      </c>
      <c r="H2401" s="15" t="s">
        <v>20</v>
      </c>
      <c r="I2401" s="15" t="s">
        <v>435</v>
      </c>
      <c r="J2401" s="15" t="str">
        <f>""</f>
        <v/>
      </c>
      <c r="K2401" s="15" t="str">
        <f>"PFES1162673834_0001"</f>
        <v>PFES1162673834_0001</v>
      </c>
      <c r="L2401" s="15">
        <v>1</v>
      </c>
      <c r="M2401" s="15">
        <v>1</v>
      </c>
    </row>
    <row r="2402" spans="1:13">
      <c r="A2402" s="6">
        <v>43514</v>
      </c>
      <c r="B2402" s="7">
        <v>0.67708333333333337</v>
      </c>
      <c r="C2402" s="15" t="str">
        <f>"FES1162673811"</f>
        <v>FES1162673811</v>
      </c>
      <c r="D2402" s="15" t="s">
        <v>18</v>
      </c>
      <c r="E2402" s="15" t="s">
        <v>64</v>
      </c>
      <c r="F2402" s="15" t="str">
        <f>"2170674921 "</f>
        <v xml:space="preserve">2170674921 </v>
      </c>
      <c r="G2402" s="15" t="str">
        <f t="shared" si="73"/>
        <v>ON1</v>
      </c>
      <c r="H2402" s="15" t="s">
        <v>20</v>
      </c>
      <c r="I2402" s="15" t="s">
        <v>65</v>
      </c>
      <c r="J2402" s="15" t="str">
        <f>""</f>
        <v/>
      </c>
      <c r="K2402" s="15" t="str">
        <f>"PFES1162673811_0001"</f>
        <v>PFES1162673811_0001</v>
      </c>
      <c r="L2402" s="15">
        <v>1</v>
      </c>
      <c r="M2402" s="15">
        <v>2</v>
      </c>
    </row>
    <row r="2403" spans="1:13">
      <c r="A2403" s="6">
        <v>43514</v>
      </c>
      <c r="B2403" s="7">
        <v>0.67013888888888884</v>
      </c>
      <c r="C2403" s="15" t="str">
        <f>"FES1162673815"</f>
        <v>FES1162673815</v>
      </c>
      <c r="D2403" s="15" t="s">
        <v>18</v>
      </c>
      <c r="E2403" s="15" t="s">
        <v>146</v>
      </c>
      <c r="F2403" s="15" t="str">
        <f>"2170674924 "</f>
        <v xml:space="preserve">2170674924 </v>
      </c>
      <c r="G2403" s="15" t="str">
        <f t="shared" si="73"/>
        <v>ON1</v>
      </c>
      <c r="H2403" s="15" t="s">
        <v>20</v>
      </c>
      <c r="I2403" s="15" t="s">
        <v>147</v>
      </c>
      <c r="J2403" s="15" t="str">
        <f>""</f>
        <v/>
      </c>
      <c r="K2403" s="15" t="str">
        <f>"PFES1162673815_0001"</f>
        <v>PFES1162673815_0001</v>
      </c>
      <c r="L2403" s="15">
        <v>1</v>
      </c>
      <c r="M2403" s="15">
        <v>1</v>
      </c>
    </row>
    <row r="2404" spans="1:13">
      <c r="A2404" s="6">
        <v>43514</v>
      </c>
      <c r="B2404" s="7">
        <v>0.67013888888888884</v>
      </c>
      <c r="C2404" s="15" t="str">
        <f>"FES1162673797"</f>
        <v>FES1162673797</v>
      </c>
      <c r="D2404" s="15" t="s">
        <v>18</v>
      </c>
      <c r="E2404" s="15" t="s">
        <v>152</v>
      </c>
      <c r="F2404" s="15" t="str">
        <f>"2170674854 "</f>
        <v xml:space="preserve">2170674854 </v>
      </c>
      <c r="G2404" s="15" t="str">
        <f t="shared" si="73"/>
        <v>ON1</v>
      </c>
      <c r="H2404" s="15" t="s">
        <v>20</v>
      </c>
      <c r="I2404" s="15" t="s">
        <v>153</v>
      </c>
      <c r="J2404" s="15" t="str">
        <f>""</f>
        <v/>
      </c>
      <c r="K2404" s="15" t="str">
        <f>"PFES1162673797_0001"</f>
        <v>PFES1162673797_0001</v>
      </c>
      <c r="L2404" s="15">
        <v>1</v>
      </c>
      <c r="M2404" s="15">
        <v>1</v>
      </c>
    </row>
    <row r="2405" spans="1:13">
      <c r="A2405" s="6">
        <v>43514</v>
      </c>
      <c r="B2405" s="7">
        <v>0.6694444444444444</v>
      </c>
      <c r="C2405" s="15" t="str">
        <f>"FES1162673808"</f>
        <v>FES1162673808</v>
      </c>
      <c r="D2405" s="15" t="s">
        <v>18</v>
      </c>
      <c r="E2405" s="15" t="s">
        <v>623</v>
      </c>
      <c r="F2405" s="15" t="str">
        <f>"2170674710 "</f>
        <v xml:space="preserve">2170674710 </v>
      </c>
      <c r="G2405" s="15" t="str">
        <f t="shared" si="73"/>
        <v>ON1</v>
      </c>
      <c r="H2405" s="15" t="s">
        <v>20</v>
      </c>
      <c r="I2405" s="15" t="s">
        <v>429</v>
      </c>
      <c r="J2405" s="15" t="str">
        <f>""</f>
        <v/>
      </c>
      <c r="K2405" s="15" t="str">
        <f>"PFES1162673808_0001"</f>
        <v>PFES1162673808_0001</v>
      </c>
      <c r="L2405" s="15">
        <v>1</v>
      </c>
      <c r="M2405" s="15">
        <v>1</v>
      </c>
    </row>
    <row r="2406" spans="1:13">
      <c r="A2406" s="6">
        <v>43514</v>
      </c>
      <c r="B2406" s="7">
        <v>0.6694444444444444</v>
      </c>
      <c r="C2406" s="15" t="str">
        <f>"FES1162673829"</f>
        <v>FES1162673829</v>
      </c>
      <c r="D2406" s="15" t="s">
        <v>18</v>
      </c>
      <c r="E2406" s="15" t="s">
        <v>234</v>
      </c>
      <c r="F2406" s="15" t="str">
        <f>"2170674903 "</f>
        <v xml:space="preserve">2170674903 </v>
      </c>
      <c r="G2406" s="15" t="str">
        <f t="shared" si="73"/>
        <v>ON1</v>
      </c>
      <c r="H2406" s="15" t="s">
        <v>20</v>
      </c>
      <c r="I2406" s="15" t="s">
        <v>233</v>
      </c>
      <c r="J2406" s="15" t="str">
        <f>""</f>
        <v/>
      </c>
      <c r="K2406" s="15" t="str">
        <f>"PFES1162673829_0001"</f>
        <v>PFES1162673829_0001</v>
      </c>
      <c r="L2406" s="15">
        <v>1</v>
      </c>
      <c r="M2406" s="15">
        <v>1</v>
      </c>
    </row>
    <row r="2407" spans="1:13">
      <c r="A2407" s="6">
        <v>43514</v>
      </c>
      <c r="B2407" s="7">
        <v>0.66875000000000007</v>
      </c>
      <c r="C2407" s="15" t="str">
        <f>"FES1162673807"</f>
        <v>FES1162673807</v>
      </c>
      <c r="D2407" s="15" t="s">
        <v>18</v>
      </c>
      <c r="E2407" s="15" t="s">
        <v>129</v>
      </c>
      <c r="F2407" s="15" t="str">
        <f>"2170674708 "</f>
        <v xml:space="preserve">2170674708 </v>
      </c>
      <c r="G2407" s="15" t="str">
        <f t="shared" si="73"/>
        <v>ON1</v>
      </c>
      <c r="H2407" s="15" t="s">
        <v>20</v>
      </c>
      <c r="I2407" s="15" t="s">
        <v>130</v>
      </c>
      <c r="J2407" s="15" t="str">
        <f>""</f>
        <v/>
      </c>
      <c r="K2407" s="15" t="str">
        <f>"PFES1162673807_0001"</f>
        <v>PFES1162673807_0001</v>
      </c>
      <c r="L2407" s="15">
        <v>1</v>
      </c>
      <c r="M2407" s="15">
        <v>3</v>
      </c>
    </row>
    <row r="2408" spans="1:13">
      <c r="A2408" s="6">
        <v>43514</v>
      </c>
      <c r="B2408" s="7">
        <v>0.66736111111111107</v>
      </c>
      <c r="C2408" s="15" t="str">
        <f>"FES1162673798"</f>
        <v>FES1162673798</v>
      </c>
      <c r="D2408" s="15" t="s">
        <v>18</v>
      </c>
      <c r="E2408" s="15" t="s">
        <v>300</v>
      </c>
      <c r="F2408" s="15" t="str">
        <f>"2170674861 "</f>
        <v xml:space="preserve">2170674861 </v>
      </c>
      <c r="G2408" s="15" t="str">
        <f t="shared" si="73"/>
        <v>ON1</v>
      </c>
      <c r="H2408" s="15" t="s">
        <v>20</v>
      </c>
      <c r="I2408" s="15" t="s">
        <v>276</v>
      </c>
      <c r="J2408" s="15" t="str">
        <f>""</f>
        <v/>
      </c>
      <c r="K2408" s="15" t="str">
        <f>"PFES1162673798_0001"</f>
        <v>PFES1162673798_0001</v>
      </c>
      <c r="L2408" s="15">
        <v>1</v>
      </c>
      <c r="M2408" s="15">
        <v>4</v>
      </c>
    </row>
    <row r="2409" spans="1:13">
      <c r="A2409" s="6">
        <v>43514</v>
      </c>
      <c r="B2409" s="7">
        <v>0.66666666666666663</v>
      </c>
      <c r="C2409" s="15" t="str">
        <f>"FES1162673813"</f>
        <v>FES1162673813</v>
      </c>
      <c r="D2409" s="15" t="s">
        <v>18</v>
      </c>
      <c r="E2409" s="15" t="s">
        <v>64</v>
      </c>
      <c r="F2409" s="15" t="str">
        <f>"2170674923 "</f>
        <v xml:space="preserve">2170674923 </v>
      </c>
      <c r="G2409" s="15" t="str">
        <f t="shared" si="73"/>
        <v>ON1</v>
      </c>
      <c r="H2409" s="15" t="s">
        <v>20</v>
      </c>
      <c r="I2409" s="15" t="s">
        <v>65</v>
      </c>
      <c r="J2409" s="15" t="str">
        <f>""</f>
        <v/>
      </c>
      <c r="K2409" s="15" t="str">
        <f>"PFES1162673813_0001"</f>
        <v>PFES1162673813_0001</v>
      </c>
      <c r="L2409" s="15">
        <v>1</v>
      </c>
      <c r="M2409" s="15">
        <v>2</v>
      </c>
    </row>
    <row r="2410" spans="1:13">
      <c r="A2410" s="6">
        <v>43514</v>
      </c>
      <c r="B2410" s="7">
        <v>0.66597222222222219</v>
      </c>
      <c r="C2410" s="15" t="str">
        <f>"FES1162673809"</f>
        <v>FES1162673809</v>
      </c>
      <c r="D2410" s="15" t="s">
        <v>18</v>
      </c>
      <c r="E2410" s="15" t="s">
        <v>140</v>
      </c>
      <c r="F2410" s="15" t="str">
        <f>"2170674731 "</f>
        <v xml:space="preserve">2170674731 </v>
      </c>
      <c r="G2410" s="15" t="str">
        <f t="shared" si="73"/>
        <v>ON1</v>
      </c>
      <c r="H2410" s="15" t="s">
        <v>20</v>
      </c>
      <c r="I2410" s="15" t="s">
        <v>141</v>
      </c>
      <c r="J2410" s="15" t="str">
        <f>""</f>
        <v/>
      </c>
      <c r="K2410" s="15" t="str">
        <f>"PFES1162673809_0001"</f>
        <v>PFES1162673809_0001</v>
      </c>
      <c r="L2410" s="15">
        <v>1</v>
      </c>
      <c r="M2410" s="15">
        <v>1</v>
      </c>
    </row>
    <row r="2411" spans="1:13">
      <c r="A2411" s="6">
        <v>43514</v>
      </c>
      <c r="B2411" s="7">
        <v>0.6645833333333333</v>
      </c>
      <c r="C2411" s="15" t="str">
        <f>"FES1162673825"</f>
        <v>FES1162673825</v>
      </c>
      <c r="D2411" s="15" t="s">
        <v>18</v>
      </c>
      <c r="E2411" s="15" t="s">
        <v>157</v>
      </c>
      <c r="F2411" s="15" t="str">
        <f>"2170674284 "</f>
        <v xml:space="preserve">2170674284 </v>
      </c>
      <c r="G2411" s="15" t="str">
        <f t="shared" si="73"/>
        <v>ON1</v>
      </c>
      <c r="H2411" s="15" t="s">
        <v>20</v>
      </c>
      <c r="I2411" s="15" t="s">
        <v>333</v>
      </c>
      <c r="J2411" s="15" t="str">
        <f>""</f>
        <v/>
      </c>
      <c r="K2411" s="15" t="str">
        <f>"PFES1162673825_0001"</f>
        <v>PFES1162673825_0001</v>
      </c>
      <c r="L2411" s="15">
        <v>1</v>
      </c>
      <c r="M2411" s="15">
        <v>1</v>
      </c>
    </row>
    <row r="2412" spans="1:13">
      <c r="A2412" s="6">
        <v>43514</v>
      </c>
      <c r="B2412" s="7">
        <v>0.6645833333333333</v>
      </c>
      <c r="C2412" s="15" t="str">
        <f>"FES1162673698"</f>
        <v>FES1162673698</v>
      </c>
      <c r="D2412" s="15" t="s">
        <v>18</v>
      </c>
      <c r="E2412" s="15" t="s">
        <v>19</v>
      </c>
      <c r="F2412" s="15" t="str">
        <f>"2170671451 "</f>
        <v xml:space="preserve">2170671451 </v>
      </c>
      <c r="G2412" s="15" t="str">
        <f t="shared" si="73"/>
        <v>ON1</v>
      </c>
      <c r="H2412" s="15" t="s">
        <v>20</v>
      </c>
      <c r="I2412" s="15" t="s">
        <v>21</v>
      </c>
      <c r="J2412" s="15" t="str">
        <f>""</f>
        <v/>
      </c>
      <c r="K2412" s="15" t="str">
        <f>"PFES1162673698_0001"</f>
        <v>PFES1162673698_0001</v>
      </c>
      <c r="L2412" s="15">
        <v>1</v>
      </c>
      <c r="M2412" s="15">
        <v>2</v>
      </c>
    </row>
    <row r="2413" spans="1:13">
      <c r="A2413" s="6">
        <v>43514</v>
      </c>
      <c r="B2413" s="7">
        <v>0.66319444444444442</v>
      </c>
      <c r="C2413" s="15" t="str">
        <f>"FES1162673774"</f>
        <v>FES1162673774</v>
      </c>
      <c r="D2413" s="15" t="s">
        <v>18</v>
      </c>
      <c r="E2413" s="15" t="s">
        <v>634</v>
      </c>
      <c r="F2413" s="15" t="str">
        <f>"2170674881 "</f>
        <v xml:space="preserve">2170674881 </v>
      </c>
      <c r="G2413" s="15" t="str">
        <f t="shared" si="73"/>
        <v>ON1</v>
      </c>
      <c r="H2413" s="15" t="s">
        <v>20</v>
      </c>
      <c r="I2413" s="15" t="s">
        <v>635</v>
      </c>
      <c r="J2413" s="15" t="str">
        <f>""</f>
        <v/>
      </c>
      <c r="K2413" s="15" t="str">
        <f>"PFES1162673774_0001"</f>
        <v>PFES1162673774_0001</v>
      </c>
      <c r="L2413" s="15">
        <v>1</v>
      </c>
      <c r="M2413" s="15">
        <v>1</v>
      </c>
    </row>
    <row r="2414" spans="1:13">
      <c r="A2414" s="6">
        <v>43514</v>
      </c>
      <c r="B2414" s="7">
        <v>0.66249999999999998</v>
      </c>
      <c r="C2414" s="15" t="str">
        <f>"FES1162673820"</f>
        <v>FES1162673820</v>
      </c>
      <c r="D2414" s="15" t="s">
        <v>18</v>
      </c>
      <c r="E2414" s="15" t="s">
        <v>159</v>
      </c>
      <c r="F2414" s="15" t="str">
        <f>"217064930 "</f>
        <v xml:space="preserve">217064930 </v>
      </c>
      <c r="G2414" s="15" t="str">
        <f t="shared" si="73"/>
        <v>ON1</v>
      </c>
      <c r="H2414" s="15" t="s">
        <v>20</v>
      </c>
      <c r="I2414" s="15" t="s">
        <v>137</v>
      </c>
      <c r="J2414" s="15" t="str">
        <f>""</f>
        <v/>
      </c>
      <c r="K2414" s="15" t="str">
        <f>"PFES1162673820_0001"</f>
        <v>PFES1162673820_0001</v>
      </c>
      <c r="L2414" s="15">
        <v>1</v>
      </c>
      <c r="M2414" s="15">
        <v>1</v>
      </c>
    </row>
    <row r="2415" spans="1:13">
      <c r="A2415" s="6">
        <v>43514</v>
      </c>
      <c r="B2415" s="7">
        <v>0.66249999999999998</v>
      </c>
      <c r="C2415" s="15" t="str">
        <f>"FES1162673794"</f>
        <v>FES1162673794</v>
      </c>
      <c r="D2415" s="15" t="s">
        <v>18</v>
      </c>
      <c r="E2415" s="15" t="s">
        <v>998</v>
      </c>
      <c r="F2415" s="15" t="str">
        <f>"2170674907 "</f>
        <v xml:space="preserve">2170674907 </v>
      </c>
      <c r="G2415" s="15" t="str">
        <f t="shared" si="73"/>
        <v>ON1</v>
      </c>
      <c r="H2415" s="15" t="s">
        <v>20</v>
      </c>
      <c r="I2415" s="15" t="s">
        <v>341</v>
      </c>
      <c r="J2415" s="15" t="str">
        <f>""</f>
        <v/>
      </c>
      <c r="K2415" s="15" t="str">
        <f>"PFES1162673794_0001"</f>
        <v>PFES1162673794_0001</v>
      </c>
      <c r="L2415" s="15">
        <v>1</v>
      </c>
      <c r="M2415" s="15">
        <v>8</v>
      </c>
    </row>
    <row r="2416" spans="1:13">
      <c r="A2416" s="6">
        <v>43514</v>
      </c>
      <c r="B2416" s="7">
        <v>0.66180555555555554</v>
      </c>
      <c r="C2416" s="15" t="str">
        <f>"FES1162673818"</f>
        <v>FES1162673818</v>
      </c>
      <c r="D2416" s="15" t="s">
        <v>18</v>
      </c>
      <c r="E2416" s="15" t="s">
        <v>543</v>
      </c>
      <c r="F2416" s="15" t="str">
        <f>"2170674928 "</f>
        <v xml:space="preserve">2170674928 </v>
      </c>
      <c r="G2416" s="15" t="str">
        <f t="shared" si="73"/>
        <v>ON1</v>
      </c>
      <c r="H2416" s="15" t="s">
        <v>20</v>
      </c>
      <c r="I2416" s="15" t="s">
        <v>199</v>
      </c>
      <c r="J2416" s="15" t="str">
        <f>""</f>
        <v/>
      </c>
      <c r="K2416" s="15" t="str">
        <f>"PFES1162673818_0001"</f>
        <v>PFES1162673818_0001</v>
      </c>
      <c r="L2416" s="15">
        <v>1</v>
      </c>
      <c r="M2416" s="15">
        <v>1</v>
      </c>
    </row>
    <row r="2417" spans="1:13">
      <c r="A2417" s="6">
        <v>43514</v>
      </c>
      <c r="B2417" s="7">
        <v>0.66180555555555554</v>
      </c>
      <c r="C2417" s="15" t="str">
        <f>"FES1162673827"</f>
        <v>FES1162673827</v>
      </c>
      <c r="D2417" s="15" t="s">
        <v>18</v>
      </c>
      <c r="E2417" s="15" t="s">
        <v>195</v>
      </c>
      <c r="F2417" s="15" t="str">
        <f>"2170674935 "</f>
        <v xml:space="preserve">2170674935 </v>
      </c>
      <c r="G2417" s="15" t="str">
        <f t="shared" si="73"/>
        <v>ON1</v>
      </c>
      <c r="H2417" s="15" t="s">
        <v>20</v>
      </c>
      <c r="I2417" s="15" t="s">
        <v>96</v>
      </c>
      <c r="J2417" s="15" t="str">
        <f>""</f>
        <v/>
      </c>
      <c r="K2417" s="15" t="str">
        <f>"PFES1162673827_0001"</f>
        <v>PFES1162673827_0001</v>
      </c>
      <c r="L2417" s="15">
        <v>1</v>
      </c>
      <c r="M2417" s="15">
        <v>1</v>
      </c>
    </row>
    <row r="2418" spans="1:13">
      <c r="A2418" s="6">
        <v>43514</v>
      </c>
      <c r="B2418" s="7">
        <v>0.66111111111111109</v>
      </c>
      <c r="C2418" s="15" t="str">
        <f>"FES1162673816"</f>
        <v>FES1162673816</v>
      </c>
      <c r="D2418" s="15" t="s">
        <v>18</v>
      </c>
      <c r="E2418" s="15" t="s">
        <v>999</v>
      </c>
      <c r="F2418" s="15" t="str">
        <f>"2170674926 "</f>
        <v xml:space="preserve">2170674926 </v>
      </c>
      <c r="G2418" s="15" t="str">
        <f t="shared" si="73"/>
        <v>ON1</v>
      </c>
      <c r="H2418" s="15" t="s">
        <v>20</v>
      </c>
      <c r="I2418" s="15" t="s">
        <v>43</v>
      </c>
      <c r="J2418" s="15" t="str">
        <f>""</f>
        <v/>
      </c>
      <c r="K2418" s="15" t="str">
        <f>"PFES1162673816_0001"</f>
        <v>PFES1162673816_0001</v>
      </c>
      <c r="L2418" s="15">
        <v>1</v>
      </c>
      <c r="M2418" s="15">
        <v>2</v>
      </c>
    </row>
    <row r="2419" spans="1:13">
      <c r="A2419" s="6">
        <v>43514</v>
      </c>
      <c r="B2419" s="7">
        <v>0.66111111111111109</v>
      </c>
      <c r="C2419" s="15" t="str">
        <f>"FES1162673821"</f>
        <v>FES1162673821</v>
      </c>
      <c r="D2419" s="15" t="s">
        <v>18</v>
      </c>
      <c r="E2419" s="15" t="s">
        <v>543</v>
      </c>
      <c r="F2419" s="15" t="str">
        <f>"2170674931 "</f>
        <v xml:space="preserve">2170674931 </v>
      </c>
      <c r="G2419" s="15" t="str">
        <f t="shared" si="73"/>
        <v>ON1</v>
      </c>
      <c r="H2419" s="15" t="s">
        <v>20</v>
      </c>
      <c r="I2419" s="15" t="s">
        <v>199</v>
      </c>
      <c r="J2419" s="15" t="str">
        <f>""</f>
        <v/>
      </c>
      <c r="K2419" s="15" t="str">
        <f>"PFES1162673821_0001"</f>
        <v>PFES1162673821_0001</v>
      </c>
      <c r="L2419" s="15">
        <v>1</v>
      </c>
      <c r="M2419" s="15">
        <v>1</v>
      </c>
    </row>
    <row r="2420" spans="1:13">
      <c r="A2420" s="6">
        <v>43514</v>
      </c>
      <c r="B2420" s="7">
        <v>0.66041666666666665</v>
      </c>
      <c r="C2420" s="15" t="str">
        <f>"FES1162673826"</f>
        <v>FES1162673826</v>
      </c>
      <c r="D2420" s="15" t="s">
        <v>18</v>
      </c>
      <c r="E2420" s="15" t="s">
        <v>1000</v>
      </c>
      <c r="F2420" s="15" t="str">
        <f>"2170674934 "</f>
        <v xml:space="preserve">2170674934 </v>
      </c>
      <c r="G2420" s="15" t="str">
        <f t="shared" si="73"/>
        <v>ON1</v>
      </c>
      <c r="H2420" s="15" t="s">
        <v>20</v>
      </c>
      <c r="I2420" s="15" t="s">
        <v>515</v>
      </c>
      <c r="J2420" s="15" t="str">
        <f>""</f>
        <v/>
      </c>
      <c r="K2420" s="15" t="str">
        <f>"PFES1162673826_0001"</f>
        <v>PFES1162673826_0001</v>
      </c>
      <c r="L2420" s="15">
        <v>1</v>
      </c>
      <c r="M2420" s="15">
        <v>1</v>
      </c>
    </row>
    <row r="2421" spans="1:13">
      <c r="A2421" s="6">
        <v>43514</v>
      </c>
      <c r="B2421" s="7">
        <v>0.65972222222222221</v>
      </c>
      <c r="C2421" s="15" t="str">
        <f>"FES1162673812"</f>
        <v>FES1162673812</v>
      </c>
      <c r="D2421" s="15" t="s">
        <v>18</v>
      </c>
      <c r="E2421" s="15" t="s">
        <v>395</v>
      </c>
      <c r="F2421" s="15" t="str">
        <f>"2170674922 "</f>
        <v xml:space="preserve">2170674922 </v>
      </c>
      <c r="G2421" s="15" t="str">
        <f t="shared" si="73"/>
        <v>ON1</v>
      </c>
      <c r="H2421" s="15" t="s">
        <v>20</v>
      </c>
      <c r="I2421" s="15" t="s">
        <v>396</v>
      </c>
      <c r="J2421" s="15" t="str">
        <f>""</f>
        <v/>
      </c>
      <c r="K2421" s="15" t="str">
        <f>"PFES1162673812_0001"</f>
        <v>PFES1162673812_0001</v>
      </c>
      <c r="L2421" s="15">
        <v>1</v>
      </c>
      <c r="M2421" s="15">
        <v>2</v>
      </c>
    </row>
    <row r="2422" spans="1:13">
      <c r="A2422" s="6">
        <v>43514</v>
      </c>
      <c r="B2422" s="7">
        <v>0.65694444444444444</v>
      </c>
      <c r="C2422" s="15" t="str">
        <f>"FES1162673792"</f>
        <v>FES1162673792</v>
      </c>
      <c r="D2422" s="15" t="s">
        <v>18</v>
      </c>
      <c r="E2422" s="15" t="s">
        <v>779</v>
      </c>
      <c r="F2422" s="15" t="str">
        <f>"217674902 "</f>
        <v xml:space="preserve">217674902 </v>
      </c>
      <c r="G2422" s="15" t="str">
        <f t="shared" si="73"/>
        <v>ON1</v>
      </c>
      <c r="H2422" s="15" t="s">
        <v>20</v>
      </c>
      <c r="I2422" s="15" t="s">
        <v>635</v>
      </c>
      <c r="J2422" s="15" t="str">
        <f>""</f>
        <v/>
      </c>
      <c r="K2422" s="15" t="str">
        <f>"PFES1162673792_0001"</f>
        <v>PFES1162673792_0001</v>
      </c>
      <c r="L2422" s="15">
        <v>1</v>
      </c>
      <c r="M2422" s="15">
        <v>1</v>
      </c>
    </row>
    <row r="2423" spans="1:13">
      <c r="A2423" s="6">
        <v>43514</v>
      </c>
      <c r="B2423" s="7">
        <v>0.65625</v>
      </c>
      <c r="C2423" s="15" t="str">
        <f>"FES1162673771"</f>
        <v>FES1162673771</v>
      </c>
      <c r="D2423" s="15" t="s">
        <v>18</v>
      </c>
      <c r="E2423" s="15" t="s">
        <v>19</v>
      </c>
      <c r="F2423" s="15" t="str">
        <f>"217067479 "</f>
        <v xml:space="preserve">217067479 </v>
      </c>
      <c r="G2423" s="15" t="str">
        <f t="shared" si="73"/>
        <v>ON1</v>
      </c>
      <c r="H2423" s="15" t="s">
        <v>20</v>
      </c>
      <c r="I2423" s="15" t="s">
        <v>21</v>
      </c>
      <c r="J2423" s="15" t="str">
        <f>""</f>
        <v/>
      </c>
      <c r="K2423" s="15" t="str">
        <f>"PFES1162673771_0001"</f>
        <v>PFES1162673771_0001</v>
      </c>
      <c r="L2423" s="15">
        <v>1</v>
      </c>
      <c r="M2423" s="15">
        <v>1</v>
      </c>
    </row>
    <row r="2424" spans="1:13">
      <c r="A2424" s="6">
        <v>43514</v>
      </c>
      <c r="B2424" s="7">
        <v>0.65625</v>
      </c>
      <c r="C2424" s="15" t="str">
        <f>"FES1162673790"</f>
        <v>FES1162673790</v>
      </c>
      <c r="D2424" s="15" t="s">
        <v>18</v>
      </c>
      <c r="E2424" s="15" t="s">
        <v>670</v>
      </c>
      <c r="F2424" s="15" t="str">
        <f>"2170674868 "</f>
        <v xml:space="preserve">2170674868 </v>
      </c>
      <c r="G2424" s="15" t="str">
        <f t="shared" si="73"/>
        <v>ON1</v>
      </c>
      <c r="H2424" s="15" t="s">
        <v>20</v>
      </c>
      <c r="I2424" s="15" t="s">
        <v>213</v>
      </c>
      <c r="J2424" s="15" t="str">
        <f>""</f>
        <v/>
      </c>
      <c r="K2424" s="15" t="str">
        <f>"PFES1162673790_0001"</f>
        <v>PFES1162673790_0001</v>
      </c>
      <c r="L2424" s="15">
        <v>1</v>
      </c>
      <c r="M2424" s="15">
        <v>3</v>
      </c>
    </row>
    <row r="2425" spans="1:13">
      <c r="A2425" s="6">
        <v>43514</v>
      </c>
      <c r="B2425" s="7">
        <v>0.65625</v>
      </c>
      <c r="C2425" s="15" t="str">
        <f>"FES1162673799"</f>
        <v>FES1162673799</v>
      </c>
      <c r="D2425" s="15" t="s">
        <v>18</v>
      </c>
      <c r="E2425" s="15" t="s">
        <v>152</v>
      </c>
      <c r="F2425" s="15" t="str">
        <f>"2170674863 "</f>
        <v xml:space="preserve">2170674863 </v>
      </c>
      <c r="G2425" s="15" t="str">
        <f t="shared" si="73"/>
        <v>ON1</v>
      </c>
      <c r="H2425" s="15" t="s">
        <v>20</v>
      </c>
      <c r="I2425" s="15" t="s">
        <v>153</v>
      </c>
      <c r="J2425" s="15" t="str">
        <f>""</f>
        <v/>
      </c>
      <c r="K2425" s="15" t="str">
        <f>"PFES1162673799_0001"</f>
        <v>PFES1162673799_0001</v>
      </c>
      <c r="L2425" s="15">
        <v>1</v>
      </c>
      <c r="M2425" s="15">
        <v>1</v>
      </c>
    </row>
    <row r="2426" spans="1:13">
      <c r="A2426" s="6">
        <v>43514</v>
      </c>
      <c r="B2426" s="7">
        <v>0.65625</v>
      </c>
      <c r="C2426" s="15" t="str">
        <f>"FES1162673788"</f>
        <v>FES1162673788</v>
      </c>
      <c r="D2426" s="15" t="s">
        <v>18</v>
      </c>
      <c r="E2426" s="15" t="s">
        <v>299</v>
      </c>
      <c r="F2426" s="15" t="str">
        <f>"2170674896 "</f>
        <v xml:space="preserve">2170674896 </v>
      </c>
      <c r="G2426" s="15" t="str">
        <f t="shared" si="73"/>
        <v>ON1</v>
      </c>
      <c r="H2426" s="15" t="s">
        <v>20</v>
      </c>
      <c r="I2426" s="15" t="s">
        <v>43</v>
      </c>
      <c r="J2426" s="15" t="str">
        <f>""</f>
        <v/>
      </c>
      <c r="K2426" s="15" t="str">
        <f>"PFES1162673788_0001"</f>
        <v>PFES1162673788_0001</v>
      </c>
      <c r="L2426" s="15">
        <v>1</v>
      </c>
      <c r="M2426" s="15">
        <v>1</v>
      </c>
    </row>
    <row r="2427" spans="1:13">
      <c r="A2427" s="6">
        <v>43514</v>
      </c>
      <c r="B2427" s="7">
        <v>0.65555555555555556</v>
      </c>
      <c r="C2427" s="15" t="str">
        <f>"FES1162673776"</f>
        <v>FES1162673776</v>
      </c>
      <c r="D2427" s="15" t="s">
        <v>18</v>
      </c>
      <c r="E2427" s="15" t="s">
        <v>19</v>
      </c>
      <c r="F2427" s="15" t="str">
        <f>"2170674885 "</f>
        <v xml:space="preserve">2170674885 </v>
      </c>
      <c r="G2427" s="15" t="str">
        <f t="shared" si="73"/>
        <v>ON1</v>
      </c>
      <c r="H2427" s="15" t="s">
        <v>20</v>
      </c>
      <c r="I2427" s="15" t="s">
        <v>21</v>
      </c>
      <c r="J2427" s="15" t="str">
        <f>""</f>
        <v/>
      </c>
      <c r="K2427" s="15" t="str">
        <f>"PFES1162673776_0001"</f>
        <v>PFES1162673776_0001</v>
      </c>
      <c r="L2427" s="15">
        <v>1</v>
      </c>
      <c r="M2427" s="15">
        <v>1</v>
      </c>
    </row>
    <row r="2428" spans="1:13">
      <c r="A2428" s="6">
        <v>43514</v>
      </c>
      <c r="B2428" s="7">
        <v>0.65486111111111112</v>
      </c>
      <c r="C2428" s="15" t="str">
        <f>"FES1162673810"</f>
        <v>FES1162673810</v>
      </c>
      <c r="D2428" s="15" t="s">
        <v>18</v>
      </c>
      <c r="E2428" s="15" t="s">
        <v>138</v>
      </c>
      <c r="F2428" s="15" t="str">
        <f>"2170674920 "</f>
        <v xml:space="preserve">2170674920 </v>
      </c>
      <c r="G2428" s="15" t="str">
        <f t="shared" si="73"/>
        <v>ON1</v>
      </c>
      <c r="H2428" s="15" t="s">
        <v>20</v>
      </c>
      <c r="I2428" s="15" t="s">
        <v>139</v>
      </c>
      <c r="J2428" s="15" t="str">
        <f>""</f>
        <v/>
      </c>
      <c r="K2428" s="15" t="str">
        <f>"PFES1162673810_0001"</f>
        <v>PFES1162673810_0001</v>
      </c>
      <c r="L2428" s="15">
        <v>1</v>
      </c>
      <c r="M2428" s="15">
        <v>3</v>
      </c>
    </row>
    <row r="2429" spans="1:13">
      <c r="A2429" s="6">
        <v>43514</v>
      </c>
      <c r="B2429" s="7">
        <v>0.64374999999999993</v>
      </c>
      <c r="C2429" s="15" t="str">
        <f>"FES1162673800"</f>
        <v>FES1162673800</v>
      </c>
      <c r="D2429" s="15" t="s">
        <v>18</v>
      </c>
      <c r="E2429" s="15" t="s">
        <v>38</v>
      </c>
      <c r="F2429" s="15" t="str">
        <f>"2170674911 "</f>
        <v xml:space="preserve">2170674911 </v>
      </c>
      <c r="G2429" s="15" t="str">
        <f t="shared" si="73"/>
        <v>ON1</v>
      </c>
      <c r="H2429" s="15" t="s">
        <v>20</v>
      </c>
      <c r="I2429" s="15" t="s">
        <v>39</v>
      </c>
      <c r="J2429" s="15" t="str">
        <f>""</f>
        <v/>
      </c>
      <c r="K2429" s="15" t="str">
        <f>"PFES1162673800_0001"</f>
        <v>PFES1162673800_0001</v>
      </c>
      <c r="L2429" s="15">
        <v>1</v>
      </c>
      <c r="M2429" s="15">
        <v>1</v>
      </c>
    </row>
    <row r="2430" spans="1:13">
      <c r="A2430" s="6">
        <v>43514</v>
      </c>
      <c r="B2430" s="7">
        <v>0.6430555555555556</v>
      </c>
      <c r="C2430" s="15" t="str">
        <f>"FES1162673802"</f>
        <v>FES1162673802</v>
      </c>
      <c r="D2430" s="15" t="s">
        <v>18</v>
      </c>
      <c r="E2430" s="15" t="s">
        <v>501</v>
      </c>
      <c r="F2430" s="15" t="str">
        <f>"2170674916 "</f>
        <v xml:space="preserve">2170674916 </v>
      </c>
      <c r="G2430" s="15" t="str">
        <f t="shared" si="73"/>
        <v>ON1</v>
      </c>
      <c r="H2430" s="15" t="s">
        <v>20</v>
      </c>
      <c r="I2430" s="15" t="s">
        <v>286</v>
      </c>
      <c r="J2430" s="15" t="str">
        <f>""</f>
        <v/>
      </c>
      <c r="K2430" s="15" t="str">
        <f>"PFES1162673802_0001"</f>
        <v>PFES1162673802_0001</v>
      </c>
      <c r="L2430" s="15">
        <v>1</v>
      </c>
      <c r="M2430" s="15">
        <v>1</v>
      </c>
    </row>
    <row r="2431" spans="1:13">
      <c r="A2431" s="6">
        <v>43514</v>
      </c>
      <c r="B2431" s="7">
        <v>0.63750000000000007</v>
      </c>
      <c r="C2431" s="15" t="str">
        <f>"FES1162673758"</f>
        <v>FES1162673758</v>
      </c>
      <c r="D2431" s="15" t="s">
        <v>18</v>
      </c>
      <c r="E2431" s="15" t="s">
        <v>746</v>
      </c>
      <c r="F2431" s="15" t="str">
        <f>"2170674580 "</f>
        <v xml:space="preserve">2170674580 </v>
      </c>
      <c r="G2431" s="15" t="str">
        <f t="shared" si="73"/>
        <v>ON1</v>
      </c>
      <c r="H2431" s="15" t="s">
        <v>20</v>
      </c>
      <c r="I2431" s="15" t="s">
        <v>747</v>
      </c>
      <c r="J2431" s="15" t="str">
        <f>""</f>
        <v/>
      </c>
      <c r="K2431" s="15" t="str">
        <f>"PFES1162673758_0001"</f>
        <v>PFES1162673758_0001</v>
      </c>
      <c r="L2431" s="15">
        <v>1</v>
      </c>
      <c r="M2431" s="15">
        <v>10</v>
      </c>
    </row>
    <row r="2432" spans="1:13">
      <c r="A2432" s="6">
        <v>43514</v>
      </c>
      <c r="B2432" s="7">
        <v>0.63680555555555551</v>
      </c>
      <c r="C2432" s="15" t="str">
        <f>"FES1162673779"</f>
        <v>FES1162673779</v>
      </c>
      <c r="D2432" s="15" t="s">
        <v>18</v>
      </c>
      <c r="E2432" s="15" t="s">
        <v>304</v>
      </c>
      <c r="F2432" s="15" t="str">
        <f>"2170673739 "</f>
        <v xml:space="preserve">2170673739 </v>
      </c>
      <c r="G2432" s="15" t="str">
        <f t="shared" si="73"/>
        <v>ON1</v>
      </c>
      <c r="H2432" s="15" t="s">
        <v>20</v>
      </c>
      <c r="I2432" s="15" t="s">
        <v>55</v>
      </c>
      <c r="J2432" s="15" t="str">
        <f>""</f>
        <v/>
      </c>
      <c r="K2432" s="15" t="str">
        <f>"PFES1162673779_0001"</f>
        <v>PFES1162673779_0001</v>
      </c>
      <c r="L2432" s="15">
        <v>1</v>
      </c>
      <c r="M2432" s="15">
        <v>2</v>
      </c>
    </row>
    <row r="2433" spans="1:13">
      <c r="A2433" s="6">
        <v>43514</v>
      </c>
      <c r="B2433" s="7">
        <v>0.63541666666666663</v>
      </c>
      <c r="C2433" s="15" t="str">
        <f>"FES1162673733"</f>
        <v>FES1162673733</v>
      </c>
      <c r="D2433" s="15" t="s">
        <v>18</v>
      </c>
      <c r="E2433" s="15" t="s">
        <v>1001</v>
      </c>
      <c r="F2433" s="15" t="str">
        <f>"2170674835 "</f>
        <v xml:space="preserve">2170674835 </v>
      </c>
      <c r="G2433" s="15" t="str">
        <f t="shared" si="73"/>
        <v>ON1</v>
      </c>
      <c r="H2433" s="15" t="s">
        <v>20</v>
      </c>
      <c r="I2433" s="15" t="s">
        <v>390</v>
      </c>
      <c r="J2433" s="15" t="str">
        <f>""</f>
        <v/>
      </c>
      <c r="K2433" s="15" t="str">
        <f>"PFES1162673733_0001"</f>
        <v>PFES1162673733_0001</v>
      </c>
      <c r="L2433" s="15">
        <v>1</v>
      </c>
      <c r="M2433" s="15">
        <v>1</v>
      </c>
    </row>
    <row r="2434" spans="1:13">
      <c r="A2434" s="6">
        <v>43514</v>
      </c>
      <c r="B2434" s="7">
        <v>0.63472222222222219</v>
      </c>
      <c r="C2434" s="15" t="str">
        <f>"FES1162673795"</f>
        <v>FES1162673795</v>
      </c>
      <c r="D2434" s="15" t="s">
        <v>18</v>
      </c>
      <c r="E2434" s="15" t="s">
        <v>136</v>
      </c>
      <c r="F2434" s="15" t="str">
        <f>"2170674909 "</f>
        <v xml:space="preserve">2170674909 </v>
      </c>
      <c r="G2434" s="15" t="str">
        <f t="shared" si="73"/>
        <v>ON1</v>
      </c>
      <c r="H2434" s="15" t="s">
        <v>20</v>
      </c>
      <c r="I2434" s="15" t="s">
        <v>137</v>
      </c>
      <c r="J2434" s="15" t="str">
        <f>""</f>
        <v/>
      </c>
      <c r="K2434" s="15" t="str">
        <f>"PFES1162673795_0001"</f>
        <v>PFES1162673795_0001</v>
      </c>
      <c r="L2434" s="15">
        <v>1</v>
      </c>
      <c r="M2434" s="15">
        <v>2</v>
      </c>
    </row>
    <row r="2435" spans="1:13">
      <c r="A2435" s="6">
        <v>43514</v>
      </c>
      <c r="B2435" s="7">
        <v>0.63402777777777775</v>
      </c>
      <c r="C2435" s="15" t="str">
        <f>"FES1162673793"</f>
        <v>FES1162673793</v>
      </c>
      <c r="D2435" s="15" t="s">
        <v>18</v>
      </c>
      <c r="E2435" s="15" t="s">
        <v>626</v>
      </c>
      <c r="F2435" s="15" t="str">
        <f>"2170674905 "</f>
        <v xml:space="preserve">2170674905 </v>
      </c>
      <c r="G2435" s="15" t="str">
        <f t="shared" si="73"/>
        <v>ON1</v>
      </c>
      <c r="H2435" s="15" t="s">
        <v>20</v>
      </c>
      <c r="I2435" s="15" t="s">
        <v>141</v>
      </c>
      <c r="J2435" s="15" t="str">
        <f>""</f>
        <v/>
      </c>
      <c r="K2435" s="15" t="str">
        <f>"PFES1162673793_0001"</f>
        <v>PFES1162673793_0001</v>
      </c>
      <c r="L2435" s="15">
        <v>1</v>
      </c>
      <c r="M2435" s="15">
        <v>2</v>
      </c>
    </row>
    <row r="2436" spans="1:13">
      <c r="A2436" s="6">
        <v>43514</v>
      </c>
      <c r="B2436" s="7">
        <v>0.63263888888888886</v>
      </c>
      <c r="C2436" s="15" t="str">
        <f>"FES1162673728"</f>
        <v>FES1162673728</v>
      </c>
      <c r="D2436" s="15" t="s">
        <v>18</v>
      </c>
      <c r="E2436" s="15" t="s">
        <v>479</v>
      </c>
      <c r="F2436" s="15" t="str">
        <f>"2170674666 "</f>
        <v xml:space="preserve">2170674666 </v>
      </c>
      <c r="G2436" s="15" t="str">
        <f t="shared" si="73"/>
        <v>ON1</v>
      </c>
      <c r="H2436" s="15" t="s">
        <v>20</v>
      </c>
      <c r="I2436" s="15" t="s">
        <v>233</v>
      </c>
      <c r="J2436" s="15" t="str">
        <f>""</f>
        <v/>
      </c>
      <c r="K2436" s="15" t="str">
        <f>"PFES1162673728_0001"</f>
        <v>PFES1162673728_0001</v>
      </c>
      <c r="L2436" s="15">
        <v>1</v>
      </c>
      <c r="M2436" s="15">
        <v>3</v>
      </c>
    </row>
    <row r="2437" spans="1:13">
      <c r="A2437" s="6">
        <v>43514</v>
      </c>
      <c r="B2437" s="7">
        <v>0.63194444444444442</v>
      </c>
      <c r="C2437" s="15" t="str">
        <f>"FES1162673712"</f>
        <v>FES1162673712</v>
      </c>
      <c r="D2437" s="15" t="s">
        <v>18</v>
      </c>
      <c r="E2437" s="15" t="s">
        <v>521</v>
      </c>
      <c r="F2437" s="15" t="str">
        <f>"2170674819 "</f>
        <v xml:space="preserve">2170674819 </v>
      </c>
      <c r="G2437" s="15" t="str">
        <f t="shared" si="73"/>
        <v>ON1</v>
      </c>
      <c r="H2437" s="15" t="s">
        <v>20</v>
      </c>
      <c r="I2437" s="15" t="s">
        <v>445</v>
      </c>
      <c r="J2437" s="15" t="str">
        <f>""</f>
        <v/>
      </c>
      <c r="K2437" s="15" t="str">
        <f>"PFES1162673712_0001"</f>
        <v>PFES1162673712_0001</v>
      </c>
      <c r="L2437" s="15">
        <v>1</v>
      </c>
      <c r="M2437" s="15">
        <v>3</v>
      </c>
    </row>
    <row r="2438" spans="1:13">
      <c r="A2438" s="6">
        <v>43514</v>
      </c>
      <c r="B2438" s="7">
        <v>0.63124999999999998</v>
      </c>
      <c r="C2438" s="15" t="str">
        <f>"FES1162673789"</f>
        <v>FES1162673789</v>
      </c>
      <c r="D2438" s="15" t="s">
        <v>18</v>
      </c>
      <c r="E2438" s="15" t="s">
        <v>187</v>
      </c>
      <c r="F2438" s="15" t="str">
        <f>"2170674899 "</f>
        <v xml:space="preserve">2170674899 </v>
      </c>
      <c r="G2438" s="15" t="str">
        <f t="shared" si="73"/>
        <v>ON1</v>
      </c>
      <c r="H2438" s="15" t="s">
        <v>20</v>
      </c>
      <c r="I2438" s="15" t="s">
        <v>188</v>
      </c>
      <c r="J2438" s="15" t="str">
        <f>""</f>
        <v/>
      </c>
      <c r="K2438" s="15" t="str">
        <f>"PFES1162673789_0001"</f>
        <v>PFES1162673789_0001</v>
      </c>
      <c r="L2438" s="15">
        <v>1</v>
      </c>
      <c r="M2438" s="15">
        <v>8</v>
      </c>
    </row>
    <row r="2439" spans="1:13">
      <c r="A2439" s="6">
        <v>43514</v>
      </c>
      <c r="B2439" s="7">
        <v>0.62986111111111109</v>
      </c>
      <c r="C2439" s="15" t="str">
        <f>"FES1162673766"</f>
        <v>FES1162673766</v>
      </c>
      <c r="D2439" s="15" t="s">
        <v>18</v>
      </c>
      <c r="E2439" s="15" t="s">
        <v>116</v>
      </c>
      <c r="F2439" s="15" t="str">
        <f>"2170674873 "</f>
        <v xml:space="preserve">2170674873 </v>
      </c>
      <c r="G2439" s="15" t="str">
        <f t="shared" si="73"/>
        <v>ON1</v>
      </c>
      <c r="H2439" s="15" t="s">
        <v>20</v>
      </c>
      <c r="I2439" s="15" t="s">
        <v>117</v>
      </c>
      <c r="J2439" s="15" t="str">
        <f>""</f>
        <v/>
      </c>
      <c r="K2439" s="15" t="str">
        <f>"PFES1162673766_0001"</f>
        <v>PFES1162673766_0001</v>
      </c>
      <c r="L2439" s="15">
        <v>1</v>
      </c>
      <c r="M2439" s="15">
        <v>3</v>
      </c>
    </row>
    <row r="2440" spans="1:13">
      <c r="A2440" s="6">
        <v>43514</v>
      </c>
      <c r="B2440" s="7">
        <v>0.62916666666666665</v>
      </c>
      <c r="C2440" s="15" t="str">
        <f>"FES1162673655"</f>
        <v>FES1162673655</v>
      </c>
      <c r="D2440" s="15" t="s">
        <v>18</v>
      </c>
      <c r="E2440" s="15" t="s">
        <v>19</v>
      </c>
      <c r="F2440" s="15" t="str">
        <f>"2170674578 "</f>
        <v xml:space="preserve">2170674578 </v>
      </c>
      <c r="G2440" s="15" t="str">
        <f t="shared" si="73"/>
        <v>ON1</v>
      </c>
      <c r="H2440" s="15" t="s">
        <v>20</v>
      </c>
      <c r="I2440" s="15" t="s">
        <v>21</v>
      </c>
      <c r="J2440" s="15" t="str">
        <f>""</f>
        <v/>
      </c>
      <c r="K2440" s="15" t="str">
        <f>"PFES1162673655_0001"</f>
        <v>PFES1162673655_0001</v>
      </c>
      <c r="L2440" s="15">
        <v>1</v>
      </c>
      <c r="M2440" s="15">
        <v>4</v>
      </c>
    </row>
    <row r="2441" spans="1:13">
      <c r="A2441" s="6">
        <v>43514</v>
      </c>
      <c r="B2441" s="7">
        <v>0.62777777777777777</v>
      </c>
      <c r="C2441" s="15" t="str">
        <f>"FES1162673768"</f>
        <v>FES1162673768</v>
      </c>
      <c r="D2441" s="15" t="s">
        <v>18</v>
      </c>
      <c r="E2441" s="15" t="s">
        <v>1002</v>
      </c>
      <c r="F2441" s="15" t="str">
        <f>"2170674875 "</f>
        <v xml:space="preserve">2170674875 </v>
      </c>
      <c r="G2441" s="15" t="str">
        <f t="shared" si="73"/>
        <v>ON1</v>
      </c>
      <c r="H2441" s="15" t="s">
        <v>20</v>
      </c>
      <c r="I2441" s="15" t="s">
        <v>81</v>
      </c>
      <c r="J2441" s="15" t="str">
        <f>""</f>
        <v/>
      </c>
      <c r="K2441" s="15" t="str">
        <f>"PFES1162673768_0001"</f>
        <v>PFES1162673768_0001</v>
      </c>
      <c r="L2441" s="15">
        <v>1</v>
      </c>
      <c r="M2441" s="15">
        <v>10</v>
      </c>
    </row>
    <row r="2442" spans="1:13">
      <c r="A2442" s="6">
        <v>43514</v>
      </c>
      <c r="B2442" s="7">
        <v>0.62708333333333333</v>
      </c>
      <c r="C2442" s="15" t="str">
        <f>"FES1162673777"</f>
        <v>FES1162673777</v>
      </c>
      <c r="D2442" s="15" t="s">
        <v>18</v>
      </c>
      <c r="E2442" s="15" t="s">
        <v>530</v>
      </c>
      <c r="F2442" s="15" t="str">
        <f>"2170674886 "</f>
        <v xml:space="preserve">2170674886 </v>
      </c>
      <c r="G2442" s="15" t="str">
        <f t="shared" si="73"/>
        <v>ON1</v>
      </c>
      <c r="H2442" s="15" t="s">
        <v>20</v>
      </c>
      <c r="I2442" s="15" t="s">
        <v>531</v>
      </c>
      <c r="J2442" s="15" t="str">
        <f>""</f>
        <v/>
      </c>
      <c r="K2442" s="15" t="str">
        <f>"PFES1162673777_0001"</f>
        <v>PFES1162673777_0001</v>
      </c>
      <c r="L2442" s="15">
        <v>1</v>
      </c>
      <c r="M2442" s="15">
        <v>1</v>
      </c>
    </row>
    <row r="2443" spans="1:13">
      <c r="A2443" s="6">
        <v>43514</v>
      </c>
      <c r="B2443" s="7">
        <v>0.62638888888888888</v>
      </c>
      <c r="C2443" s="15" t="str">
        <f>"FES1162673707"</f>
        <v>FES1162673707</v>
      </c>
      <c r="D2443" s="15" t="s">
        <v>18</v>
      </c>
      <c r="E2443" s="15" t="s">
        <v>601</v>
      </c>
      <c r="F2443" s="15" t="str">
        <f>"2170674659 "</f>
        <v xml:space="preserve">2170674659 </v>
      </c>
      <c r="G2443" s="15" t="str">
        <f t="shared" si="73"/>
        <v>ON1</v>
      </c>
      <c r="H2443" s="15" t="s">
        <v>20</v>
      </c>
      <c r="I2443" s="15" t="s">
        <v>215</v>
      </c>
      <c r="J2443" s="15" t="str">
        <f>""</f>
        <v/>
      </c>
      <c r="K2443" s="15" t="str">
        <f>"PFES1162673707_0001"</f>
        <v>PFES1162673707_0001</v>
      </c>
      <c r="L2443" s="15">
        <v>1</v>
      </c>
      <c r="M2443" s="15">
        <v>1</v>
      </c>
    </row>
    <row r="2444" spans="1:13">
      <c r="A2444" s="6">
        <v>43514</v>
      </c>
      <c r="B2444" s="7">
        <v>0.62638888888888888</v>
      </c>
      <c r="C2444" s="15" t="str">
        <f>"FES1162673780"</f>
        <v>FES1162673780</v>
      </c>
      <c r="D2444" s="15" t="s">
        <v>18</v>
      </c>
      <c r="E2444" s="15" t="s">
        <v>299</v>
      </c>
      <c r="F2444" s="15" t="str">
        <f>"2170674889 "</f>
        <v xml:space="preserve">2170674889 </v>
      </c>
      <c r="G2444" s="15" t="str">
        <f t="shared" si="73"/>
        <v>ON1</v>
      </c>
      <c r="H2444" s="15" t="s">
        <v>20</v>
      </c>
      <c r="I2444" s="15" t="s">
        <v>43</v>
      </c>
      <c r="J2444" s="15" t="str">
        <f>""</f>
        <v/>
      </c>
      <c r="K2444" s="15" t="str">
        <f>"PFES1162673780_0001"</f>
        <v>PFES1162673780_0001</v>
      </c>
      <c r="L2444" s="15">
        <v>1</v>
      </c>
      <c r="M2444" s="15">
        <v>1</v>
      </c>
    </row>
    <row r="2445" spans="1:13">
      <c r="A2445" s="6">
        <v>43514</v>
      </c>
      <c r="B2445" s="7">
        <v>0.62569444444444444</v>
      </c>
      <c r="C2445" s="15" t="str">
        <f>"FES1162673781"</f>
        <v>FES1162673781</v>
      </c>
      <c r="D2445" s="15" t="s">
        <v>18</v>
      </c>
      <c r="E2445" s="15" t="s">
        <v>315</v>
      </c>
      <c r="F2445" s="15" t="str">
        <f>"2170674890 "</f>
        <v xml:space="preserve">2170674890 </v>
      </c>
      <c r="G2445" s="15" t="str">
        <f t="shared" si="73"/>
        <v>ON1</v>
      </c>
      <c r="H2445" s="15" t="s">
        <v>20</v>
      </c>
      <c r="I2445" s="15" t="s">
        <v>239</v>
      </c>
      <c r="J2445" s="15" t="str">
        <f>""</f>
        <v/>
      </c>
      <c r="K2445" s="15" t="str">
        <f>"PFES1162673781_0001"</f>
        <v>PFES1162673781_0001</v>
      </c>
      <c r="L2445" s="15">
        <v>1</v>
      </c>
      <c r="M2445" s="15">
        <v>1</v>
      </c>
    </row>
    <row r="2446" spans="1:13">
      <c r="A2446" s="6">
        <v>43514</v>
      </c>
      <c r="B2446" s="7">
        <v>0.62569444444444444</v>
      </c>
      <c r="C2446" s="15" t="str">
        <f>"FES1162673775"</f>
        <v>FES1162673775</v>
      </c>
      <c r="D2446" s="15" t="s">
        <v>18</v>
      </c>
      <c r="E2446" s="15" t="s">
        <v>178</v>
      </c>
      <c r="F2446" s="15" t="str">
        <f>"2170674883 "</f>
        <v xml:space="preserve">2170674883 </v>
      </c>
      <c r="G2446" s="15" t="str">
        <f t="shared" si="73"/>
        <v>ON1</v>
      </c>
      <c r="H2446" s="15" t="s">
        <v>20</v>
      </c>
      <c r="I2446" s="15" t="s">
        <v>390</v>
      </c>
      <c r="J2446" s="15" t="str">
        <f>""</f>
        <v/>
      </c>
      <c r="K2446" s="15" t="str">
        <f>"PFES1162673775_0001"</f>
        <v>PFES1162673775_0001</v>
      </c>
      <c r="L2446" s="15">
        <v>1</v>
      </c>
      <c r="M2446" s="15">
        <v>1</v>
      </c>
    </row>
    <row r="2447" spans="1:13">
      <c r="A2447" s="6">
        <v>43514</v>
      </c>
      <c r="B2447" s="7">
        <v>0.62222222222222223</v>
      </c>
      <c r="C2447" s="15" t="str">
        <f>"FES1162673786"</f>
        <v>FES1162673786</v>
      </c>
      <c r="D2447" s="15" t="s">
        <v>18</v>
      </c>
      <c r="E2447" s="15" t="s">
        <v>92</v>
      </c>
      <c r="F2447" s="15" t="str">
        <f>"2170674894 "</f>
        <v xml:space="preserve">2170674894 </v>
      </c>
      <c r="G2447" s="15" t="str">
        <f t="shared" si="73"/>
        <v>ON1</v>
      </c>
      <c r="H2447" s="15" t="s">
        <v>20</v>
      </c>
      <c r="I2447" s="15" t="s">
        <v>93</v>
      </c>
      <c r="J2447" s="15" t="str">
        <f>""</f>
        <v/>
      </c>
      <c r="K2447" s="15" t="str">
        <f>"PFES1162673786_0001"</f>
        <v>PFES1162673786_0001</v>
      </c>
      <c r="L2447" s="15">
        <v>1</v>
      </c>
      <c r="M2447" s="15">
        <v>1</v>
      </c>
    </row>
    <row r="2448" spans="1:13">
      <c r="A2448" s="6">
        <v>43514</v>
      </c>
      <c r="B2448" s="7">
        <v>0.62222222222222223</v>
      </c>
      <c r="C2448" s="15" t="str">
        <f>"FES1162673749"</f>
        <v>FES1162673749</v>
      </c>
      <c r="D2448" s="15" t="s">
        <v>18</v>
      </c>
      <c r="E2448" s="15" t="s">
        <v>537</v>
      </c>
      <c r="F2448" s="15" t="str">
        <f>"2170674849 "</f>
        <v xml:space="preserve">2170674849 </v>
      </c>
      <c r="G2448" s="15" t="str">
        <f t="shared" si="73"/>
        <v>ON1</v>
      </c>
      <c r="H2448" s="15" t="s">
        <v>20</v>
      </c>
      <c r="I2448" s="15" t="s">
        <v>93</v>
      </c>
      <c r="J2448" s="15" t="str">
        <f>""</f>
        <v/>
      </c>
      <c r="K2448" s="15" t="str">
        <f>"PFES1162673749_0001"</f>
        <v>PFES1162673749_0001</v>
      </c>
      <c r="L2448" s="15">
        <v>1</v>
      </c>
      <c r="M2448" s="15">
        <v>1</v>
      </c>
    </row>
    <row r="2449" spans="1:13">
      <c r="A2449" s="6">
        <v>43514</v>
      </c>
      <c r="B2449" s="7">
        <v>0.62152777777777779</v>
      </c>
      <c r="C2449" s="15" t="str">
        <f>"FES1162673770"</f>
        <v>FES1162673770</v>
      </c>
      <c r="D2449" s="15" t="s">
        <v>18</v>
      </c>
      <c r="E2449" s="15" t="s">
        <v>1003</v>
      </c>
      <c r="F2449" s="15" t="str">
        <f>"2170674877 "</f>
        <v xml:space="preserve">2170674877 </v>
      </c>
      <c r="G2449" s="15" t="str">
        <f t="shared" si="73"/>
        <v>ON1</v>
      </c>
      <c r="H2449" s="15" t="s">
        <v>20</v>
      </c>
      <c r="I2449" s="15" t="s">
        <v>326</v>
      </c>
      <c r="J2449" s="15" t="str">
        <f>""</f>
        <v/>
      </c>
      <c r="K2449" s="15" t="str">
        <f>"PFES1162673770_0001"</f>
        <v>PFES1162673770_0001</v>
      </c>
      <c r="L2449" s="15">
        <v>1</v>
      </c>
      <c r="M2449" s="15">
        <v>1</v>
      </c>
    </row>
    <row r="2450" spans="1:13">
      <c r="A2450" s="6">
        <v>43514</v>
      </c>
      <c r="B2450" s="7">
        <v>0.62152777777777779</v>
      </c>
      <c r="C2450" s="15" t="str">
        <f>"FES1162673663"</f>
        <v>FES1162673663</v>
      </c>
      <c r="D2450" s="15" t="s">
        <v>18</v>
      </c>
      <c r="E2450" s="15" t="s">
        <v>1004</v>
      </c>
      <c r="F2450" s="15" t="str">
        <f>"2170673398 "</f>
        <v xml:space="preserve">2170673398 </v>
      </c>
      <c r="G2450" s="15" t="str">
        <f t="shared" si="73"/>
        <v>ON1</v>
      </c>
      <c r="H2450" s="15" t="s">
        <v>20</v>
      </c>
      <c r="I2450" s="15" t="s">
        <v>353</v>
      </c>
      <c r="J2450" s="15" t="str">
        <f>""</f>
        <v/>
      </c>
      <c r="K2450" s="15" t="str">
        <f>"PFES1162673663_0001"</f>
        <v>PFES1162673663_0001</v>
      </c>
      <c r="L2450" s="15">
        <v>1</v>
      </c>
      <c r="M2450" s="15">
        <v>1</v>
      </c>
    </row>
    <row r="2451" spans="1:13">
      <c r="A2451" s="6">
        <v>43514</v>
      </c>
      <c r="B2451" s="7">
        <v>0.62083333333333335</v>
      </c>
      <c r="C2451" s="15" t="str">
        <f>"FES1162673791"</f>
        <v>FES1162673791</v>
      </c>
      <c r="D2451" s="15" t="s">
        <v>18</v>
      </c>
      <c r="E2451" s="15" t="s">
        <v>521</v>
      </c>
      <c r="F2451" s="15" t="str">
        <f>"2170674901 "</f>
        <v xml:space="preserve">2170674901 </v>
      </c>
      <c r="G2451" s="15" t="str">
        <f t="shared" si="73"/>
        <v>ON1</v>
      </c>
      <c r="H2451" s="15" t="s">
        <v>20</v>
      </c>
      <c r="I2451" s="15" t="s">
        <v>445</v>
      </c>
      <c r="J2451" s="15" t="str">
        <f>""</f>
        <v/>
      </c>
      <c r="K2451" s="15" t="str">
        <f>"PFES1162673791_0001"</f>
        <v>PFES1162673791_0001</v>
      </c>
      <c r="L2451" s="15">
        <v>1</v>
      </c>
      <c r="M2451" s="15">
        <v>1</v>
      </c>
    </row>
    <row r="2452" spans="1:13">
      <c r="A2452" s="6">
        <v>43514</v>
      </c>
      <c r="B2452" s="7">
        <v>0.62083333333333335</v>
      </c>
      <c r="C2452" s="15" t="str">
        <f>"FES1162673742"</f>
        <v>FES1162673742</v>
      </c>
      <c r="D2452" s="15" t="s">
        <v>18</v>
      </c>
      <c r="E2452" s="15" t="s">
        <v>1005</v>
      </c>
      <c r="F2452" s="15" t="str">
        <f>"2170674841 "</f>
        <v xml:space="preserve">2170674841 </v>
      </c>
      <c r="G2452" s="15" t="str">
        <f t="shared" si="73"/>
        <v>ON1</v>
      </c>
      <c r="H2452" s="15" t="s">
        <v>20</v>
      </c>
      <c r="I2452" s="15" t="s">
        <v>1006</v>
      </c>
      <c r="J2452" s="15" t="str">
        <f>""</f>
        <v/>
      </c>
      <c r="K2452" s="15" t="str">
        <f>"PFES1162673742_0001"</f>
        <v>PFES1162673742_0001</v>
      </c>
      <c r="L2452" s="15">
        <v>1</v>
      </c>
      <c r="M2452" s="15">
        <v>1</v>
      </c>
    </row>
    <row r="2453" spans="1:13">
      <c r="A2453" s="6">
        <v>43514</v>
      </c>
      <c r="B2453" s="7">
        <v>0.62083333333333335</v>
      </c>
      <c r="C2453" s="15" t="str">
        <f>"FES1162673782"</f>
        <v>FES1162673782</v>
      </c>
      <c r="D2453" s="15" t="s">
        <v>18</v>
      </c>
      <c r="E2453" s="15" t="s">
        <v>395</v>
      </c>
      <c r="F2453" s="15" t="str">
        <f>"2170674893 "</f>
        <v xml:space="preserve">2170674893 </v>
      </c>
      <c r="G2453" s="15" t="str">
        <f t="shared" si="73"/>
        <v>ON1</v>
      </c>
      <c r="H2453" s="15" t="s">
        <v>20</v>
      </c>
      <c r="I2453" s="15" t="s">
        <v>396</v>
      </c>
      <c r="J2453" s="15" t="str">
        <f>""</f>
        <v/>
      </c>
      <c r="K2453" s="15" t="str">
        <f>"PFES1162673782_0001"</f>
        <v>PFES1162673782_0001</v>
      </c>
      <c r="L2453" s="15">
        <v>1</v>
      </c>
      <c r="M2453" s="15">
        <v>1</v>
      </c>
    </row>
    <row r="2454" spans="1:13">
      <c r="A2454" s="6">
        <v>43514</v>
      </c>
      <c r="B2454" s="7">
        <v>0.6118055555555556</v>
      </c>
      <c r="C2454" s="15" t="str">
        <f>"FES1162673633"</f>
        <v>FES1162673633</v>
      </c>
      <c r="D2454" s="15" t="s">
        <v>18</v>
      </c>
      <c r="E2454" s="15" t="s">
        <v>976</v>
      </c>
      <c r="F2454" s="15" t="str">
        <f>"2170674744 "</f>
        <v xml:space="preserve">2170674744 </v>
      </c>
      <c r="G2454" s="15" t="str">
        <f t="shared" si="73"/>
        <v>ON1</v>
      </c>
      <c r="H2454" s="15" t="s">
        <v>20</v>
      </c>
      <c r="I2454" s="15" t="s">
        <v>1007</v>
      </c>
      <c r="J2454" s="15" t="str">
        <f>""</f>
        <v/>
      </c>
      <c r="K2454" s="15" t="str">
        <f>"PFES1162673633_0001"</f>
        <v>PFES1162673633_0001</v>
      </c>
      <c r="L2454" s="15">
        <v>1</v>
      </c>
      <c r="M2454" s="15">
        <v>8</v>
      </c>
    </row>
    <row r="2455" spans="1:13">
      <c r="A2455" s="6">
        <v>43514</v>
      </c>
      <c r="B2455" s="7">
        <v>0.61041666666666672</v>
      </c>
      <c r="C2455" s="15" t="str">
        <f>"FES1162673645"</f>
        <v>FES1162673645</v>
      </c>
      <c r="D2455" s="15" t="s">
        <v>18</v>
      </c>
      <c r="E2455" s="15" t="s">
        <v>1008</v>
      </c>
      <c r="F2455" s="15" t="str">
        <f>"2170674762 "</f>
        <v xml:space="preserve">2170674762 </v>
      </c>
      <c r="G2455" s="15" t="str">
        <f t="shared" si="73"/>
        <v>ON1</v>
      </c>
      <c r="H2455" s="15" t="s">
        <v>20</v>
      </c>
      <c r="I2455" s="15" t="s">
        <v>481</v>
      </c>
      <c r="J2455" s="15" t="str">
        <f>""</f>
        <v/>
      </c>
      <c r="K2455" s="15" t="str">
        <f>"PFES1162673645_0001"</f>
        <v>PFES1162673645_0001</v>
      </c>
      <c r="L2455" s="15">
        <v>1</v>
      </c>
      <c r="M2455" s="15">
        <v>9</v>
      </c>
    </row>
    <row r="2456" spans="1:13">
      <c r="A2456" s="6">
        <v>43514</v>
      </c>
      <c r="B2456" s="7">
        <v>0.60763888888888895</v>
      </c>
      <c r="C2456" s="15" t="str">
        <f>"FES1162673607"</f>
        <v>FES1162673607</v>
      </c>
      <c r="D2456" s="15" t="s">
        <v>18</v>
      </c>
      <c r="E2456" s="15" t="s">
        <v>267</v>
      </c>
      <c r="F2456" s="15" t="str">
        <f>"2170674491 "</f>
        <v xml:space="preserve">2170674491 </v>
      </c>
      <c r="G2456" s="15" t="str">
        <f t="shared" si="73"/>
        <v>ON1</v>
      </c>
      <c r="H2456" s="15" t="s">
        <v>20</v>
      </c>
      <c r="I2456" s="15" t="s">
        <v>268</v>
      </c>
      <c r="J2456" s="15" t="str">
        <f>""</f>
        <v/>
      </c>
      <c r="K2456" s="15" t="str">
        <f>"PFES1162673607_0001"</f>
        <v>PFES1162673607_0001</v>
      </c>
      <c r="L2456" s="15">
        <v>1</v>
      </c>
      <c r="M2456" s="15">
        <v>12</v>
      </c>
    </row>
    <row r="2457" spans="1:13">
      <c r="A2457" s="6">
        <v>43514</v>
      </c>
      <c r="B2457" s="7">
        <v>0.60277777777777775</v>
      </c>
      <c r="C2457" s="15" t="str">
        <f>"FES1162673667"</f>
        <v>FES1162673667</v>
      </c>
      <c r="D2457" s="15" t="s">
        <v>18</v>
      </c>
      <c r="E2457" s="15" t="s">
        <v>772</v>
      </c>
      <c r="F2457" s="15" t="str">
        <f>"2170674779 "</f>
        <v xml:space="preserve">2170674779 </v>
      </c>
      <c r="G2457" s="15" t="str">
        <f t="shared" ref="G2457:G2493" si="74">"ON1"</f>
        <v>ON1</v>
      </c>
      <c r="H2457" s="15" t="s">
        <v>20</v>
      </c>
      <c r="I2457" s="15" t="s">
        <v>773</v>
      </c>
      <c r="J2457" s="15" t="str">
        <f>""</f>
        <v/>
      </c>
      <c r="K2457" s="15" t="str">
        <f>"PFES1162673667_0001"</f>
        <v>PFES1162673667_0001</v>
      </c>
      <c r="L2457" s="15">
        <v>2</v>
      </c>
      <c r="M2457" s="15">
        <v>6</v>
      </c>
    </row>
    <row r="2458" spans="1:13">
      <c r="A2458" s="6">
        <v>43514</v>
      </c>
      <c r="B2458" s="7">
        <v>0.60277777777777775</v>
      </c>
      <c r="C2458" s="15" t="str">
        <f>"FES1162673667"</f>
        <v>FES1162673667</v>
      </c>
      <c r="D2458" s="15" t="s">
        <v>18</v>
      </c>
      <c r="E2458" s="15" t="s">
        <v>772</v>
      </c>
      <c r="F2458" s="15" t="str">
        <f>"2170674779 "</f>
        <v xml:space="preserve">2170674779 </v>
      </c>
      <c r="G2458" s="15" t="str">
        <f t="shared" si="74"/>
        <v>ON1</v>
      </c>
      <c r="H2458" s="15" t="s">
        <v>20</v>
      </c>
      <c r="I2458" s="15" t="s">
        <v>773</v>
      </c>
      <c r="J2458" s="15"/>
      <c r="K2458" s="15" t="str">
        <f>"PFES1162673667_0002"</f>
        <v>PFES1162673667_0002</v>
      </c>
      <c r="L2458" s="15">
        <v>2</v>
      </c>
      <c r="M2458" s="15">
        <v>6</v>
      </c>
    </row>
    <row r="2459" spans="1:13">
      <c r="A2459" s="6">
        <v>43514</v>
      </c>
      <c r="B2459" s="7">
        <v>0.59930555555555554</v>
      </c>
      <c r="C2459" s="15" t="str">
        <f>"FES1162673739"</f>
        <v>FES1162673739</v>
      </c>
      <c r="D2459" s="15" t="s">
        <v>18</v>
      </c>
      <c r="E2459" s="15" t="s">
        <v>88</v>
      </c>
      <c r="F2459" s="15" t="str">
        <f>"2170673845 "</f>
        <v xml:space="preserve">2170673845 </v>
      </c>
      <c r="G2459" s="15" t="str">
        <f t="shared" si="74"/>
        <v>ON1</v>
      </c>
      <c r="H2459" s="15" t="s">
        <v>20</v>
      </c>
      <c r="I2459" s="15" t="s">
        <v>53</v>
      </c>
      <c r="J2459" s="15" t="str">
        <f>""</f>
        <v/>
      </c>
      <c r="K2459" s="15" t="str">
        <f>"PFES1162673739_0001"</f>
        <v>PFES1162673739_0001</v>
      </c>
      <c r="L2459" s="15">
        <v>1</v>
      </c>
      <c r="M2459" s="15">
        <v>1</v>
      </c>
    </row>
    <row r="2460" spans="1:13">
      <c r="A2460" s="6">
        <v>43514</v>
      </c>
      <c r="B2460" s="7">
        <v>0.59861111111111109</v>
      </c>
      <c r="C2460" s="15" t="str">
        <f>"FES1162673643"</f>
        <v>FES1162673643</v>
      </c>
      <c r="D2460" s="15" t="s">
        <v>18</v>
      </c>
      <c r="E2460" s="15" t="s">
        <v>200</v>
      </c>
      <c r="F2460" s="15" t="str">
        <f>"2170674353 "</f>
        <v xml:space="preserve">2170674353 </v>
      </c>
      <c r="G2460" s="15" t="str">
        <f t="shared" si="74"/>
        <v>ON1</v>
      </c>
      <c r="H2460" s="15" t="s">
        <v>20</v>
      </c>
      <c r="I2460" s="15" t="s">
        <v>201</v>
      </c>
      <c r="J2460" s="15" t="str">
        <f>""</f>
        <v/>
      </c>
      <c r="K2460" s="15" t="str">
        <f>"PFES1162673643_0001"</f>
        <v>PFES1162673643_0001</v>
      </c>
      <c r="L2460" s="15">
        <v>1</v>
      </c>
      <c r="M2460" s="15">
        <v>3</v>
      </c>
    </row>
    <row r="2461" spans="1:13">
      <c r="A2461" s="6">
        <v>43514</v>
      </c>
      <c r="B2461" s="7">
        <v>0.59791666666666665</v>
      </c>
      <c r="C2461" s="15" t="str">
        <f>"FES1162673763"</f>
        <v>FES1162673763</v>
      </c>
      <c r="D2461" s="15" t="s">
        <v>18</v>
      </c>
      <c r="E2461" s="15" t="s">
        <v>47</v>
      </c>
      <c r="F2461" s="15" t="str">
        <f>"2170674865 "</f>
        <v xml:space="preserve">2170674865 </v>
      </c>
      <c r="G2461" s="15" t="str">
        <f t="shared" si="74"/>
        <v>ON1</v>
      </c>
      <c r="H2461" s="15" t="s">
        <v>20</v>
      </c>
      <c r="I2461" s="15" t="s">
        <v>213</v>
      </c>
      <c r="J2461" s="15" t="str">
        <f>""</f>
        <v/>
      </c>
      <c r="K2461" s="15" t="str">
        <f>"PFES1162673763_0001"</f>
        <v>PFES1162673763_0001</v>
      </c>
      <c r="L2461" s="15">
        <v>1</v>
      </c>
      <c r="M2461" s="15">
        <v>1</v>
      </c>
    </row>
    <row r="2462" spans="1:13">
      <c r="A2462" s="6">
        <v>43514</v>
      </c>
      <c r="B2462" s="7">
        <v>0.59791666666666665</v>
      </c>
      <c r="C2462" s="15" t="str">
        <f>"FES1162673764"</f>
        <v>FES1162673764</v>
      </c>
      <c r="D2462" s="15" t="s">
        <v>18</v>
      </c>
      <c r="E2462" s="15" t="s">
        <v>97</v>
      </c>
      <c r="F2462" s="15" t="str">
        <f>"2170674866 "</f>
        <v xml:space="preserve">2170674866 </v>
      </c>
      <c r="G2462" s="15" t="str">
        <f t="shared" si="74"/>
        <v>ON1</v>
      </c>
      <c r="H2462" s="15" t="s">
        <v>20</v>
      </c>
      <c r="I2462" s="15" t="s">
        <v>70</v>
      </c>
      <c r="J2462" s="15" t="str">
        <f>""</f>
        <v/>
      </c>
      <c r="K2462" s="15" t="str">
        <f>"PFES1162673764_0001"</f>
        <v>PFES1162673764_0001</v>
      </c>
      <c r="L2462" s="15">
        <v>1</v>
      </c>
      <c r="M2462" s="15">
        <v>1</v>
      </c>
    </row>
    <row r="2463" spans="1:13">
      <c r="A2463" s="6">
        <v>43514</v>
      </c>
      <c r="B2463" s="7">
        <v>0.59722222222222221</v>
      </c>
      <c r="C2463" s="15" t="str">
        <f>"FES1162673714"</f>
        <v>FES1162673714</v>
      </c>
      <c r="D2463" s="15" t="s">
        <v>18</v>
      </c>
      <c r="E2463" s="15" t="s">
        <v>293</v>
      </c>
      <c r="F2463" s="15" t="str">
        <f>"2170672296 "</f>
        <v xml:space="preserve">2170672296 </v>
      </c>
      <c r="G2463" s="15" t="str">
        <f t="shared" si="74"/>
        <v>ON1</v>
      </c>
      <c r="H2463" s="15" t="s">
        <v>20</v>
      </c>
      <c r="I2463" s="15" t="s">
        <v>327</v>
      </c>
      <c r="J2463" s="15" t="str">
        <f>""</f>
        <v/>
      </c>
      <c r="K2463" s="15" t="str">
        <f>"PFES1162673714_0001"</f>
        <v>PFES1162673714_0001</v>
      </c>
      <c r="L2463" s="15">
        <v>1</v>
      </c>
      <c r="M2463" s="15">
        <v>1</v>
      </c>
    </row>
    <row r="2464" spans="1:13">
      <c r="A2464" s="6">
        <v>43514</v>
      </c>
      <c r="B2464" s="7">
        <v>0.59722222222222221</v>
      </c>
      <c r="C2464" s="15" t="str">
        <f>"FES1162673751"</f>
        <v>FES1162673751</v>
      </c>
      <c r="D2464" s="15" t="s">
        <v>18</v>
      </c>
      <c r="E2464" s="15" t="s">
        <v>102</v>
      </c>
      <c r="F2464" s="15" t="str">
        <f>"2170673058 "</f>
        <v xml:space="preserve">2170673058 </v>
      </c>
      <c r="G2464" s="15" t="str">
        <f t="shared" si="74"/>
        <v>ON1</v>
      </c>
      <c r="H2464" s="15" t="s">
        <v>20</v>
      </c>
      <c r="I2464" s="15" t="s">
        <v>103</v>
      </c>
      <c r="J2464" s="15" t="str">
        <f>""</f>
        <v/>
      </c>
      <c r="K2464" s="15" t="str">
        <f>"PFES1162673751_0001"</f>
        <v>PFES1162673751_0001</v>
      </c>
      <c r="L2464" s="15">
        <v>1</v>
      </c>
      <c r="M2464" s="15">
        <v>1</v>
      </c>
    </row>
    <row r="2465" spans="1:13">
      <c r="A2465" s="6">
        <v>43514</v>
      </c>
      <c r="B2465" s="7">
        <v>0.59722222222222221</v>
      </c>
      <c r="C2465" s="15" t="str">
        <f>"FES1162673688"</f>
        <v>FES1162673688</v>
      </c>
      <c r="D2465" s="15" t="s">
        <v>18</v>
      </c>
      <c r="E2465" s="15" t="s">
        <v>678</v>
      </c>
      <c r="F2465" s="15" t="str">
        <f>"2170674809 "</f>
        <v xml:space="preserve">2170674809 </v>
      </c>
      <c r="G2465" s="15" t="str">
        <f t="shared" si="74"/>
        <v>ON1</v>
      </c>
      <c r="H2465" s="15" t="s">
        <v>20</v>
      </c>
      <c r="I2465" s="15" t="s">
        <v>679</v>
      </c>
      <c r="J2465" s="15" t="str">
        <f>""</f>
        <v/>
      </c>
      <c r="K2465" s="15" t="str">
        <f>"PFES1162673688_0001"</f>
        <v>PFES1162673688_0001</v>
      </c>
      <c r="L2465" s="15">
        <v>1</v>
      </c>
      <c r="M2465" s="15">
        <v>1</v>
      </c>
    </row>
    <row r="2466" spans="1:13">
      <c r="A2466" s="6">
        <v>43514</v>
      </c>
      <c r="B2466" s="7">
        <v>0.59652777777777777</v>
      </c>
      <c r="C2466" s="15" t="str">
        <f>"FES1162673735"</f>
        <v>FES1162673735</v>
      </c>
      <c r="D2466" s="15" t="s">
        <v>18</v>
      </c>
      <c r="E2466" s="15" t="s">
        <v>851</v>
      </c>
      <c r="F2466" s="15" t="str">
        <f>"2170674838 "</f>
        <v xml:space="preserve">2170674838 </v>
      </c>
      <c r="G2466" s="15" t="str">
        <f t="shared" si="74"/>
        <v>ON1</v>
      </c>
      <c r="H2466" s="15" t="s">
        <v>20</v>
      </c>
      <c r="I2466" s="15" t="s">
        <v>33</v>
      </c>
      <c r="J2466" s="15" t="str">
        <f>""</f>
        <v/>
      </c>
      <c r="K2466" s="15" t="str">
        <f>"PFES1162673735_0001"</f>
        <v>PFES1162673735_0001</v>
      </c>
      <c r="L2466" s="15">
        <v>1</v>
      </c>
      <c r="M2466" s="15">
        <v>3</v>
      </c>
    </row>
    <row r="2467" spans="1:13">
      <c r="A2467" s="6">
        <v>43514</v>
      </c>
      <c r="B2467" s="7">
        <v>0.59652777777777777</v>
      </c>
      <c r="C2467" s="15" t="str">
        <f>"FES1162673761"</f>
        <v>FES1162673761</v>
      </c>
      <c r="D2467" s="15" t="s">
        <v>18</v>
      </c>
      <c r="E2467" s="15" t="s">
        <v>88</v>
      </c>
      <c r="F2467" s="15" t="str">
        <f>"2170674860 "</f>
        <v xml:space="preserve">2170674860 </v>
      </c>
      <c r="G2467" s="15" t="str">
        <f t="shared" si="74"/>
        <v>ON1</v>
      </c>
      <c r="H2467" s="15" t="s">
        <v>20</v>
      </c>
      <c r="I2467" s="15" t="s">
        <v>53</v>
      </c>
      <c r="J2467" s="15" t="str">
        <f>""</f>
        <v/>
      </c>
      <c r="K2467" s="15" t="str">
        <f>"PFES1162673761_0001"</f>
        <v>PFES1162673761_0001</v>
      </c>
      <c r="L2467" s="15">
        <v>1</v>
      </c>
      <c r="M2467" s="15">
        <v>1</v>
      </c>
    </row>
    <row r="2468" spans="1:13">
      <c r="A2468" s="6">
        <v>43514</v>
      </c>
      <c r="B2468" s="7">
        <v>0.59583333333333333</v>
      </c>
      <c r="C2468" s="15" t="str">
        <f>"FES1162673666"</f>
        <v>FES1162673666</v>
      </c>
      <c r="D2468" s="15" t="s">
        <v>18</v>
      </c>
      <c r="E2468" s="15" t="s">
        <v>144</v>
      </c>
      <c r="F2468" s="15" t="str">
        <f>"2170674778 "</f>
        <v xml:space="preserve">2170674778 </v>
      </c>
      <c r="G2468" s="15" t="str">
        <f t="shared" si="74"/>
        <v>ON1</v>
      </c>
      <c r="H2468" s="15" t="s">
        <v>20</v>
      </c>
      <c r="I2468" s="15" t="s">
        <v>145</v>
      </c>
      <c r="J2468" s="15" t="str">
        <f>""</f>
        <v/>
      </c>
      <c r="K2468" s="15" t="str">
        <f>"PFES1162673666_0001"</f>
        <v>PFES1162673666_0001</v>
      </c>
      <c r="L2468" s="15">
        <v>1</v>
      </c>
      <c r="M2468" s="15">
        <v>1</v>
      </c>
    </row>
    <row r="2469" spans="1:13">
      <c r="A2469" s="6">
        <v>43514</v>
      </c>
      <c r="B2469" s="7">
        <v>0.59583333333333333</v>
      </c>
      <c r="C2469" s="15" t="str">
        <f>"FES1162673760"</f>
        <v>FES1162673760</v>
      </c>
      <c r="D2469" s="15" t="s">
        <v>18</v>
      </c>
      <c r="E2469" s="15" t="s">
        <v>1009</v>
      </c>
      <c r="F2469" s="15" t="str">
        <f>"2170674859 "</f>
        <v xml:space="preserve">2170674859 </v>
      </c>
      <c r="G2469" s="15" t="str">
        <f t="shared" si="74"/>
        <v>ON1</v>
      </c>
      <c r="H2469" s="15" t="s">
        <v>20</v>
      </c>
      <c r="I2469" s="15" t="s">
        <v>126</v>
      </c>
      <c r="J2469" s="15" t="str">
        <f>""</f>
        <v/>
      </c>
      <c r="K2469" s="15" t="str">
        <f>"PFES1162673760_0001"</f>
        <v>PFES1162673760_0001</v>
      </c>
      <c r="L2469" s="15">
        <v>1</v>
      </c>
      <c r="M2469" s="15">
        <v>1</v>
      </c>
    </row>
    <row r="2470" spans="1:13">
      <c r="A2470" s="6">
        <v>43514</v>
      </c>
      <c r="B2470" s="7">
        <v>0.59583333333333333</v>
      </c>
      <c r="C2470" s="15" t="str">
        <f>"FES1162673727"</f>
        <v>FES1162673727</v>
      </c>
      <c r="D2470" s="15" t="s">
        <v>18</v>
      </c>
      <c r="E2470" s="15" t="s">
        <v>612</v>
      </c>
      <c r="F2470" s="15" t="str">
        <f>"2170673079 "</f>
        <v xml:space="preserve">2170673079 </v>
      </c>
      <c r="G2470" s="15" t="str">
        <f t="shared" si="74"/>
        <v>ON1</v>
      </c>
      <c r="H2470" s="15" t="s">
        <v>20</v>
      </c>
      <c r="I2470" s="15" t="s">
        <v>137</v>
      </c>
      <c r="J2470" s="15" t="str">
        <f>""</f>
        <v/>
      </c>
      <c r="K2470" s="15" t="str">
        <f>"PFES1162673727_0001"</f>
        <v>PFES1162673727_0001</v>
      </c>
      <c r="L2470" s="15">
        <v>1</v>
      </c>
      <c r="M2470" s="15">
        <v>1</v>
      </c>
    </row>
    <row r="2471" spans="1:13">
      <c r="A2471" s="6">
        <v>43514</v>
      </c>
      <c r="B2471" s="7">
        <v>0.59513888888888888</v>
      </c>
      <c r="C2471" s="15" t="str">
        <f>"FES1162673671"</f>
        <v>FES1162673671</v>
      </c>
      <c r="D2471" s="15" t="s">
        <v>18</v>
      </c>
      <c r="E2471" s="15" t="s">
        <v>19</v>
      </c>
      <c r="F2471" s="15" t="str">
        <f>"2170674783 "</f>
        <v xml:space="preserve">2170674783 </v>
      </c>
      <c r="G2471" s="15" t="str">
        <f t="shared" si="74"/>
        <v>ON1</v>
      </c>
      <c r="H2471" s="15" t="s">
        <v>20</v>
      </c>
      <c r="I2471" s="15" t="s">
        <v>21</v>
      </c>
      <c r="J2471" s="15" t="str">
        <f>""</f>
        <v/>
      </c>
      <c r="K2471" s="15" t="str">
        <f>"PFES1162673671_0001"</f>
        <v>PFES1162673671_0001</v>
      </c>
      <c r="L2471" s="15">
        <v>1</v>
      </c>
      <c r="M2471" s="15">
        <v>1</v>
      </c>
    </row>
    <row r="2472" spans="1:13">
      <c r="A2472" s="6">
        <v>43514</v>
      </c>
      <c r="B2472" s="7">
        <v>0.59513888888888888</v>
      </c>
      <c r="C2472" s="15" t="str">
        <f>"FES1162673745"</f>
        <v>FES1162673745</v>
      </c>
      <c r="D2472" s="15" t="s">
        <v>18</v>
      </c>
      <c r="E2472" s="15" t="s">
        <v>185</v>
      </c>
      <c r="F2472" s="15" t="str">
        <f>"2170674844 "</f>
        <v xml:space="preserve">2170674844 </v>
      </c>
      <c r="G2472" s="15" t="str">
        <f t="shared" si="74"/>
        <v>ON1</v>
      </c>
      <c r="H2472" s="15" t="s">
        <v>20</v>
      </c>
      <c r="I2472" s="15" t="s">
        <v>93</v>
      </c>
      <c r="J2472" s="15" t="str">
        <f>""</f>
        <v/>
      </c>
      <c r="K2472" s="15" t="str">
        <f>"PFES1162673745_0001"</f>
        <v>PFES1162673745_0001</v>
      </c>
      <c r="L2472" s="15">
        <v>1</v>
      </c>
      <c r="M2472" s="15">
        <v>1</v>
      </c>
    </row>
    <row r="2473" spans="1:13">
      <c r="A2473" s="6">
        <v>43514</v>
      </c>
      <c r="B2473" s="7">
        <v>0.59444444444444444</v>
      </c>
      <c r="C2473" s="15" t="str">
        <f>"FES1162673677"</f>
        <v>FES1162673677</v>
      </c>
      <c r="D2473" s="15" t="s">
        <v>18</v>
      </c>
      <c r="E2473" s="15" t="s">
        <v>969</v>
      </c>
      <c r="F2473" s="15" t="str">
        <f>"2170674790 "</f>
        <v xml:space="preserve">2170674790 </v>
      </c>
      <c r="G2473" s="15" t="str">
        <f t="shared" si="74"/>
        <v>ON1</v>
      </c>
      <c r="H2473" s="15" t="s">
        <v>20</v>
      </c>
      <c r="I2473" s="15" t="s">
        <v>128</v>
      </c>
      <c r="J2473" s="15" t="str">
        <f>""</f>
        <v/>
      </c>
      <c r="K2473" s="15" t="str">
        <f>"PFES1162673677_0001"</f>
        <v>PFES1162673677_0001</v>
      </c>
      <c r="L2473" s="15">
        <v>1</v>
      </c>
      <c r="M2473" s="15">
        <v>1</v>
      </c>
    </row>
    <row r="2474" spans="1:13">
      <c r="A2474" s="6">
        <v>43514</v>
      </c>
      <c r="B2474" s="7">
        <v>0.59444444444444444</v>
      </c>
      <c r="C2474" s="15" t="str">
        <f>"FES1162673721"</f>
        <v>FES1162673721</v>
      </c>
      <c r="D2474" s="15" t="s">
        <v>18</v>
      </c>
      <c r="E2474" s="15" t="s">
        <v>19</v>
      </c>
      <c r="F2474" s="15" t="str">
        <f>"2170674828 "</f>
        <v xml:space="preserve">2170674828 </v>
      </c>
      <c r="G2474" s="15" t="str">
        <f t="shared" si="74"/>
        <v>ON1</v>
      </c>
      <c r="H2474" s="15" t="s">
        <v>20</v>
      </c>
      <c r="I2474" s="15" t="s">
        <v>21</v>
      </c>
      <c r="J2474" s="15" t="str">
        <f>""</f>
        <v/>
      </c>
      <c r="K2474" s="15" t="str">
        <f>"PFES1162673721_0001"</f>
        <v>PFES1162673721_0001</v>
      </c>
      <c r="L2474" s="15">
        <v>1</v>
      </c>
      <c r="M2474" s="15">
        <v>1</v>
      </c>
    </row>
    <row r="2475" spans="1:13">
      <c r="A2475" s="6">
        <v>43514</v>
      </c>
      <c r="B2475" s="7">
        <v>0.59444444444444444</v>
      </c>
      <c r="C2475" s="15" t="str">
        <f>"FES1162673695"</f>
        <v>FES1162673695</v>
      </c>
      <c r="D2475" s="15" t="s">
        <v>18</v>
      </c>
      <c r="E2475" s="15" t="s">
        <v>339</v>
      </c>
      <c r="F2475" s="15" t="str">
        <f>"2170670467 "</f>
        <v xml:space="preserve">2170670467 </v>
      </c>
      <c r="G2475" s="15" t="str">
        <f t="shared" si="74"/>
        <v>ON1</v>
      </c>
      <c r="H2475" s="15" t="s">
        <v>20</v>
      </c>
      <c r="I2475" s="15" t="s">
        <v>37</v>
      </c>
      <c r="J2475" s="15" t="str">
        <f>""</f>
        <v/>
      </c>
      <c r="K2475" s="15" t="str">
        <f>"PFES1162673695_0001"</f>
        <v>PFES1162673695_0001</v>
      </c>
      <c r="L2475" s="15">
        <v>1</v>
      </c>
      <c r="M2475" s="15">
        <v>10</v>
      </c>
    </row>
    <row r="2476" spans="1:13">
      <c r="A2476" s="6">
        <v>43514</v>
      </c>
      <c r="B2476" s="7">
        <v>0.59375</v>
      </c>
      <c r="C2476" s="15" t="str">
        <f>"FES1162673654"</f>
        <v>FES1162673654</v>
      </c>
      <c r="D2476" s="15" t="s">
        <v>18</v>
      </c>
      <c r="E2476" s="15" t="s">
        <v>1010</v>
      </c>
      <c r="F2476" s="15" t="str">
        <f>"2170674467 "</f>
        <v xml:space="preserve">2170674467 </v>
      </c>
      <c r="G2476" s="15" t="str">
        <f t="shared" si="74"/>
        <v>ON1</v>
      </c>
      <c r="H2476" s="15" t="s">
        <v>20</v>
      </c>
      <c r="I2476" s="15" t="s">
        <v>1011</v>
      </c>
      <c r="J2476" s="15" t="str">
        <f>""</f>
        <v/>
      </c>
      <c r="K2476" s="15" t="str">
        <f>"PFES1162673654_0001"</f>
        <v>PFES1162673654_0001</v>
      </c>
      <c r="L2476" s="15">
        <v>1</v>
      </c>
      <c r="M2476" s="15">
        <v>1</v>
      </c>
    </row>
    <row r="2477" spans="1:13">
      <c r="A2477" s="6">
        <v>43514</v>
      </c>
      <c r="B2477" s="7">
        <v>0.59375</v>
      </c>
      <c r="C2477" s="15" t="str">
        <f>"FES1162673731"</f>
        <v>FES1162673731</v>
      </c>
      <c r="D2477" s="15" t="s">
        <v>18</v>
      </c>
      <c r="E2477" s="15" t="s">
        <v>58</v>
      </c>
      <c r="F2477" s="15" t="str">
        <f>"2170674832 "</f>
        <v xml:space="preserve">2170674832 </v>
      </c>
      <c r="G2477" s="15" t="str">
        <f t="shared" si="74"/>
        <v>ON1</v>
      </c>
      <c r="H2477" s="15" t="s">
        <v>20</v>
      </c>
      <c r="I2477" s="15" t="s">
        <v>59</v>
      </c>
      <c r="J2477" s="15" t="str">
        <f>""</f>
        <v/>
      </c>
      <c r="K2477" s="15" t="str">
        <f>"PFES1162673731_0001"</f>
        <v>PFES1162673731_0001</v>
      </c>
      <c r="L2477" s="15">
        <v>1</v>
      </c>
      <c r="M2477" s="15">
        <v>1</v>
      </c>
    </row>
    <row r="2478" spans="1:13">
      <c r="A2478" s="6">
        <v>43514</v>
      </c>
      <c r="B2478" s="7">
        <v>0.59305555555555556</v>
      </c>
      <c r="C2478" s="15" t="str">
        <f>"FES1162673747"</f>
        <v>FES1162673747</v>
      </c>
      <c r="D2478" s="15" t="s">
        <v>18</v>
      </c>
      <c r="E2478" s="15" t="s">
        <v>189</v>
      </c>
      <c r="F2478" s="15" t="str">
        <f>"2170674846 "</f>
        <v xml:space="preserve">2170674846 </v>
      </c>
      <c r="G2478" s="15" t="str">
        <f t="shared" si="74"/>
        <v>ON1</v>
      </c>
      <c r="H2478" s="15" t="s">
        <v>20</v>
      </c>
      <c r="I2478" s="15" t="s">
        <v>93</v>
      </c>
      <c r="J2478" s="15" t="str">
        <f>""</f>
        <v/>
      </c>
      <c r="K2478" s="15" t="str">
        <f>"PFES1162673747_0001"</f>
        <v>PFES1162673747_0001</v>
      </c>
      <c r="L2478" s="15">
        <v>1</v>
      </c>
      <c r="M2478" s="15">
        <v>1</v>
      </c>
    </row>
    <row r="2479" spans="1:13">
      <c r="A2479" s="6">
        <v>43514</v>
      </c>
      <c r="B2479" s="7">
        <v>0.59305555555555556</v>
      </c>
      <c r="C2479" s="15" t="str">
        <f>"FES1162673743"</f>
        <v>FES1162673743</v>
      </c>
      <c r="D2479" s="15" t="s">
        <v>18</v>
      </c>
      <c r="E2479" s="15" t="s">
        <v>718</v>
      </c>
      <c r="F2479" s="15" t="str">
        <f>"2170674842 "</f>
        <v xml:space="preserve">2170674842 </v>
      </c>
      <c r="G2479" s="15" t="str">
        <f t="shared" si="74"/>
        <v>ON1</v>
      </c>
      <c r="H2479" s="15" t="s">
        <v>20</v>
      </c>
      <c r="I2479" s="15" t="s">
        <v>237</v>
      </c>
      <c r="J2479" s="15" t="str">
        <f>""</f>
        <v/>
      </c>
      <c r="K2479" s="15" t="str">
        <f>"PFES1162673743_0001"</f>
        <v>PFES1162673743_0001</v>
      </c>
      <c r="L2479" s="15">
        <v>1</v>
      </c>
      <c r="M2479" s="15">
        <v>1</v>
      </c>
    </row>
    <row r="2480" spans="1:13">
      <c r="A2480" s="6">
        <v>43514</v>
      </c>
      <c r="B2480" s="7">
        <v>0.59166666666666667</v>
      </c>
      <c r="C2480" s="15" t="str">
        <f>"FES1162673638"</f>
        <v>FES1162673638</v>
      </c>
      <c r="D2480" s="15" t="s">
        <v>18</v>
      </c>
      <c r="E2480" s="15" t="s">
        <v>92</v>
      </c>
      <c r="F2480" s="15" t="str">
        <f>"2170674759 "</f>
        <v xml:space="preserve">2170674759 </v>
      </c>
      <c r="G2480" s="15" t="str">
        <f t="shared" si="74"/>
        <v>ON1</v>
      </c>
      <c r="H2480" s="15" t="s">
        <v>20</v>
      </c>
      <c r="I2480" s="15" t="s">
        <v>93</v>
      </c>
      <c r="J2480" s="15" t="str">
        <f>""</f>
        <v/>
      </c>
      <c r="K2480" s="15" t="str">
        <f>"PFES1162673638_0001"</f>
        <v>PFES1162673638_0001</v>
      </c>
      <c r="L2480" s="15">
        <v>1</v>
      </c>
      <c r="M2480" s="15">
        <v>1</v>
      </c>
    </row>
    <row r="2481" spans="1:13">
      <c r="A2481" s="6">
        <v>43514</v>
      </c>
      <c r="B2481" s="7">
        <v>0.59166666666666667</v>
      </c>
      <c r="C2481" s="15" t="str">
        <f>"FES1162673719"</f>
        <v>FES1162673719</v>
      </c>
      <c r="D2481" s="15" t="s">
        <v>18</v>
      </c>
      <c r="E2481" s="15" t="s">
        <v>305</v>
      </c>
      <c r="F2481" s="15" t="str">
        <f>"2170674825 "</f>
        <v xml:space="preserve">2170674825 </v>
      </c>
      <c r="G2481" s="15" t="str">
        <f t="shared" si="74"/>
        <v>ON1</v>
      </c>
      <c r="H2481" s="15" t="s">
        <v>20</v>
      </c>
      <c r="I2481" s="15" t="s">
        <v>197</v>
      </c>
      <c r="J2481" s="15" t="str">
        <f>""</f>
        <v/>
      </c>
      <c r="K2481" s="15" t="str">
        <f>"PFES1162673719_0001"</f>
        <v>PFES1162673719_0001</v>
      </c>
      <c r="L2481" s="15">
        <v>1</v>
      </c>
      <c r="M2481" s="15">
        <v>1</v>
      </c>
    </row>
    <row r="2482" spans="1:13">
      <c r="A2482" s="6">
        <v>43514</v>
      </c>
      <c r="B2482" s="7">
        <v>0.59097222222222223</v>
      </c>
      <c r="C2482" s="15" t="str">
        <f>"FES1162673726"</f>
        <v>FES1162673726</v>
      </c>
      <c r="D2482" s="15" t="s">
        <v>18</v>
      </c>
      <c r="E2482" s="15" t="s">
        <v>386</v>
      </c>
      <c r="F2482" s="15" t="str">
        <f>"2170672579 "</f>
        <v xml:space="preserve">2170672579 </v>
      </c>
      <c r="G2482" s="15" t="str">
        <f t="shared" si="74"/>
        <v>ON1</v>
      </c>
      <c r="H2482" s="15" t="s">
        <v>20</v>
      </c>
      <c r="I2482" s="15" t="s">
        <v>41</v>
      </c>
      <c r="J2482" s="15" t="str">
        <f>""</f>
        <v/>
      </c>
      <c r="K2482" s="15" t="str">
        <f>"PFES1162673726_0001"</f>
        <v>PFES1162673726_0001</v>
      </c>
      <c r="L2482" s="15">
        <v>1</v>
      </c>
      <c r="M2482" s="15">
        <v>1</v>
      </c>
    </row>
    <row r="2483" spans="1:13">
      <c r="A2483" s="6">
        <v>43514</v>
      </c>
      <c r="B2483" s="7">
        <v>0.59097222222222223</v>
      </c>
      <c r="C2483" s="15" t="str">
        <f>"FES1162673672"</f>
        <v>FES1162673672</v>
      </c>
      <c r="D2483" s="15" t="s">
        <v>18</v>
      </c>
      <c r="E2483" s="15" t="s">
        <v>1012</v>
      </c>
      <c r="F2483" s="15" t="str">
        <f>"2170674784 "</f>
        <v xml:space="preserve">2170674784 </v>
      </c>
      <c r="G2483" s="15" t="str">
        <f t="shared" si="74"/>
        <v>ON1</v>
      </c>
      <c r="H2483" s="15" t="s">
        <v>20</v>
      </c>
      <c r="I2483" s="15" t="s">
        <v>103</v>
      </c>
      <c r="J2483" s="15" t="str">
        <f>""</f>
        <v/>
      </c>
      <c r="K2483" s="15" t="str">
        <f>"PFES1162673672_0001"</f>
        <v>PFES1162673672_0001</v>
      </c>
      <c r="L2483" s="15">
        <v>1</v>
      </c>
      <c r="M2483" s="15">
        <v>1</v>
      </c>
    </row>
    <row r="2484" spans="1:13">
      <c r="A2484" s="6">
        <v>43514</v>
      </c>
      <c r="B2484" s="7">
        <v>0.59027777777777779</v>
      </c>
      <c r="C2484" s="15" t="str">
        <f>"FES1162673676"</f>
        <v>FES1162673676</v>
      </c>
      <c r="D2484" s="15" t="s">
        <v>18</v>
      </c>
      <c r="E2484" s="15" t="s">
        <v>229</v>
      </c>
      <c r="F2484" s="15" t="str">
        <f>"2170674788 "</f>
        <v xml:space="preserve">2170674788 </v>
      </c>
      <c r="G2484" s="15" t="str">
        <f t="shared" si="74"/>
        <v>ON1</v>
      </c>
      <c r="H2484" s="15" t="s">
        <v>20</v>
      </c>
      <c r="I2484" s="15" t="s">
        <v>111</v>
      </c>
      <c r="J2484" s="15" t="str">
        <f>""</f>
        <v/>
      </c>
      <c r="K2484" s="15" t="str">
        <f>"PFES1162673676_0001"</f>
        <v>PFES1162673676_0001</v>
      </c>
      <c r="L2484" s="15">
        <v>1</v>
      </c>
      <c r="M2484" s="15">
        <v>1</v>
      </c>
    </row>
    <row r="2485" spans="1:13">
      <c r="A2485" s="6">
        <v>43514</v>
      </c>
      <c r="B2485" s="7">
        <v>0.58958333333333335</v>
      </c>
      <c r="C2485" s="15" t="str">
        <f>"FES1162673767"</f>
        <v>FES1162673767</v>
      </c>
      <c r="D2485" s="15" t="s">
        <v>18</v>
      </c>
      <c r="E2485" s="15" t="s">
        <v>249</v>
      </c>
      <c r="F2485" s="15" t="str">
        <f>"2170674874 "</f>
        <v xml:space="preserve">2170674874 </v>
      </c>
      <c r="G2485" s="15" t="str">
        <f t="shared" si="74"/>
        <v>ON1</v>
      </c>
      <c r="H2485" s="15" t="s">
        <v>20</v>
      </c>
      <c r="I2485" s="15" t="s">
        <v>29</v>
      </c>
      <c r="J2485" s="15" t="str">
        <f>""</f>
        <v/>
      </c>
      <c r="K2485" s="15" t="str">
        <f>"PFES1162673767_0001"</f>
        <v>PFES1162673767_0001</v>
      </c>
      <c r="L2485" s="15">
        <v>1</v>
      </c>
      <c r="M2485" s="15">
        <v>1</v>
      </c>
    </row>
    <row r="2486" spans="1:13">
      <c r="A2486" s="6">
        <v>43514</v>
      </c>
      <c r="B2486" s="7">
        <v>0.58888888888888891</v>
      </c>
      <c r="C2486" s="15" t="str">
        <f>"FES1162673769"</f>
        <v>FES1162673769</v>
      </c>
      <c r="D2486" s="15" t="s">
        <v>18</v>
      </c>
      <c r="E2486" s="15" t="s">
        <v>253</v>
      </c>
      <c r="F2486" s="15" t="str">
        <f>"2170674876 "</f>
        <v xml:space="preserve">2170674876 </v>
      </c>
      <c r="G2486" s="15" t="str">
        <f t="shared" si="74"/>
        <v>ON1</v>
      </c>
      <c r="H2486" s="15" t="s">
        <v>20</v>
      </c>
      <c r="I2486" s="15" t="s">
        <v>226</v>
      </c>
      <c r="J2486" s="15" t="str">
        <f>""</f>
        <v/>
      </c>
      <c r="K2486" s="15" t="str">
        <f>"PFES1162673769_0001"</f>
        <v>PFES1162673769_0001</v>
      </c>
      <c r="L2486" s="15">
        <v>1</v>
      </c>
      <c r="M2486" s="15">
        <v>1</v>
      </c>
    </row>
    <row r="2487" spans="1:13">
      <c r="A2487" s="6">
        <v>43514</v>
      </c>
      <c r="B2487" s="7">
        <v>0.58888888888888891</v>
      </c>
      <c r="C2487" s="15" t="str">
        <f>"FES1162673722"</f>
        <v>FES1162673722</v>
      </c>
      <c r="D2487" s="15" t="s">
        <v>18</v>
      </c>
      <c r="E2487" s="15" t="s">
        <v>305</v>
      </c>
      <c r="F2487" s="15" t="str">
        <f>"2170674829 "</f>
        <v xml:space="preserve">2170674829 </v>
      </c>
      <c r="G2487" s="15" t="str">
        <f t="shared" si="74"/>
        <v>ON1</v>
      </c>
      <c r="H2487" s="15" t="s">
        <v>20</v>
      </c>
      <c r="I2487" s="15" t="s">
        <v>197</v>
      </c>
      <c r="J2487" s="15" t="str">
        <f>""</f>
        <v/>
      </c>
      <c r="K2487" s="15" t="str">
        <f>"PFES1162673722_0001"</f>
        <v>PFES1162673722_0001</v>
      </c>
      <c r="L2487" s="15">
        <v>1</v>
      </c>
      <c r="M2487" s="15">
        <v>1</v>
      </c>
    </row>
    <row r="2488" spans="1:13">
      <c r="A2488" s="6">
        <v>43514</v>
      </c>
      <c r="B2488" s="7">
        <v>0.58819444444444446</v>
      </c>
      <c r="C2488" s="15" t="str">
        <f>"FES1162673686"</f>
        <v>FES1162673686</v>
      </c>
      <c r="D2488" s="15" t="s">
        <v>18</v>
      </c>
      <c r="E2488" s="15" t="s">
        <v>298</v>
      </c>
      <c r="F2488" s="15" t="str">
        <f>"2170674807 "</f>
        <v xml:space="preserve">2170674807 </v>
      </c>
      <c r="G2488" s="15" t="str">
        <f t="shared" si="74"/>
        <v>ON1</v>
      </c>
      <c r="H2488" s="15" t="s">
        <v>20</v>
      </c>
      <c r="I2488" s="15" t="s">
        <v>93</v>
      </c>
      <c r="J2488" s="15" t="str">
        <f>""</f>
        <v/>
      </c>
      <c r="K2488" s="15" t="str">
        <f>"PFES1162673686_0001"</f>
        <v>PFES1162673686_0001</v>
      </c>
      <c r="L2488" s="15">
        <v>1</v>
      </c>
      <c r="M2488" s="15">
        <v>1</v>
      </c>
    </row>
    <row r="2489" spans="1:13">
      <c r="A2489" s="6">
        <v>43514</v>
      </c>
      <c r="B2489" s="7">
        <v>0.58819444444444446</v>
      </c>
      <c r="C2489" s="15" t="str">
        <f>"FES1162673718"</f>
        <v>FES1162673718</v>
      </c>
      <c r="D2489" s="15" t="s">
        <v>18</v>
      </c>
      <c r="E2489" s="15" t="s">
        <v>150</v>
      </c>
      <c r="F2489" s="15" t="str">
        <f>"2170674824 "</f>
        <v xml:space="preserve">2170674824 </v>
      </c>
      <c r="G2489" s="15" t="str">
        <f t="shared" si="74"/>
        <v>ON1</v>
      </c>
      <c r="H2489" s="15" t="s">
        <v>20</v>
      </c>
      <c r="I2489" s="15" t="s">
        <v>137</v>
      </c>
      <c r="J2489" s="15" t="str">
        <f>""</f>
        <v/>
      </c>
      <c r="K2489" s="15" t="str">
        <f>"PFES1162673718_0001"</f>
        <v>PFES1162673718_0001</v>
      </c>
      <c r="L2489" s="15">
        <v>1</v>
      </c>
      <c r="M2489" s="15">
        <v>2</v>
      </c>
    </row>
    <row r="2490" spans="1:13">
      <c r="A2490" s="6">
        <v>43514</v>
      </c>
      <c r="B2490" s="7">
        <v>0.58819444444444446</v>
      </c>
      <c r="C2490" s="15" t="str">
        <f>"FES1162673658"</f>
        <v>FES1162673658</v>
      </c>
      <c r="D2490" s="15" t="s">
        <v>18</v>
      </c>
      <c r="E2490" s="15" t="s">
        <v>246</v>
      </c>
      <c r="F2490" s="15" t="str">
        <f>"2170674774 "</f>
        <v xml:space="preserve">2170674774 </v>
      </c>
      <c r="G2490" s="15" t="str">
        <f t="shared" si="74"/>
        <v>ON1</v>
      </c>
      <c r="H2490" s="15" t="s">
        <v>20</v>
      </c>
      <c r="I2490" s="15" t="s">
        <v>53</v>
      </c>
      <c r="J2490" s="15" t="str">
        <f>""</f>
        <v/>
      </c>
      <c r="K2490" s="15" t="str">
        <f>"PFES1162673658_0001"</f>
        <v>PFES1162673658_0001</v>
      </c>
      <c r="L2490" s="15">
        <v>1</v>
      </c>
      <c r="M2490" s="15">
        <v>1</v>
      </c>
    </row>
    <row r="2491" spans="1:13">
      <c r="A2491" s="6">
        <v>43514</v>
      </c>
      <c r="B2491" s="7">
        <v>0.58750000000000002</v>
      </c>
      <c r="C2491" s="15" t="str">
        <f>"FES1162673729"</f>
        <v>FES1162673729</v>
      </c>
      <c r="D2491" s="15" t="s">
        <v>18</v>
      </c>
      <c r="E2491" s="15" t="s">
        <v>798</v>
      </c>
      <c r="F2491" s="15" t="str">
        <f>"2170674795 "</f>
        <v xml:space="preserve">2170674795 </v>
      </c>
      <c r="G2491" s="15" t="str">
        <f t="shared" si="74"/>
        <v>ON1</v>
      </c>
      <c r="H2491" s="15" t="s">
        <v>20</v>
      </c>
      <c r="I2491" s="15" t="s">
        <v>433</v>
      </c>
      <c r="J2491" s="15" t="str">
        <f>""</f>
        <v/>
      </c>
      <c r="K2491" s="15" t="str">
        <f>"PFES1162673729_0001"</f>
        <v>PFES1162673729_0001</v>
      </c>
      <c r="L2491" s="15">
        <v>1</v>
      </c>
      <c r="M2491" s="15">
        <v>1</v>
      </c>
    </row>
    <row r="2492" spans="1:13">
      <c r="A2492" s="6">
        <v>43514</v>
      </c>
      <c r="B2492" s="7">
        <v>0.56597222222222221</v>
      </c>
      <c r="C2492" s="15" t="str">
        <f>"FES1162673693"</f>
        <v>FES1162673693</v>
      </c>
      <c r="D2492" s="15" t="s">
        <v>18</v>
      </c>
      <c r="E2492" s="15" t="s">
        <v>606</v>
      </c>
      <c r="F2492" s="15" t="str">
        <f>"2170670414 "</f>
        <v xml:space="preserve">2170670414 </v>
      </c>
      <c r="G2492" s="15" t="str">
        <f t="shared" si="74"/>
        <v>ON1</v>
      </c>
      <c r="H2492" s="15" t="s">
        <v>20</v>
      </c>
      <c r="I2492" s="15" t="s">
        <v>124</v>
      </c>
      <c r="J2492" s="15" t="str">
        <f>""</f>
        <v/>
      </c>
      <c r="K2492" s="15" t="str">
        <f>"PFES1162673693_0001"</f>
        <v>PFES1162673693_0001</v>
      </c>
      <c r="L2492" s="15">
        <v>1</v>
      </c>
      <c r="M2492" s="15">
        <v>14</v>
      </c>
    </row>
    <row r="2493" spans="1:13">
      <c r="A2493" s="6">
        <v>43514</v>
      </c>
      <c r="B2493" s="7">
        <v>0.56527777777777777</v>
      </c>
      <c r="C2493" s="15" t="str">
        <f>"FES1162673694"</f>
        <v>FES1162673694</v>
      </c>
      <c r="D2493" s="15" t="s">
        <v>18</v>
      </c>
      <c r="E2493" s="15" t="s">
        <v>606</v>
      </c>
      <c r="F2493" s="15" t="str">
        <f>"2170670419 "</f>
        <v xml:space="preserve">2170670419 </v>
      </c>
      <c r="G2493" s="15" t="str">
        <f t="shared" si="74"/>
        <v>ON1</v>
      </c>
      <c r="H2493" s="15" t="s">
        <v>20</v>
      </c>
      <c r="I2493" s="15" t="s">
        <v>124</v>
      </c>
      <c r="J2493" s="15" t="str">
        <f>""</f>
        <v/>
      </c>
      <c r="K2493" s="15" t="str">
        <f>"PFES1162673694_0001"</f>
        <v>PFES1162673694_0001</v>
      </c>
      <c r="L2493" s="15">
        <v>1</v>
      </c>
      <c r="M2493" s="15">
        <v>12</v>
      </c>
    </row>
    <row r="2494" spans="1:13">
      <c r="A2494" s="6">
        <v>43514</v>
      </c>
      <c r="B2494" s="7">
        <v>0.56388888888888888</v>
      </c>
      <c r="C2494" s="15" t="str">
        <f>"FES1162673736"</f>
        <v>FES1162673736</v>
      </c>
      <c r="D2494" s="15" t="s">
        <v>18</v>
      </c>
      <c r="E2494" s="15" t="s">
        <v>1013</v>
      </c>
      <c r="F2494" s="15" t="str">
        <f>"2170670009 "</f>
        <v xml:space="preserve">2170670009 </v>
      </c>
      <c r="G2494" s="15" t="str">
        <f>"DBC"</f>
        <v>DBC</v>
      </c>
      <c r="H2494" s="15" t="s">
        <v>20</v>
      </c>
      <c r="I2494" s="15" t="s">
        <v>1014</v>
      </c>
      <c r="J2494" s="15" t="str">
        <f>""</f>
        <v/>
      </c>
      <c r="K2494" s="15" t="str">
        <f>"PFES1162673736_0001"</f>
        <v>PFES1162673736_0001</v>
      </c>
      <c r="L2494" s="15">
        <v>2</v>
      </c>
      <c r="M2494" s="15">
        <v>20</v>
      </c>
    </row>
    <row r="2495" spans="1:13">
      <c r="A2495" s="6">
        <v>43514</v>
      </c>
      <c r="B2495" s="7">
        <v>0.56388888888888888</v>
      </c>
      <c r="C2495" s="15" t="str">
        <f>"FES1162673736"</f>
        <v>FES1162673736</v>
      </c>
      <c r="D2495" s="15" t="s">
        <v>18</v>
      </c>
      <c r="E2495" s="15" t="s">
        <v>1013</v>
      </c>
      <c r="F2495" s="15" t="str">
        <f>"2170670009 "</f>
        <v xml:space="preserve">2170670009 </v>
      </c>
      <c r="G2495" s="15" t="str">
        <f>"DBC"</f>
        <v>DBC</v>
      </c>
      <c r="H2495" s="15" t="s">
        <v>20</v>
      </c>
      <c r="I2495" s="15" t="s">
        <v>1014</v>
      </c>
      <c r="J2495" s="15"/>
      <c r="K2495" s="15" t="str">
        <f>"PFES1162673736_0002"</f>
        <v>PFES1162673736_0002</v>
      </c>
      <c r="L2495" s="15">
        <v>2</v>
      </c>
      <c r="M2495" s="15">
        <v>20</v>
      </c>
    </row>
    <row r="2496" spans="1:13">
      <c r="A2496" s="6">
        <v>43514</v>
      </c>
      <c r="B2496" s="7">
        <v>0.56319444444444444</v>
      </c>
      <c r="C2496" s="15" t="str">
        <f>"FES1162673690"</f>
        <v>FES1162673690</v>
      </c>
      <c r="D2496" s="15" t="s">
        <v>18</v>
      </c>
      <c r="E2496" s="15" t="s">
        <v>47</v>
      </c>
      <c r="F2496" s="15" t="str">
        <f>"2170668211 "</f>
        <v xml:space="preserve">2170668211 </v>
      </c>
      <c r="G2496" s="15" t="str">
        <f>"ON1"</f>
        <v>ON1</v>
      </c>
      <c r="H2496" s="15" t="s">
        <v>20</v>
      </c>
      <c r="I2496" s="15" t="s">
        <v>48</v>
      </c>
      <c r="J2496" s="15" t="str">
        <f>""</f>
        <v/>
      </c>
      <c r="K2496" s="15" t="str">
        <f>"PFES1162673690_0001"</f>
        <v>PFES1162673690_0001</v>
      </c>
      <c r="L2496" s="15">
        <v>1</v>
      </c>
      <c r="M2496" s="15">
        <v>2</v>
      </c>
    </row>
    <row r="2497" spans="1:13">
      <c r="A2497" s="6">
        <v>43514</v>
      </c>
      <c r="B2497" s="7">
        <v>0.56180555555555556</v>
      </c>
      <c r="C2497" s="15" t="str">
        <f>"FES1162673691"</f>
        <v>FES1162673691</v>
      </c>
      <c r="D2497" s="15" t="s">
        <v>18</v>
      </c>
      <c r="E2497" s="15" t="s">
        <v>47</v>
      </c>
      <c r="F2497" s="15" t="str">
        <f>"2170669129 "</f>
        <v xml:space="preserve">2170669129 </v>
      </c>
      <c r="G2497" s="15" t="str">
        <f>"ON1"</f>
        <v>ON1</v>
      </c>
      <c r="H2497" s="15" t="s">
        <v>20</v>
      </c>
      <c r="I2497" s="15" t="s">
        <v>48</v>
      </c>
      <c r="J2497" s="15" t="str">
        <f>""</f>
        <v/>
      </c>
      <c r="K2497" s="15" t="str">
        <f>"PFES1162673691_0001"</f>
        <v>PFES1162673691_0001</v>
      </c>
      <c r="L2497" s="15">
        <v>2</v>
      </c>
      <c r="M2497" s="15">
        <v>6</v>
      </c>
    </row>
    <row r="2498" spans="1:13">
      <c r="A2498" s="6">
        <v>43514</v>
      </c>
      <c r="B2498" s="7">
        <v>0.56180555555555556</v>
      </c>
      <c r="C2498" s="15" t="str">
        <f>"FES1162673691"</f>
        <v>FES1162673691</v>
      </c>
      <c r="D2498" s="15" t="s">
        <v>18</v>
      </c>
      <c r="E2498" s="15" t="s">
        <v>47</v>
      </c>
      <c r="F2498" s="15" t="str">
        <f>"2170669129 "</f>
        <v xml:space="preserve">2170669129 </v>
      </c>
      <c r="G2498" s="15" t="str">
        <f>"ON1"</f>
        <v>ON1</v>
      </c>
      <c r="H2498" s="15" t="s">
        <v>20</v>
      </c>
      <c r="I2498" s="15" t="s">
        <v>48</v>
      </c>
      <c r="J2498" s="15"/>
      <c r="K2498" s="15" t="str">
        <f>"PFES1162673691_0002"</f>
        <v>PFES1162673691_0002</v>
      </c>
      <c r="L2498" s="15">
        <v>2</v>
      </c>
      <c r="M2498" s="15">
        <v>6</v>
      </c>
    </row>
    <row r="2499" spans="1:13">
      <c r="A2499" s="6">
        <v>43514</v>
      </c>
      <c r="B2499" s="7">
        <v>0.56111111111111112</v>
      </c>
      <c r="C2499" s="15" t="str">
        <f>"FES1162673737"</f>
        <v>FES1162673737</v>
      </c>
      <c r="D2499" s="15" t="s">
        <v>18</v>
      </c>
      <c r="E2499" s="15" t="s">
        <v>240</v>
      </c>
      <c r="F2499" s="15" t="str">
        <f>"2170670155 "</f>
        <v xml:space="preserve">2170670155 </v>
      </c>
      <c r="G2499" s="15" t="str">
        <f t="shared" ref="G2499:G2532" si="75">"ON1"</f>
        <v>ON1</v>
      </c>
      <c r="H2499" s="15" t="s">
        <v>20</v>
      </c>
      <c r="I2499" s="15" t="s">
        <v>161</v>
      </c>
      <c r="J2499" s="15" t="str">
        <f>""</f>
        <v/>
      </c>
      <c r="K2499" s="15" t="str">
        <f>"PFES1162673737_0001"</f>
        <v>PFES1162673737_0001</v>
      </c>
      <c r="L2499" s="15">
        <v>1</v>
      </c>
      <c r="M2499" s="15">
        <v>9</v>
      </c>
    </row>
    <row r="2500" spans="1:13">
      <c r="A2500" s="6">
        <v>43514</v>
      </c>
      <c r="B2500" s="7">
        <v>0.55972222222222223</v>
      </c>
      <c r="C2500" s="15" t="str">
        <f>"FES1162673723"</f>
        <v>FES1162673723</v>
      </c>
      <c r="D2500" s="15" t="s">
        <v>18</v>
      </c>
      <c r="E2500" s="15" t="s">
        <v>337</v>
      </c>
      <c r="F2500" s="15" t="str">
        <f>"2170662219 "</f>
        <v xml:space="preserve">2170662219 </v>
      </c>
      <c r="G2500" s="15" t="str">
        <f t="shared" si="75"/>
        <v>ON1</v>
      </c>
      <c r="H2500" s="15" t="s">
        <v>20</v>
      </c>
      <c r="I2500" s="15" t="s">
        <v>338</v>
      </c>
      <c r="J2500" s="15" t="str">
        <f>""</f>
        <v/>
      </c>
      <c r="K2500" s="15" t="str">
        <f>"PFES1162673723_0001"</f>
        <v>PFES1162673723_0001</v>
      </c>
      <c r="L2500" s="15">
        <v>1</v>
      </c>
      <c r="M2500" s="15">
        <v>1</v>
      </c>
    </row>
    <row r="2501" spans="1:13">
      <c r="A2501" s="6">
        <v>43514</v>
      </c>
      <c r="B2501" s="7">
        <v>0.55833333333333335</v>
      </c>
      <c r="C2501" s="15" t="str">
        <f>"FES11626733716"</f>
        <v>FES11626733716</v>
      </c>
      <c r="D2501" s="15" t="s">
        <v>18</v>
      </c>
      <c r="E2501" s="15" t="s">
        <v>672</v>
      </c>
      <c r="F2501" s="15" t="str">
        <f>"2170671417 "</f>
        <v xml:space="preserve">2170671417 </v>
      </c>
      <c r="G2501" s="15" t="str">
        <f t="shared" si="75"/>
        <v>ON1</v>
      </c>
      <c r="H2501" s="15" t="s">
        <v>20</v>
      </c>
      <c r="I2501" s="15" t="s">
        <v>31</v>
      </c>
      <c r="J2501" s="15" t="str">
        <f>""</f>
        <v/>
      </c>
      <c r="K2501" s="15" t="str">
        <f>"PFES11626733716_0001"</f>
        <v>PFES11626733716_0001</v>
      </c>
      <c r="L2501" s="15">
        <v>1</v>
      </c>
      <c r="M2501" s="15">
        <v>9</v>
      </c>
    </row>
    <row r="2502" spans="1:13">
      <c r="A2502" s="6">
        <v>43514</v>
      </c>
      <c r="B2502" s="7">
        <v>0.55694444444444446</v>
      </c>
      <c r="C2502" s="15" t="str">
        <f>"FES1162673670"</f>
        <v>FES1162673670</v>
      </c>
      <c r="D2502" s="15" t="s">
        <v>18</v>
      </c>
      <c r="E2502" s="15" t="s">
        <v>407</v>
      </c>
      <c r="F2502" s="15" t="str">
        <f>"2170674782 "</f>
        <v xml:space="preserve">2170674782 </v>
      </c>
      <c r="G2502" s="15" t="str">
        <f t="shared" si="75"/>
        <v>ON1</v>
      </c>
      <c r="H2502" s="15" t="s">
        <v>20</v>
      </c>
      <c r="I2502" s="15" t="s">
        <v>31</v>
      </c>
      <c r="J2502" s="15" t="str">
        <f>""</f>
        <v/>
      </c>
      <c r="K2502" s="15" t="str">
        <f>"PFES1162673670_0001"</f>
        <v>PFES1162673670_0001</v>
      </c>
      <c r="L2502" s="15">
        <v>1</v>
      </c>
      <c r="M2502" s="15">
        <v>2</v>
      </c>
    </row>
    <row r="2503" spans="1:13">
      <c r="A2503" s="6">
        <v>43514</v>
      </c>
      <c r="B2503" s="7">
        <v>0.5541666666666667</v>
      </c>
      <c r="C2503" s="15" t="str">
        <f>"FES1162673682"</f>
        <v>FES1162673682</v>
      </c>
      <c r="D2503" s="15" t="s">
        <v>18</v>
      </c>
      <c r="E2503" s="15" t="s">
        <v>47</v>
      </c>
      <c r="F2503" s="15" t="str">
        <f>"2170674803 "</f>
        <v xml:space="preserve">2170674803 </v>
      </c>
      <c r="G2503" s="15" t="str">
        <f t="shared" si="75"/>
        <v>ON1</v>
      </c>
      <c r="H2503" s="15" t="s">
        <v>20</v>
      </c>
      <c r="I2503" s="15" t="s">
        <v>48</v>
      </c>
      <c r="J2503" s="15" t="str">
        <f>""</f>
        <v/>
      </c>
      <c r="K2503" s="15" t="str">
        <f>"PFES1162673682_0001"</f>
        <v>PFES1162673682_0001</v>
      </c>
      <c r="L2503" s="15">
        <v>1</v>
      </c>
      <c r="M2503" s="15">
        <v>4</v>
      </c>
    </row>
    <row r="2504" spans="1:13">
      <c r="A2504" s="6">
        <v>43514</v>
      </c>
      <c r="B2504" s="7">
        <v>0.55138888888888882</v>
      </c>
      <c r="C2504" s="15" t="str">
        <f>"FES1162673701"</f>
        <v>FES1162673701</v>
      </c>
      <c r="D2504" s="15" t="s">
        <v>18</v>
      </c>
      <c r="E2504" s="15" t="s">
        <v>1015</v>
      </c>
      <c r="F2504" s="15" t="str">
        <f>"2170671803 "</f>
        <v xml:space="preserve">2170671803 </v>
      </c>
      <c r="G2504" s="15" t="str">
        <f t="shared" si="75"/>
        <v>ON1</v>
      </c>
      <c r="H2504" s="15" t="s">
        <v>20</v>
      </c>
      <c r="I2504" s="15" t="s">
        <v>182</v>
      </c>
      <c r="J2504" s="15" t="str">
        <f>""</f>
        <v/>
      </c>
      <c r="K2504" s="15" t="str">
        <f>"PFES1162673701_0001"</f>
        <v>PFES1162673701_0001</v>
      </c>
      <c r="L2504" s="15">
        <v>2</v>
      </c>
      <c r="M2504" s="15">
        <v>18</v>
      </c>
    </row>
    <row r="2505" spans="1:13">
      <c r="A2505" s="6">
        <v>43514</v>
      </c>
      <c r="B2505" s="7">
        <v>0.55138888888888882</v>
      </c>
      <c r="C2505" s="15" t="str">
        <f>"FES1162673701"</f>
        <v>FES1162673701</v>
      </c>
      <c r="D2505" s="15" t="s">
        <v>18</v>
      </c>
      <c r="E2505" s="15" t="s">
        <v>1015</v>
      </c>
      <c r="F2505" s="15" t="str">
        <f>"2170671803 "</f>
        <v xml:space="preserve">2170671803 </v>
      </c>
      <c r="G2505" s="15" t="str">
        <f t="shared" si="75"/>
        <v>ON1</v>
      </c>
      <c r="H2505" s="15" t="s">
        <v>20</v>
      </c>
      <c r="I2505" s="15" t="s">
        <v>182</v>
      </c>
      <c r="J2505" s="15"/>
      <c r="K2505" s="15" t="str">
        <f>"PFES1162673701_0002"</f>
        <v>PFES1162673701_0002</v>
      </c>
      <c r="L2505" s="15">
        <v>2</v>
      </c>
      <c r="M2505" s="15">
        <v>18</v>
      </c>
    </row>
    <row r="2506" spans="1:13">
      <c r="A2506" s="6">
        <v>43514</v>
      </c>
      <c r="B2506" s="7">
        <v>0.54999999999999993</v>
      </c>
      <c r="C2506" s="15" t="str">
        <f>"FES1162673675"</f>
        <v>FES1162673675</v>
      </c>
      <c r="D2506" s="15" t="s">
        <v>18</v>
      </c>
      <c r="E2506" s="15" t="s">
        <v>120</v>
      </c>
      <c r="F2506" s="15" t="str">
        <f>"2170674787 "</f>
        <v xml:space="preserve">2170674787 </v>
      </c>
      <c r="G2506" s="15" t="str">
        <f t="shared" si="75"/>
        <v>ON1</v>
      </c>
      <c r="H2506" s="15" t="s">
        <v>20</v>
      </c>
      <c r="I2506" s="15" t="s">
        <v>121</v>
      </c>
      <c r="J2506" s="15" t="str">
        <f>""</f>
        <v/>
      </c>
      <c r="K2506" s="15" t="str">
        <f>"PFES1162673675_0001"</f>
        <v>PFES1162673675_0001</v>
      </c>
      <c r="L2506" s="15">
        <v>1</v>
      </c>
      <c r="M2506" s="15">
        <v>1</v>
      </c>
    </row>
    <row r="2507" spans="1:13">
      <c r="A2507" s="6">
        <v>43514</v>
      </c>
      <c r="B2507" s="7">
        <v>0.5493055555555556</v>
      </c>
      <c r="C2507" s="15" t="str">
        <f>"FES1162673692"</f>
        <v>FES1162673692</v>
      </c>
      <c r="D2507" s="15" t="s">
        <v>18</v>
      </c>
      <c r="E2507" s="15" t="s">
        <v>361</v>
      </c>
      <c r="F2507" s="15" t="str">
        <f>"2170669559 "</f>
        <v xml:space="preserve">2170669559 </v>
      </c>
      <c r="G2507" s="15" t="str">
        <f t="shared" si="75"/>
        <v>ON1</v>
      </c>
      <c r="H2507" s="15" t="s">
        <v>20</v>
      </c>
      <c r="I2507" s="15" t="s">
        <v>362</v>
      </c>
      <c r="J2507" s="15" t="str">
        <f>""</f>
        <v/>
      </c>
      <c r="K2507" s="15" t="str">
        <f>"PFES1162673692_0001"</f>
        <v>PFES1162673692_0001</v>
      </c>
      <c r="L2507" s="15">
        <v>1</v>
      </c>
      <c r="M2507" s="15">
        <v>1</v>
      </c>
    </row>
    <row r="2508" spans="1:13">
      <c r="A2508" s="6">
        <v>43514</v>
      </c>
      <c r="B2508" s="7">
        <v>0.54861111111111105</v>
      </c>
      <c r="C2508" s="15" t="str">
        <f>"FES1162673697"</f>
        <v>FES1162673697</v>
      </c>
      <c r="D2508" s="15" t="s">
        <v>18</v>
      </c>
      <c r="E2508" s="15" t="s">
        <v>162</v>
      </c>
      <c r="F2508" s="15" t="str">
        <f>"2170671168 "</f>
        <v xml:space="preserve">2170671168 </v>
      </c>
      <c r="G2508" s="15" t="str">
        <f t="shared" si="75"/>
        <v>ON1</v>
      </c>
      <c r="H2508" s="15" t="s">
        <v>20</v>
      </c>
      <c r="I2508" s="15" t="s">
        <v>163</v>
      </c>
      <c r="J2508" s="15" t="str">
        <f>""</f>
        <v/>
      </c>
      <c r="K2508" s="15" t="str">
        <f>"PFES1162673697_0001"</f>
        <v>PFES1162673697_0001</v>
      </c>
      <c r="L2508" s="15">
        <v>1</v>
      </c>
      <c r="M2508" s="15">
        <v>2</v>
      </c>
    </row>
    <row r="2509" spans="1:13">
      <c r="A2509" s="6">
        <v>43514</v>
      </c>
      <c r="B2509" s="7">
        <v>0.54791666666666672</v>
      </c>
      <c r="C2509" s="15" t="str">
        <f>"FES1162673757"</f>
        <v>FES1162673757</v>
      </c>
      <c r="D2509" s="15" t="s">
        <v>18</v>
      </c>
      <c r="E2509" s="15" t="s">
        <v>186</v>
      </c>
      <c r="F2509" s="15" t="str">
        <f>"2170674817 "</f>
        <v xml:space="preserve">2170674817 </v>
      </c>
      <c r="G2509" s="15" t="str">
        <f t="shared" si="75"/>
        <v>ON1</v>
      </c>
      <c r="H2509" s="15" t="s">
        <v>20</v>
      </c>
      <c r="I2509" s="15" t="s">
        <v>48</v>
      </c>
      <c r="J2509" s="15" t="str">
        <f>""</f>
        <v/>
      </c>
      <c r="K2509" s="15" t="str">
        <f>"PFES1162673757_0001"</f>
        <v>PFES1162673757_0001</v>
      </c>
      <c r="L2509" s="15">
        <v>1</v>
      </c>
      <c r="M2509" s="15">
        <v>2</v>
      </c>
    </row>
    <row r="2510" spans="1:13">
      <c r="A2510" s="6">
        <v>43514</v>
      </c>
      <c r="B2510" s="7">
        <v>0.54652777777777783</v>
      </c>
      <c r="C2510" s="15" t="str">
        <f>"FES1162673704"</f>
        <v>FES1162673704</v>
      </c>
      <c r="D2510" s="15" t="s">
        <v>18</v>
      </c>
      <c r="E2510" s="15" t="s">
        <v>489</v>
      </c>
      <c r="F2510" s="15" t="str">
        <f>"2170672655 "</f>
        <v xml:space="preserve">2170672655 </v>
      </c>
      <c r="G2510" s="15" t="str">
        <f t="shared" si="75"/>
        <v>ON1</v>
      </c>
      <c r="H2510" s="15" t="s">
        <v>20</v>
      </c>
      <c r="I2510" s="15" t="s">
        <v>490</v>
      </c>
      <c r="J2510" s="15" t="str">
        <f>""</f>
        <v/>
      </c>
      <c r="K2510" s="15" t="str">
        <f>"PFES1162673704_0001"</f>
        <v>PFES1162673704_0001</v>
      </c>
      <c r="L2510" s="15">
        <v>1</v>
      </c>
      <c r="M2510" s="15">
        <v>13</v>
      </c>
    </row>
    <row r="2511" spans="1:13">
      <c r="A2511" s="6">
        <v>43514</v>
      </c>
      <c r="B2511" s="7">
        <v>0.54583333333333328</v>
      </c>
      <c r="C2511" s="15" t="str">
        <f>"FES1162673762"</f>
        <v>FES1162673762</v>
      </c>
      <c r="D2511" s="15" t="s">
        <v>18</v>
      </c>
      <c r="E2511" s="15" t="s">
        <v>186</v>
      </c>
      <c r="F2511" s="15" t="str">
        <f>"2170674862 "</f>
        <v xml:space="preserve">2170674862 </v>
      </c>
      <c r="G2511" s="15" t="str">
        <f t="shared" si="75"/>
        <v>ON1</v>
      </c>
      <c r="H2511" s="15" t="s">
        <v>20</v>
      </c>
      <c r="I2511" s="15" t="s">
        <v>48</v>
      </c>
      <c r="J2511" s="15" t="str">
        <f>""</f>
        <v/>
      </c>
      <c r="K2511" s="15" t="str">
        <f>"PFES1162673762_0001"</f>
        <v>PFES1162673762_0001</v>
      </c>
      <c r="L2511" s="15">
        <v>1</v>
      </c>
      <c r="M2511" s="15">
        <v>3</v>
      </c>
    </row>
    <row r="2512" spans="1:13">
      <c r="A2512" s="6">
        <v>43514</v>
      </c>
      <c r="B2512" s="7">
        <v>0.5444444444444444</v>
      </c>
      <c r="C2512" s="15" t="str">
        <f>"FES1162673696"</f>
        <v>FES1162673696</v>
      </c>
      <c r="D2512" s="15" t="s">
        <v>18</v>
      </c>
      <c r="E2512" s="15" t="s">
        <v>399</v>
      </c>
      <c r="F2512" s="15" t="str">
        <f>"2170670635 "</f>
        <v xml:space="preserve">2170670635 </v>
      </c>
      <c r="G2512" s="15" t="str">
        <f t="shared" si="75"/>
        <v>ON1</v>
      </c>
      <c r="H2512" s="15" t="s">
        <v>20</v>
      </c>
      <c r="I2512" s="15" t="s">
        <v>29</v>
      </c>
      <c r="J2512" s="15" t="str">
        <f>""</f>
        <v/>
      </c>
      <c r="K2512" s="15" t="str">
        <f>"PFES1162673696_0001"</f>
        <v>PFES1162673696_0001</v>
      </c>
      <c r="L2512" s="15">
        <v>1</v>
      </c>
      <c r="M2512" s="15">
        <v>2</v>
      </c>
    </row>
    <row r="2513" spans="1:13">
      <c r="A2513" s="6">
        <v>43514</v>
      </c>
      <c r="B2513" s="7">
        <v>0.54236111111111118</v>
      </c>
      <c r="C2513" s="15" t="str">
        <f>"FES1162673725"</f>
        <v>FES1162673725</v>
      </c>
      <c r="D2513" s="15" t="s">
        <v>18</v>
      </c>
      <c r="E2513" s="15" t="s">
        <v>1016</v>
      </c>
      <c r="F2513" s="15" t="str">
        <f>"2170669365 "</f>
        <v xml:space="preserve">2170669365 </v>
      </c>
      <c r="G2513" s="15" t="str">
        <f t="shared" si="75"/>
        <v>ON1</v>
      </c>
      <c r="H2513" s="15" t="s">
        <v>20</v>
      </c>
      <c r="I2513" s="15" t="s">
        <v>61</v>
      </c>
      <c r="J2513" s="15" t="str">
        <f>""</f>
        <v/>
      </c>
      <c r="K2513" s="15" t="str">
        <f>"PFES1162673725_0001"</f>
        <v>PFES1162673725_0001</v>
      </c>
      <c r="L2513" s="15">
        <v>1</v>
      </c>
      <c r="M2513" s="15">
        <v>1</v>
      </c>
    </row>
    <row r="2514" spans="1:13">
      <c r="A2514" s="6">
        <v>43514</v>
      </c>
      <c r="B2514" s="7">
        <v>0.53680555555555554</v>
      </c>
      <c r="C2514" s="15" t="str">
        <f>"FES1162673680"</f>
        <v>FES1162673680</v>
      </c>
      <c r="D2514" s="15" t="s">
        <v>18</v>
      </c>
      <c r="E2514" s="15" t="s">
        <v>358</v>
      </c>
      <c r="F2514" s="15" t="str">
        <f>"2170674796 "</f>
        <v xml:space="preserve">2170674796 </v>
      </c>
      <c r="G2514" s="15" t="str">
        <f t="shared" si="75"/>
        <v>ON1</v>
      </c>
      <c r="H2514" s="15" t="s">
        <v>20</v>
      </c>
      <c r="I2514" s="15" t="s">
        <v>359</v>
      </c>
      <c r="J2514" s="15" t="str">
        <f>""</f>
        <v/>
      </c>
      <c r="K2514" s="15" t="str">
        <f>"PFES1162673680_0001"</f>
        <v>PFES1162673680_0001</v>
      </c>
      <c r="L2514" s="15">
        <v>1</v>
      </c>
      <c r="M2514" s="15">
        <v>1</v>
      </c>
    </row>
    <row r="2515" spans="1:13">
      <c r="A2515" s="6">
        <v>43514</v>
      </c>
      <c r="B2515" s="7">
        <v>0.53680555555555554</v>
      </c>
      <c r="C2515" s="15" t="str">
        <f>"FES1162673652"</f>
        <v>FES1162673652</v>
      </c>
      <c r="D2515" s="15" t="s">
        <v>18</v>
      </c>
      <c r="E2515" s="15" t="s">
        <v>162</v>
      </c>
      <c r="F2515" s="15" t="str">
        <f>"2170674771 "</f>
        <v xml:space="preserve">2170674771 </v>
      </c>
      <c r="G2515" s="15" t="str">
        <f t="shared" si="75"/>
        <v>ON1</v>
      </c>
      <c r="H2515" s="15" t="s">
        <v>20</v>
      </c>
      <c r="I2515" s="15" t="s">
        <v>163</v>
      </c>
      <c r="J2515" s="15" t="str">
        <f>""</f>
        <v/>
      </c>
      <c r="K2515" s="15" t="str">
        <f>"PFES1162673652_0001"</f>
        <v>PFES1162673652_0001</v>
      </c>
      <c r="L2515" s="15">
        <v>1</v>
      </c>
      <c r="M2515" s="15">
        <v>1</v>
      </c>
    </row>
    <row r="2516" spans="1:13">
      <c r="A2516" s="6">
        <v>43514</v>
      </c>
      <c r="B2516" s="7">
        <v>0.53611111111111109</v>
      </c>
      <c r="C2516" s="15" t="str">
        <f>"FES1162673668"</f>
        <v>FES1162673668</v>
      </c>
      <c r="D2516" s="15" t="s">
        <v>18</v>
      </c>
      <c r="E2516" s="15" t="s">
        <v>556</v>
      </c>
      <c r="F2516" s="15" t="str">
        <f>"2170674264 "</f>
        <v xml:space="preserve">2170674264 </v>
      </c>
      <c r="G2516" s="15" t="str">
        <f t="shared" si="75"/>
        <v>ON1</v>
      </c>
      <c r="H2516" s="15" t="s">
        <v>20</v>
      </c>
      <c r="I2516" s="15" t="s">
        <v>435</v>
      </c>
      <c r="J2516" s="15" t="str">
        <f>""</f>
        <v/>
      </c>
      <c r="K2516" s="15" t="str">
        <f>"PFES1162673668_0001"</f>
        <v>PFES1162673668_0001</v>
      </c>
      <c r="L2516" s="15">
        <v>1</v>
      </c>
      <c r="M2516" s="15">
        <v>1</v>
      </c>
    </row>
    <row r="2517" spans="1:13">
      <c r="A2517" s="6">
        <v>43514</v>
      </c>
      <c r="B2517" s="7">
        <v>0.53541666666666665</v>
      </c>
      <c r="C2517" s="15" t="str">
        <f>"FES1162673684"</f>
        <v>FES1162673684</v>
      </c>
      <c r="D2517" s="15" t="s">
        <v>18</v>
      </c>
      <c r="E2517" s="15" t="s">
        <v>150</v>
      </c>
      <c r="F2517" s="15" t="str">
        <f>"2170674805 "</f>
        <v xml:space="preserve">2170674805 </v>
      </c>
      <c r="G2517" s="15" t="str">
        <f t="shared" si="75"/>
        <v>ON1</v>
      </c>
      <c r="H2517" s="15" t="s">
        <v>20</v>
      </c>
      <c r="I2517" s="15" t="s">
        <v>137</v>
      </c>
      <c r="J2517" s="15" t="str">
        <f>""</f>
        <v/>
      </c>
      <c r="K2517" s="15" t="str">
        <f>"PFES1162673684_0001"</f>
        <v>PFES1162673684_0001</v>
      </c>
      <c r="L2517" s="15">
        <v>1</v>
      </c>
      <c r="M2517" s="15">
        <v>1</v>
      </c>
    </row>
    <row r="2518" spans="1:13">
      <c r="A2518" s="6">
        <v>43514</v>
      </c>
      <c r="B2518" s="7">
        <v>0.53541666666666665</v>
      </c>
      <c r="C2518" s="15" t="str">
        <f>"FES1162673683"</f>
        <v>FES1162673683</v>
      </c>
      <c r="D2518" s="15" t="s">
        <v>18</v>
      </c>
      <c r="E2518" s="15" t="s">
        <v>140</v>
      </c>
      <c r="F2518" s="15" t="str">
        <f>"2170674804 "</f>
        <v xml:space="preserve">2170674804 </v>
      </c>
      <c r="G2518" s="15" t="str">
        <f t="shared" si="75"/>
        <v>ON1</v>
      </c>
      <c r="H2518" s="15" t="s">
        <v>20</v>
      </c>
      <c r="I2518" s="15" t="s">
        <v>141</v>
      </c>
      <c r="J2518" s="15" t="str">
        <f>""</f>
        <v/>
      </c>
      <c r="K2518" s="15" t="str">
        <f>"PFES1162673683_0001"</f>
        <v>PFES1162673683_0001</v>
      </c>
      <c r="L2518" s="15">
        <v>1</v>
      </c>
      <c r="M2518" s="15">
        <v>1</v>
      </c>
    </row>
    <row r="2519" spans="1:13">
      <c r="A2519" s="6">
        <v>43514</v>
      </c>
      <c r="B2519" s="7">
        <v>0.53402777777777777</v>
      </c>
      <c r="C2519" s="15" t="str">
        <f>"FES1162673651"</f>
        <v>FES1162673651</v>
      </c>
      <c r="D2519" s="15" t="s">
        <v>18</v>
      </c>
      <c r="E2519" s="15" t="s">
        <v>309</v>
      </c>
      <c r="F2519" s="15" t="str">
        <f>"2170674770 "</f>
        <v xml:space="preserve">2170674770 </v>
      </c>
      <c r="G2519" s="15" t="str">
        <f t="shared" si="75"/>
        <v>ON1</v>
      </c>
      <c r="H2519" s="15" t="s">
        <v>20</v>
      </c>
      <c r="I2519" s="15" t="s">
        <v>310</v>
      </c>
      <c r="J2519" s="15" t="str">
        <f>""</f>
        <v/>
      </c>
      <c r="K2519" s="15" t="str">
        <f>"PFES1162673651_0001"</f>
        <v>PFES1162673651_0001</v>
      </c>
      <c r="L2519" s="15">
        <v>1</v>
      </c>
      <c r="M2519" s="15">
        <v>1</v>
      </c>
    </row>
    <row r="2520" spans="1:13">
      <c r="A2520" s="6">
        <v>43514</v>
      </c>
      <c r="B2520" s="7">
        <v>0.53333333333333333</v>
      </c>
      <c r="C2520" s="15" t="str">
        <f>"FES1162673656"</f>
        <v>FES1162673656</v>
      </c>
      <c r="D2520" s="15" t="s">
        <v>18</v>
      </c>
      <c r="E2520" s="15" t="s">
        <v>190</v>
      </c>
      <c r="F2520" s="15" t="str">
        <f>"2170674765 "</f>
        <v xml:space="preserve">2170674765 </v>
      </c>
      <c r="G2520" s="15" t="str">
        <f t="shared" si="75"/>
        <v>ON1</v>
      </c>
      <c r="H2520" s="15" t="s">
        <v>20</v>
      </c>
      <c r="I2520" s="15" t="s">
        <v>362</v>
      </c>
      <c r="J2520" s="15" t="str">
        <f>""</f>
        <v/>
      </c>
      <c r="K2520" s="15" t="str">
        <f>"PFES1162673656_0001"</f>
        <v>PFES1162673656_0001</v>
      </c>
      <c r="L2520" s="15">
        <v>1</v>
      </c>
      <c r="M2520" s="15">
        <v>1</v>
      </c>
    </row>
    <row r="2521" spans="1:13">
      <c r="A2521" s="6">
        <v>43514</v>
      </c>
      <c r="B2521" s="7">
        <v>0.53333333333333333</v>
      </c>
      <c r="C2521" s="15" t="str">
        <f>"FES1162673650"</f>
        <v>FES1162673650</v>
      </c>
      <c r="D2521" s="15" t="s">
        <v>18</v>
      </c>
      <c r="E2521" s="15" t="s">
        <v>140</v>
      </c>
      <c r="F2521" s="15" t="str">
        <f>"21706746769 "</f>
        <v xml:space="preserve">21706746769 </v>
      </c>
      <c r="G2521" s="15" t="str">
        <f t="shared" si="75"/>
        <v>ON1</v>
      </c>
      <c r="H2521" s="15" t="s">
        <v>20</v>
      </c>
      <c r="I2521" s="15" t="s">
        <v>141</v>
      </c>
      <c r="J2521" s="15" t="str">
        <f>""</f>
        <v/>
      </c>
      <c r="K2521" s="15" t="str">
        <f>"PFES1162673650_0001"</f>
        <v>PFES1162673650_0001</v>
      </c>
      <c r="L2521" s="15">
        <v>1</v>
      </c>
      <c r="M2521" s="15">
        <v>1</v>
      </c>
    </row>
    <row r="2522" spans="1:13">
      <c r="A2522" s="6">
        <v>43514</v>
      </c>
      <c r="B2522" s="7">
        <v>0.53263888888888888</v>
      </c>
      <c r="C2522" s="15" t="str">
        <f>"FES1162673685"</f>
        <v>FES1162673685</v>
      </c>
      <c r="D2522" s="15" t="s">
        <v>18</v>
      </c>
      <c r="E2522" s="15" t="s">
        <v>30</v>
      </c>
      <c r="F2522" s="15" t="str">
        <f>"2170674806 "</f>
        <v xml:space="preserve">2170674806 </v>
      </c>
      <c r="G2522" s="15" t="str">
        <f t="shared" si="75"/>
        <v>ON1</v>
      </c>
      <c r="H2522" s="15" t="s">
        <v>20</v>
      </c>
      <c r="I2522" s="15" t="s">
        <v>31</v>
      </c>
      <c r="J2522" s="15" t="str">
        <f>""</f>
        <v/>
      </c>
      <c r="K2522" s="15" t="str">
        <f>"PFES1162673685_0001"</f>
        <v>PFES1162673685_0001</v>
      </c>
      <c r="L2522" s="15">
        <v>1</v>
      </c>
      <c r="M2522" s="15">
        <v>1</v>
      </c>
    </row>
    <row r="2523" spans="1:13">
      <c r="A2523" s="6">
        <v>43514</v>
      </c>
      <c r="B2523" s="7">
        <v>0.53263888888888888</v>
      </c>
      <c r="C2523" s="15" t="str">
        <f>"FES1162673708"</f>
        <v>FES1162673708</v>
      </c>
      <c r="D2523" s="15" t="s">
        <v>18</v>
      </c>
      <c r="E2523" s="15" t="s">
        <v>186</v>
      </c>
      <c r="F2523" s="15" t="str">
        <f>"2170674813 "</f>
        <v xml:space="preserve">2170674813 </v>
      </c>
      <c r="G2523" s="15" t="str">
        <f t="shared" si="75"/>
        <v>ON1</v>
      </c>
      <c r="H2523" s="15" t="s">
        <v>20</v>
      </c>
      <c r="I2523" s="15" t="s">
        <v>48</v>
      </c>
      <c r="J2523" s="15" t="str">
        <f>""</f>
        <v/>
      </c>
      <c r="K2523" s="15" t="str">
        <f>"PFES1162673708_0001"</f>
        <v>PFES1162673708_0001</v>
      </c>
      <c r="L2523" s="15">
        <v>1</v>
      </c>
      <c r="M2523" s="15">
        <v>1</v>
      </c>
    </row>
    <row r="2524" spans="1:13">
      <c r="A2524" s="6">
        <v>43514</v>
      </c>
      <c r="B2524" s="7">
        <v>0.53263888888888888</v>
      </c>
      <c r="C2524" s="15" t="str">
        <f>"FES1162673750"</f>
        <v>FES1162673750</v>
      </c>
      <c r="D2524" s="15" t="s">
        <v>18</v>
      </c>
      <c r="E2524" s="15" t="s">
        <v>195</v>
      </c>
      <c r="F2524" s="15" t="str">
        <f>"2170673457 "</f>
        <v xml:space="preserve">2170673457 </v>
      </c>
      <c r="G2524" s="15" t="str">
        <f t="shared" si="75"/>
        <v>ON1</v>
      </c>
      <c r="H2524" s="15" t="s">
        <v>20</v>
      </c>
      <c r="I2524" s="15" t="s">
        <v>96</v>
      </c>
      <c r="J2524" s="15" t="str">
        <f>""</f>
        <v/>
      </c>
      <c r="K2524" s="15" t="str">
        <f>"PFES1162673750_0001"</f>
        <v>PFES1162673750_0001</v>
      </c>
      <c r="L2524" s="15">
        <v>1</v>
      </c>
      <c r="M2524" s="15">
        <v>1</v>
      </c>
    </row>
    <row r="2525" spans="1:13">
      <c r="A2525" s="6">
        <v>43514</v>
      </c>
      <c r="B2525" s="7">
        <v>0.53194444444444444</v>
      </c>
      <c r="C2525" s="15" t="str">
        <f>"FES1162673753"</f>
        <v>FES1162673753</v>
      </c>
      <c r="D2525" s="15" t="s">
        <v>18</v>
      </c>
      <c r="E2525" s="15" t="s">
        <v>47</v>
      </c>
      <c r="F2525" s="15" t="str">
        <f>"2170674852 "</f>
        <v xml:space="preserve">2170674852 </v>
      </c>
      <c r="G2525" s="15" t="str">
        <f t="shared" si="75"/>
        <v>ON1</v>
      </c>
      <c r="H2525" s="15" t="s">
        <v>20</v>
      </c>
      <c r="I2525" s="15" t="s">
        <v>48</v>
      </c>
      <c r="J2525" s="15" t="str">
        <f>""</f>
        <v/>
      </c>
      <c r="K2525" s="15" t="str">
        <f>"PFES1162673753_0001"</f>
        <v>PFES1162673753_0001</v>
      </c>
      <c r="L2525" s="15">
        <v>1</v>
      </c>
      <c r="M2525" s="15">
        <v>1</v>
      </c>
    </row>
    <row r="2526" spans="1:13">
      <c r="A2526" s="6">
        <v>43514</v>
      </c>
      <c r="B2526" s="7">
        <v>0.53125</v>
      </c>
      <c r="C2526" s="15" t="str">
        <f>"FES1162673754"</f>
        <v>FES1162673754</v>
      </c>
      <c r="D2526" s="15" t="s">
        <v>18</v>
      </c>
      <c r="E2526" s="15" t="s">
        <v>291</v>
      </c>
      <c r="F2526" s="15" t="str">
        <f>"21706748555 "</f>
        <v xml:space="preserve">21706748555 </v>
      </c>
      <c r="G2526" s="15" t="str">
        <f t="shared" si="75"/>
        <v>ON1</v>
      </c>
      <c r="H2526" s="15" t="s">
        <v>20</v>
      </c>
      <c r="I2526" s="15" t="s">
        <v>139</v>
      </c>
      <c r="J2526" s="15" t="str">
        <f>""</f>
        <v/>
      </c>
      <c r="K2526" s="15" t="str">
        <f>"PFES1162673754_0001"</f>
        <v>PFES1162673754_0001</v>
      </c>
      <c r="L2526" s="15">
        <v>1</v>
      </c>
      <c r="M2526" s="15">
        <v>1</v>
      </c>
    </row>
    <row r="2527" spans="1:13">
      <c r="A2527" s="6">
        <v>43514</v>
      </c>
      <c r="B2527" s="7">
        <v>0.53125</v>
      </c>
      <c r="C2527" s="15" t="str">
        <f>"FES1162673734"</f>
        <v>FES1162673734</v>
      </c>
      <c r="D2527" s="15" t="s">
        <v>18</v>
      </c>
      <c r="E2527" s="15" t="s">
        <v>425</v>
      </c>
      <c r="F2527" s="15" t="str">
        <f>"2170674837 "</f>
        <v xml:space="preserve">2170674837 </v>
      </c>
      <c r="G2527" s="15" t="str">
        <f t="shared" si="75"/>
        <v>ON1</v>
      </c>
      <c r="H2527" s="15" t="s">
        <v>20</v>
      </c>
      <c r="I2527" s="15" t="s">
        <v>213</v>
      </c>
      <c r="J2527" s="15" t="str">
        <f>""</f>
        <v/>
      </c>
      <c r="K2527" s="15" t="str">
        <f>"PFES1162673734_0001"</f>
        <v>PFES1162673734_0001</v>
      </c>
      <c r="L2527" s="15">
        <v>1</v>
      </c>
      <c r="M2527" s="15">
        <v>1</v>
      </c>
    </row>
    <row r="2528" spans="1:13">
      <c r="A2528" s="6">
        <v>43514</v>
      </c>
      <c r="B2528" s="7">
        <v>0.53055555555555556</v>
      </c>
      <c r="C2528" s="15" t="str">
        <f>"FES1162673724"</f>
        <v>FES1162673724</v>
      </c>
      <c r="D2528" s="15" t="s">
        <v>18</v>
      </c>
      <c r="E2528" s="15" t="s">
        <v>1017</v>
      </c>
      <c r="F2528" s="15" t="str">
        <f>"2170666710 "</f>
        <v xml:space="preserve">2170666710 </v>
      </c>
      <c r="G2528" s="15" t="str">
        <f t="shared" si="75"/>
        <v>ON1</v>
      </c>
      <c r="H2528" s="15" t="s">
        <v>20</v>
      </c>
      <c r="I2528" s="15" t="s">
        <v>773</v>
      </c>
      <c r="J2528" s="15" t="str">
        <f>""</f>
        <v/>
      </c>
      <c r="K2528" s="15" t="str">
        <f>"PFES1162673724_0001"</f>
        <v>PFES1162673724_0001</v>
      </c>
      <c r="L2528" s="15">
        <v>1</v>
      </c>
      <c r="M2528" s="15">
        <v>1</v>
      </c>
    </row>
    <row r="2529" spans="1:13">
      <c r="A2529" s="6">
        <v>43514</v>
      </c>
      <c r="B2529" s="7">
        <v>0.53055555555555556</v>
      </c>
      <c r="C2529" s="15" t="str">
        <f>"FES1162673681"</f>
        <v>FES1162673681</v>
      </c>
      <c r="D2529" s="15" t="s">
        <v>18</v>
      </c>
      <c r="E2529" s="15" t="s">
        <v>358</v>
      </c>
      <c r="F2529" s="15" t="str">
        <f>"2170674797 "</f>
        <v xml:space="preserve">2170674797 </v>
      </c>
      <c r="G2529" s="15" t="str">
        <f t="shared" si="75"/>
        <v>ON1</v>
      </c>
      <c r="H2529" s="15" t="s">
        <v>20</v>
      </c>
      <c r="I2529" s="15" t="s">
        <v>359</v>
      </c>
      <c r="J2529" s="15" t="str">
        <f>""</f>
        <v/>
      </c>
      <c r="K2529" s="15" t="str">
        <f>"PFES1162673681_0001"</f>
        <v>PFES1162673681_0001</v>
      </c>
      <c r="L2529" s="15">
        <v>1</v>
      </c>
      <c r="M2529" s="15">
        <v>1</v>
      </c>
    </row>
    <row r="2530" spans="1:13">
      <c r="A2530" s="6">
        <v>43514</v>
      </c>
      <c r="B2530" s="7">
        <v>0.52986111111111112</v>
      </c>
      <c r="C2530" s="15" t="str">
        <f>"FES1162673732"</f>
        <v>FES1162673732</v>
      </c>
      <c r="D2530" s="15" t="s">
        <v>18</v>
      </c>
      <c r="E2530" s="15" t="s">
        <v>150</v>
      </c>
      <c r="F2530" s="15" t="str">
        <f>"2170674833 "</f>
        <v xml:space="preserve">2170674833 </v>
      </c>
      <c r="G2530" s="15" t="str">
        <f t="shared" si="75"/>
        <v>ON1</v>
      </c>
      <c r="H2530" s="15" t="s">
        <v>20</v>
      </c>
      <c r="I2530" s="15" t="s">
        <v>137</v>
      </c>
      <c r="J2530" s="15" t="str">
        <f>""</f>
        <v/>
      </c>
      <c r="K2530" s="15" t="str">
        <f>"PFES1162673732_0001"</f>
        <v>PFES1162673732_0001</v>
      </c>
      <c r="L2530" s="15">
        <v>1</v>
      </c>
      <c r="M2530" s="15">
        <v>1</v>
      </c>
    </row>
    <row r="2531" spans="1:13">
      <c r="A2531" s="6">
        <v>43514</v>
      </c>
      <c r="B2531" s="7">
        <v>0.52986111111111112</v>
      </c>
      <c r="C2531" s="15" t="str">
        <f>"FES1162673711"</f>
        <v>FES1162673711</v>
      </c>
      <c r="D2531" s="15" t="s">
        <v>18</v>
      </c>
      <c r="E2531" s="15" t="s">
        <v>162</v>
      </c>
      <c r="F2531" s="15" t="str">
        <f>"2170674818 "</f>
        <v xml:space="preserve">2170674818 </v>
      </c>
      <c r="G2531" s="15" t="str">
        <f t="shared" si="75"/>
        <v>ON1</v>
      </c>
      <c r="H2531" s="15" t="s">
        <v>20</v>
      </c>
      <c r="I2531" s="15" t="s">
        <v>163</v>
      </c>
      <c r="J2531" s="15" t="str">
        <f>""</f>
        <v/>
      </c>
      <c r="K2531" s="15" t="str">
        <f>"PFES1162673711_0001"</f>
        <v>PFES1162673711_0001</v>
      </c>
      <c r="L2531" s="15">
        <v>1</v>
      </c>
      <c r="M2531" s="15">
        <v>1</v>
      </c>
    </row>
    <row r="2532" spans="1:13">
      <c r="A2532" s="6">
        <v>43514</v>
      </c>
      <c r="B2532" s="7">
        <v>0.52916666666666667</v>
      </c>
      <c r="C2532" s="15" t="str">
        <f>"FES1162673660"</f>
        <v>FES1162673660</v>
      </c>
      <c r="D2532" s="15" t="s">
        <v>18</v>
      </c>
      <c r="E2532" s="15" t="s">
        <v>140</v>
      </c>
      <c r="F2532" s="15" t="str">
        <f>"2170674776 "</f>
        <v xml:space="preserve">2170674776 </v>
      </c>
      <c r="G2532" s="15" t="str">
        <f t="shared" si="75"/>
        <v>ON1</v>
      </c>
      <c r="H2532" s="15" t="s">
        <v>20</v>
      </c>
      <c r="I2532" s="15" t="s">
        <v>141</v>
      </c>
      <c r="J2532" s="15" t="str">
        <f>""</f>
        <v/>
      </c>
      <c r="K2532" s="15" t="str">
        <f>"PFES1162673660_0001"</f>
        <v>PFES1162673660_0001</v>
      </c>
      <c r="L2532" s="15">
        <v>1</v>
      </c>
      <c r="M2532" s="15">
        <v>1</v>
      </c>
    </row>
    <row r="2533" spans="1:13">
      <c r="A2533" s="6">
        <v>43514</v>
      </c>
      <c r="B2533" s="7">
        <v>0.52152777777777781</v>
      </c>
      <c r="C2533" s="15" t="str">
        <f>"FES1162673617"</f>
        <v>FES1162673617</v>
      </c>
      <c r="D2533" s="15" t="s">
        <v>18</v>
      </c>
      <c r="E2533" s="15" t="s">
        <v>1018</v>
      </c>
      <c r="F2533" s="15" t="str">
        <f>"2170674735 "</f>
        <v xml:space="preserve">2170674735 </v>
      </c>
      <c r="G2533" s="15" t="str">
        <f>"DBC"</f>
        <v>DBC</v>
      </c>
      <c r="H2533" s="15" t="s">
        <v>20</v>
      </c>
      <c r="I2533" s="15" t="s">
        <v>137</v>
      </c>
      <c r="J2533" s="15" t="str">
        <f>"FRAGILE OIL"</f>
        <v>FRAGILE OIL</v>
      </c>
      <c r="K2533" s="15" t="str">
        <f>"PFES1162673617_0001"</f>
        <v>PFES1162673617_0001</v>
      </c>
      <c r="L2533" s="15">
        <v>1</v>
      </c>
      <c r="M2533" s="15">
        <v>1</v>
      </c>
    </row>
    <row r="2534" spans="1:13">
      <c r="A2534" s="6">
        <v>43514</v>
      </c>
      <c r="B2534" s="7">
        <v>0.5180555555555556</v>
      </c>
      <c r="C2534" s="15" t="str">
        <f>"FES1162673537"</f>
        <v>FES1162673537</v>
      </c>
      <c r="D2534" s="15" t="s">
        <v>18</v>
      </c>
      <c r="E2534" s="15" t="s">
        <v>1019</v>
      </c>
      <c r="F2534" s="15" t="str">
        <f>"2170674661 "</f>
        <v xml:space="preserve">2170674661 </v>
      </c>
      <c r="G2534" s="15" t="str">
        <f t="shared" ref="G2534:G2597" si="76">"ON1"</f>
        <v>ON1</v>
      </c>
      <c r="H2534" s="15" t="s">
        <v>20</v>
      </c>
      <c r="I2534" s="15" t="s">
        <v>156</v>
      </c>
      <c r="J2534" s="15" t="str">
        <f>""</f>
        <v/>
      </c>
      <c r="K2534" s="15" t="str">
        <f>"PFES1162673537_0001"</f>
        <v>PFES1162673537_0001</v>
      </c>
      <c r="L2534" s="15">
        <v>1</v>
      </c>
      <c r="M2534" s="15">
        <v>1</v>
      </c>
    </row>
    <row r="2535" spans="1:13">
      <c r="A2535" s="6">
        <v>43514</v>
      </c>
      <c r="B2535" s="7">
        <v>0.51736111111111105</v>
      </c>
      <c r="C2535" s="15" t="str">
        <f>"FES1162673573"</f>
        <v>FES1162673573</v>
      </c>
      <c r="D2535" s="15" t="s">
        <v>18</v>
      </c>
      <c r="E2535" s="15" t="s">
        <v>229</v>
      </c>
      <c r="F2535" s="15" t="str">
        <f>"2170674073 "</f>
        <v xml:space="preserve">2170674073 </v>
      </c>
      <c r="G2535" s="15" t="str">
        <f t="shared" si="76"/>
        <v>ON1</v>
      </c>
      <c r="H2535" s="15" t="s">
        <v>20</v>
      </c>
      <c r="I2535" s="15" t="s">
        <v>111</v>
      </c>
      <c r="J2535" s="15" t="str">
        <f>""</f>
        <v/>
      </c>
      <c r="K2535" s="15" t="str">
        <f>"PFES1162673573_0001"</f>
        <v>PFES1162673573_0001</v>
      </c>
      <c r="L2535" s="15">
        <v>1</v>
      </c>
      <c r="M2535" s="15">
        <v>1</v>
      </c>
    </row>
    <row r="2536" spans="1:13">
      <c r="A2536" s="6">
        <v>43514</v>
      </c>
      <c r="B2536" s="7">
        <v>0.51666666666666672</v>
      </c>
      <c r="C2536" s="15" t="str">
        <f>"FES1162673609"</f>
        <v>FES1162673609</v>
      </c>
      <c r="D2536" s="15" t="s">
        <v>18</v>
      </c>
      <c r="E2536" s="15" t="s">
        <v>300</v>
      </c>
      <c r="F2536" s="15" t="str">
        <f>"2170674700 "</f>
        <v xml:space="preserve">2170674700 </v>
      </c>
      <c r="G2536" s="15" t="str">
        <f t="shared" si="76"/>
        <v>ON1</v>
      </c>
      <c r="H2536" s="15" t="s">
        <v>20</v>
      </c>
      <c r="I2536" s="15" t="s">
        <v>276</v>
      </c>
      <c r="J2536" s="15" t="str">
        <f>""</f>
        <v/>
      </c>
      <c r="K2536" s="15" t="str">
        <f>"PFES1162673609_0001"</f>
        <v>PFES1162673609_0001</v>
      </c>
      <c r="L2536" s="15">
        <v>1</v>
      </c>
      <c r="M2536" s="15">
        <v>1</v>
      </c>
    </row>
    <row r="2537" spans="1:13">
      <c r="A2537" s="6">
        <v>43514</v>
      </c>
      <c r="B2537" s="7">
        <v>0.51527777777777783</v>
      </c>
      <c r="C2537" s="15" t="str">
        <f>"FES1162673606"</f>
        <v>FES1162673606</v>
      </c>
      <c r="D2537" s="15" t="s">
        <v>18</v>
      </c>
      <c r="E2537" s="15" t="s">
        <v>1020</v>
      </c>
      <c r="F2537" s="15" t="str">
        <f>"2170674447 "</f>
        <v xml:space="preserve">2170674447 </v>
      </c>
      <c r="G2537" s="15" t="str">
        <f t="shared" si="76"/>
        <v>ON1</v>
      </c>
      <c r="H2537" s="15" t="s">
        <v>20</v>
      </c>
      <c r="I2537" s="15" t="s">
        <v>561</v>
      </c>
      <c r="J2537" s="15" t="str">
        <f>""</f>
        <v/>
      </c>
      <c r="K2537" s="15" t="str">
        <f>"PFES1162673606_0001"</f>
        <v>PFES1162673606_0001</v>
      </c>
      <c r="L2537" s="15">
        <v>1</v>
      </c>
      <c r="M2537" s="15">
        <v>1</v>
      </c>
    </row>
    <row r="2538" spans="1:13">
      <c r="A2538" s="6">
        <v>43514</v>
      </c>
      <c r="B2538" s="7">
        <v>0.51388888888888895</v>
      </c>
      <c r="C2538" s="15" t="str">
        <f>"FES1162673647"</f>
        <v>FES1162673647</v>
      </c>
      <c r="D2538" s="15" t="s">
        <v>18</v>
      </c>
      <c r="E2538" s="15" t="s">
        <v>1021</v>
      </c>
      <c r="F2538" s="15" t="str">
        <f>"2170674741 "</f>
        <v xml:space="preserve">2170674741 </v>
      </c>
      <c r="G2538" s="15" t="str">
        <f t="shared" si="76"/>
        <v>ON1</v>
      </c>
      <c r="H2538" s="15" t="s">
        <v>20</v>
      </c>
      <c r="I2538" s="15" t="s">
        <v>679</v>
      </c>
      <c r="J2538" s="15" t="str">
        <f>""</f>
        <v/>
      </c>
      <c r="K2538" s="15" t="str">
        <f>"PFES1162673647_0001"</f>
        <v>PFES1162673647_0001</v>
      </c>
      <c r="L2538" s="15">
        <v>1</v>
      </c>
      <c r="M2538" s="15">
        <v>1</v>
      </c>
    </row>
    <row r="2539" spans="1:13">
      <c r="A2539" s="6">
        <v>43514</v>
      </c>
      <c r="B2539" s="7">
        <v>0.5131944444444444</v>
      </c>
      <c r="C2539" s="15" t="str">
        <f>"FES1162673613"</f>
        <v>FES1162673613</v>
      </c>
      <c r="D2539" s="15" t="s">
        <v>18</v>
      </c>
      <c r="E2539" s="15" t="s">
        <v>780</v>
      </c>
      <c r="F2539" s="15" t="str">
        <f>"2170674728 "</f>
        <v xml:space="preserve">2170674728 </v>
      </c>
      <c r="G2539" s="15" t="str">
        <f t="shared" si="76"/>
        <v>ON1</v>
      </c>
      <c r="H2539" s="15" t="s">
        <v>20</v>
      </c>
      <c r="I2539" s="15" t="s">
        <v>781</v>
      </c>
      <c r="J2539" s="15" t="str">
        <f>""</f>
        <v/>
      </c>
      <c r="K2539" s="15" t="str">
        <f>"PFES1162673613_0001"</f>
        <v>PFES1162673613_0001</v>
      </c>
      <c r="L2539" s="15">
        <v>1</v>
      </c>
      <c r="M2539" s="15">
        <v>1</v>
      </c>
    </row>
    <row r="2540" spans="1:13">
      <c r="A2540" s="6">
        <v>43514</v>
      </c>
      <c r="B2540" s="7">
        <v>0.5131944444444444</v>
      </c>
      <c r="C2540" s="15" t="str">
        <f>"FES1162673636"</f>
        <v>FES1162673636</v>
      </c>
      <c r="D2540" s="15" t="s">
        <v>18</v>
      </c>
      <c r="E2540" s="15" t="s">
        <v>1022</v>
      </c>
      <c r="F2540" s="15" t="str">
        <f>"2170674756 "</f>
        <v xml:space="preserve">2170674756 </v>
      </c>
      <c r="G2540" s="15" t="str">
        <f t="shared" si="76"/>
        <v>ON1</v>
      </c>
      <c r="H2540" s="15" t="s">
        <v>20</v>
      </c>
      <c r="I2540" s="15" t="s">
        <v>1023</v>
      </c>
      <c r="J2540" s="15" t="str">
        <f>""</f>
        <v/>
      </c>
      <c r="K2540" s="15" t="str">
        <f>"PFES1162673636_0001"</f>
        <v>PFES1162673636_0001</v>
      </c>
      <c r="L2540" s="15">
        <v>1</v>
      </c>
      <c r="M2540" s="15">
        <v>1</v>
      </c>
    </row>
    <row r="2541" spans="1:13">
      <c r="A2541" s="6">
        <v>43514</v>
      </c>
      <c r="B2541" s="7">
        <v>0.51250000000000007</v>
      </c>
      <c r="C2541" s="15" t="str">
        <f>"FES1162673591"</f>
        <v>FES1162673591</v>
      </c>
      <c r="D2541" s="15" t="s">
        <v>18</v>
      </c>
      <c r="E2541" s="15" t="s">
        <v>1024</v>
      </c>
      <c r="F2541" s="15" t="str">
        <f>"2170671797 "</f>
        <v xml:space="preserve">2170671797 </v>
      </c>
      <c r="G2541" s="15" t="str">
        <f t="shared" si="76"/>
        <v>ON1</v>
      </c>
      <c r="H2541" s="15" t="s">
        <v>20</v>
      </c>
      <c r="I2541" s="15" t="s">
        <v>276</v>
      </c>
      <c r="J2541" s="15" t="str">
        <f>""</f>
        <v/>
      </c>
      <c r="K2541" s="15" t="str">
        <f>"PFES1162673591_0001"</f>
        <v>PFES1162673591_0001</v>
      </c>
      <c r="L2541" s="15">
        <v>1</v>
      </c>
      <c r="M2541" s="15">
        <v>1</v>
      </c>
    </row>
    <row r="2542" spans="1:13">
      <c r="A2542" s="6">
        <v>43514</v>
      </c>
      <c r="B2542" s="7">
        <v>0.51250000000000007</v>
      </c>
      <c r="C2542" s="15" t="str">
        <f>"FES1162673612"</f>
        <v>FES1162673612</v>
      </c>
      <c r="D2542" s="15" t="s">
        <v>18</v>
      </c>
      <c r="E2542" s="15" t="s">
        <v>91</v>
      </c>
      <c r="F2542" s="15" t="str">
        <f>"21706747222 "</f>
        <v xml:space="preserve">21706747222 </v>
      </c>
      <c r="G2542" s="15" t="str">
        <f t="shared" si="76"/>
        <v>ON1</v>
      </c>
      <c r="H2542" s="15" t="s">
        <v>20</v>
      </c>
      <c r="I2542" s="15" t="s">
        <v>53</v>
      </c>
      <c r="J2542" s="15" t="str">
        <f>""</f>
        <v/>
      </c>
      <c r="K2542" s="15" t="str">
        <f>"PFES1162673612_0001"</f>
        <v>PFES1162673612_0001</v>
      </c>
      <c r="L2542" s="15">
        <v>1</v>
      </c>
      <c r="M2542" s="15">
        <v>1</v>
      </c>
    </row>
    <row r="2543" spans="1:13">
      <c r="A2543" s="6">
        <v>43514</v>
      </c>
      <c r="B2543" s="7">
        <v>0.51250000000000007</v>
      </c>
      <c r="C2543" s="15" t="str">
        <f>"FES1162673624"</f>
        <v>FES1162673624</v>
      </c>
      <c r="D2543" s="15" t="s">
        <v>18</v>
      </c>
      <c r="E2543" s="15" t="s">
        <v>537</v>
      </c>
      <c r="F2543" s="15" t="str">
        <f>"2170674746 "</f>
        <v xml:space="preserve">2170674746 </v>
      </c>
      <c r="G2543" s="15" t="str">
        <f t="shared" si="76"/>
        <v>ON1</v>
      </c>
      <c r="H2543" s="15" t="s">
        <v>20</v>
      </c>
      <c r="I2543" s="15" t="s">
        <v>93</v>
      </c>
      <c r="J2543" s="15" t="str">
        <f>""</f>
        <v/>
      </c>
      <c r="K2543" s="15" t="str">
        <f>"PFES1162673624_0001"</f>
        <v>PFES1162673624_0001</v>
      </c>
      <c r="L2543" s="15">
        <v>1</v>
      </c>
      <c r="M2543" s="15">
        <v>1</v>
      </c>
    </row>
    <row r="2544" spans="1:13">
      <c r="A2544" s="6">
        <v>43514</v>
      </c>
      <c r="B2544" s="7">
        <v>0.51180555555555551</v>
      </c>
      <c r="C2544" s="15" t="str">
        <f>"FES1162673625"</f>
        <v>FES1162673625</v>
      </c>
      <c r="D2544" s="15" t="s">
        <v>18</v>
      </c>
      <c r="E2544" s="15" t="s">
        <v>537</v>
      </c>
      <c r="F2544" s="15" t="str">
        <f>"2170674747 "</f>
        <v xml:space="preserve">2170674747 </v>
      </c>
      <c r="G2544" s="15" t="str">
        <f t="shared" si="76"/>
        <v>ON1</v>
      </c>
      <c r="H2544" s="15" t="s">
        <v>20</v>
      </c>
      <c r="I2544" s="15" t="s">
        <v>93</v>
      </c>
      <c r="J2544" s="15" t="str">
        <f>""</f>
        <v/>
      </c>
      <c r="K2544" s="15" t="str">
        <f>"PFES1162673625_0001"</f>
        <v>PFES1162673625_0001</v>
      </c>
      <c r="L2544" s="15">
        <v>1</v>
      </c>
      <c r="M2544" s="15">
        <v>1</v>
      </c>
    </row>
    <row r="2545" spans="1:13">
      <c r="A2545" s="6">
        <v>43514</v>
      </c>
      <c r="B2545" s="7">
        <v>0.51111111111111118</v>
      </c>
      <c r="C2545" s="15" t="str">
        <f>"FES1162673619"</f>
        <v>FES1162673619</v>
      </c>
      <c r="D2545" s="15" t="s">
        <v>18</v>
      </c>
      <c r="E2545" s="15" t="s">
        <v>678</v>
      </c>
      <c r="F2545" s="15" t="str">
        <f>"2170674739 "</f>
        <v xml:space="preserve">2170674739 </v>
      </c>
      <c r="G2545" s="15" t="str">
        <f t="shared" si="76"/>
        <v>ON1</v>
      </c>
      <c r="H2545" s="15" t="s">
        <v>20</v>
      </c>
      <c r="I2545" s="15" t="s">
        <v>679</v>
      </c>
      <c r="J2545" s="15" t="str">
        <f>""</f>
        <v/>
      </c>
      <c r="K2545" s="15" t="str">
        <f>"PFES1162673619_0001"</f>
        <v>PFES1162673619_0001</v>
      </c>
      <c r="L2545" s="15">
        <v>1</v>
      </c>
      <c r="M2545" s="15">
        <v>1</v>
      </c>
    </row>
    <row r="2546" spans="1:13">
      <c r="A2546" s="6">
        <v>43514</v>
      </c>
      <c r="B2546" s="7">
        <v>0.51111111111111118</v>
      </c>
      <c r="C2546" s="15" t="str">
        <f>"FES1162673601"</f>
        <v>FES1162673601</v>
      </c>
      <c r="D2546" s="15" t="s">
        <v>18</v>
      </c>
      <c r="E2546" s="15" t="s">
        <v>502</v>
      </c>
      <c r="F2546" s="15" t="str">
        <f>"2170673453 "</f>
        <v xml:space="preserve">2170673453 </v>
      </c>
      <c r="G2546" s="15" t="str">
        <f t="shared" si="76"/>
        <v>ON1</v>
      </c>
      <c r="H2546" s="15" t="s">
        <v>20</v>
      </c>
      <c r="I2546" s="15" t="s">
        <v>139</v>
      </c>
      <c r="J2546" s="15" t="str">
        <f>""</f>
        <v/>
      </c>
      <c r="K2546" s="15" t="str">
        <f>"PFES1162673601_0001"</f>
        <v>PFES1162673601_0001</v>
      </c>
      <c r="L2546" s="15">
        <v>1</v>
      </c>
      <c r="M2546" s="15">
        <v>1</v>
      </c>
    </row>
    <row r="2547" spans="1:13">
      <c r="A2547" s="6">
        <v>43514</v>
      </c>
      <c r="B2547" s="7">
        <v>0.51111111111111118</v>
      </c>
      <c r="C2547" s="15" t="str">
        <f>"FES1162673603"</f>
        <v>FES1162673603</v>
      </c>
      <c r="D2547" s="15" t="s">
        <v>18</v>
      </c>
      <c r="E2547" s="15" t="s">
        <v>306</v>
      </c>
      <c r="F2547" s="15" t="str">
        <f>"2170674213 "</f>
        <v xml:space="preserve">2170674213 </v>
      </c>
      <c r="G2547" s="15" t="str">
        <f t="shared" si="76"/>
        <v>ON1</v>
      </c>
      <c r="H2547" s="15" t="s">
        <v>20</v>
      </c>
      <c r="I2547" s="15" t="s">
        <v>228</v>
      </c>
      <c r="J2547" s="15" t="str">
        <f>""</f>
        <v/>
      </c>
      <c r="K2547" s="15" t="str">
        <f>"PFES1162673603_0001"</f>
        <v>PFES1162673603_0001</v>
      </c>
      <c r="L2547" s="15">
        <v>1</v>
      </c>
      <c r="M2547" s="15">
        <v>1</v>
      </c>
    </row>
    <row r="2548" spans="1:13">
      <c r="A2548" s="6">
        <v>43514</v>
      </c>
      <c r="B2548" s="7">
        <v>0.51041666666666663</v>
      </c>
      <c r="C2548" s="15" t="str">
        <f>"FES1162673640"</f>
        <v>FES1162673640</v>
      </c>
      <c r="D2548" s="15" t="s">
        <v>18</v>
      </c>
      <c r="E2548" s="15" t="s">
        <v>1025</v>
      </c>
      <c r="F2548" s="15" t="str">
        <f>"2170674761 "</f>
        <v xml:space="preserve">2170674761 </v>
      </c>
      <c r="G2548" s="15" t="str">
        <f t="shared" si="76"/>
        <v>ON1</v>
      </c>
      <c r="H2548" s="15" t="s">
        <v>20</v>
      </c>
      <c r="I2548" s="15" t="s">
        <v>226</v>
      </c>
      <c r="J2548" s="15" t="str">
        <f>""</f>
        <v/>
      </c>
      <c r="K2548" s="15" t="str">
        <f>"PFES1162673640_0001"</f>
        <v>PFES1162673640_0001</v>
      </c>
      <c r="L2548" s="15">
        <v>1</v>
      </c>
      <c r="M2548" s="15">
        <v>1</v>
      </c>
    </row>
    <row r="2549" spans="1:13">
      <c r="A2549" s="6">
        <v>43514</v>
      </c>
      <c r="B2549" s="7">
        <v>0.51041666666666663</v>
      </c>
      <c r="C2549" s="15" t="str">
        <f>"FES1162673627"</f>
        <v>FES1162673627</v>
      </c>
      <c r="D2549" s="15" t="s">
        <v>18</v>
      </c>
      <c r="E2549" s="15" t="s">
        <v>309</v>
      </c>
      <c r="F2549" s="15" t="str">
        <f>"2170674749 "</f>
        <v xml:space="preserve">2170674749 </v>
      </c>
      <c r="G2549" s="15" t="str">
        <f t="shared" si="76"/>
        <v>ON1</v>
      </c>
      <c r="H2549" s="15" t="s">
        <v>20</v>
      </c>
      <c r="I2549" s="15" t="s">
        <v>310</v>
      </c>
      <c r="J2549" s="15" t="str">
        <f>""</f>
        <v/>
      </c>
      <c r="K2549" s="15" t="str">
        <f>"PFES1162673627_0001"</f>
        <v>PFES1162673627_0001</v>
      </c>
      <c r="L2549" s="15">
        <v>1</v>
      </c>
      <c r="M2549" s="15">
        <v>1</v>
      </c>
    </row>
    <row r="2550" spans="1:13">
      <c r="A2550" s="6">
        <v>43514</v>
      </c>
      <c r="B2550" s="7">
        <v>0.50972222222222219</v>
      </c>
      <c r="C2550" s="15" t="str">
        <f>"FES1162673594"</f>
        <v>FES1162673594</v>
      </c>
      <c r="D2550" s="15" t="s">
        <v>18</v>
      </c>
      <c r="E2550" s="15" t="s">
        <v>305</v>
      </c>
      <c r="F2550" s="15" t="str">
        <f>"2170671878 "</f>
        <v xml:space="preserve">2170671878 </v>
      </c>
      <c r="G2550" s="15" t="str">
        <f t="shared" si="76"/>
        <v>ON1</v>
      </c>
      <c r="H2550" s="15" t="s">
        <v>20</v>
      </c>
      <c r="I2550" s="15" t="s">
        <v>197</v>
      </c>
      <c r="J2550" s="15" t="str">
        <f>""</f>
        <v/>
      </c>
      <c r="K2550" s="15" t="str">
        <f>"PFES1162673594_0001"</f>
        <v>PFES1162673594_0001</v>
      </c>
      <c r="L2550" s="15">
        <v>1</v>
      </c>
      <c r="M2550" s="15">
        <v>1</v>
      </c>
    </row>
    <row r="2551" spans="1:13">
      <c r="A2551" s="6">
        <v>43514</v>
      </c>
      <c r="B2551" s="7">
        <v>0.50972222222222219</v>
      </c>
      <c r="C2551" s="15" t="str">
        <f>"FES1162673600"</f>
        <v>FES1162673600</v>
      </c>
      <c r="D2551" s="15" t="s">
        <v>18</v>
      </c>
      <c r="E2551" s="15" t="s">
        <v>328</v>
      </c>
      <c r="F2551" s="15" t="str">
        <f>"2170673280 "</f>
        <v xml:space="preserve">2170673280 </v>
      </c>
      <c r="G2551" s="15" t="str">
        <f t="shared" si="76"/>
        <v>ON1</v>
      </c>
      <c r="H2551" s="15" t="s">
        <v>20</v>
      </c>
      <c r="I2551" s="15" t="s">
        <v>29</v>
      </c>
      <c r="J2551" s="15" t="str">
        <f>""</f>
        <v/>
      </c>
      <c r="K2551" s="15" t="str">
        <f>"PFES1162673600_0001"</f>
        <v>PFES1162673600_0001</v>
      </c>
      <c r="L2551" s="15">
        <v>1</v>
      </c>
      <c r="M2551" s="15">
        <v>1</v>
      </c>
    </row>
    <row r="2552" spans="1:13">
      <c r="A2552" s="6">
        <v>43514</v>
      </c>
      <c r="B2552" s="7">
        <v>0.50972222222222219</v>
      </c>
      <c r="C2552" s="15" t="str">
        <f>"FES1162673614"</f>
        <v>FES1162673614</v>
      </c>
      <c r="D2552" s="15" t="s">
        <v>18</v>
      </c>
      <c r="E2552" s="15" t="s">
        <v>38</v>
      </c>
      <c r="F2552" s="15" t="str">
        <f>"2170674729 "</f>
        <v xml:space="preserve">2170674729 </v>
      </c>
      <c r="G2552" s="15" t="str">
        <f t="shared" si="76"/>
        <v>ON1</v>
      </c>
      <c r="H2552" s="15" t="s">
        <v>20</v>
      </c>
      <c r="I2552" s="15" t="s">
        <v>39</v>
      </c>
      <c r="J2552" s="15" t="str">
        <f>""</f>
        <v/>
      </c>
      <c r="K2552" s="15" t="str">
        <f>"PFES1162673614_0001"</f>
        <v>PFES1162673614_0001</v>
      </c>
      <c r="L2552" s="15">
        <v>1</v>
      </c>
      <c r="M2552" s="15">
        <v>1</v>
      </c>
    </row>
    <row r="2553" spans="1:13">
      <c r="A2553" s="6">
        <v>43514</v>
      </c>
      <c r="B2553" s="7">
        <v>0.50902777777777775</v>
      </c>
      <c r="C2553" s="15" t="str">
        <f>"FES1162673616"</f>
        <v>FES1162673616</v>
      </c>
      <c r="D2553" s="15" t="s">
        <v>18</v>
      </c>
      <c r="E2553" s="15" t="s">
        <v>195</v>
      </c>
      <c r="F2553" s="15" t="str">
        <f>"2170674734 "</f>
        <v xml:space="preserve">2170674734 </v>
      </c>
      <c r="G2553" s="15" t="str">
        <f t="shared" si="76"/>
        <v>ON1</v>
      </c>
      <c r="H2553" s="15" t="s">
        <v>20</v>
      </c>
      <c r="I2553" s="15" t="s">
        <v>96</v>
      </c>
      <c r="J2553" s="15" t="str">
        <f>""</f>
        <v/>
      </c>
      <c r="K2553" s="15" t="str">
        <f>"PFES1162673616_0001"</f>
        <v>PFES1162673616_0001</v>
      </c>
      <c r="L2553" s="15">
        <v>1</v>
      </c>
      <c r="M2553" s="15">
        <v>1</v>
      </c>
    </row>
    <row r="2554" spans="1:13">
      <c r="A2554" s="6">
        <v>43514</v>
      </c>
      <c r="B2554" s="7">
        <v>0.50902777777777775</v>
      </c>
      <c r="C2554" s="15" t="str">
        <f>"FES1162673629"</f>
        <v>FES1162673629</v>
      </c>
      <c r="D2554" s="15" t="s">
        <v>18</v>
      </c>
      <c r="E2554" s="15" t="s">
        <v>526</v>
      </c>
      <c r="F2554" s="15" t="str">
        <f>"2170674753 "</f>
        <v xml:space="preserve">2170674753 </v>
      </c>
      <c r="G2554" s="15" t="str">
        <f t="shared" si="76"/>
        <v>ON1</v>
      </c>
      <c r="H2554" s="15" t="s">
        <v>20</v>
      </c>
      <c r="I2554" s="15" t="s">
        <v>165</v>
      </c>
      <c r="J2554" s="15" t="str">
        <f>""</f>
        <v/>
      </c>
      <c r="K2554" s="15" t="str">
        <f>"PFES1162673629_0001"</f>
        <v>PFES1162673629_0001</v>
      </c>
      <c r="L2554" s="15">
        <v>1</v>
      </c>
      <c r="M2554" s="15">
        <v>1</v>
      </c>
    </row>
    <row r="2555" spans="1:13">
      <c r="A2555" s="6">
        <v>43514</v>
      </c>
      <c r="B2555" s="7">
        <v>0.5083333333333333</v>
      </c>
      <c r="C2555" s="15" t="str">
        <f>"FES1162673615"</f>
        <v>FES1162673615</v>
      </c>
      <c r="D2555" s="15" t="s">
        <v>18</v>
      </c>
      <c r="E2555" s="15" t="s">
        <v>447</v>
      </c>
      <c r="F2555" s="15" t="str">
        <f>"2170674732 "</f>
        <v xml:space="preserve">2170674732 </v>
      </c>
      <c r="G2555" s="15" t="str">
        <f t="shared" si="76"/>
        <v>ON1</v>
      </c>
      <c r="H2555" s="15" t="s">
        <v>20</v>
      </c>
      <c r="I2555" s="15" t="s">
        <v>182</v>
      </c>
      <c r="J2555" s="15" t="str">
        <f>""</f>
        <v/>
      </c>
      <c r="K2555" s="15" t="str">
        <f>"PFES1162673615_0001"</f>
        <v>PFES1162673615_0001</v>
      </c>
      <c r="L2555" s="15">
        <v>1</v>
      </c>
      <c r="M2555" s="15">
        <v>1</v>
      </c>
    </row>
    <row r="2556" spans="1:13">
      <c r="A2556" s="6">
        <v>43514</v>
      </c>
      <c r="B2556" s="7">
        <v>0.5083333333333333</v>
      </c>
      <c r="C2556" s="15" t="str">
        <f>"FES1162673595"</f>
        <v>FES1162673595</v>
      </c>
      <c r="D2556" s="15" t="s">
        <v>18</v>
      </c>
      <c r="E2556" s="15" t="s">
        <v>623</v>
      </c>
      <c r="F2556" s="15" t="str">
        <f>"2170672295 "</f>
        <v xml:space="preserve">2170672295 </v>
      </c>
      <c r="G2556" s="15" t="str">
        <f t="shared" si="76"/>
        <v>ON1</v>
      </c>
      <c r="H2556" s="15" t="s">
        <v>20</v>
      </c>
      <c r="I2556" s="15" t="s">
        <v>429</v>
      </c>
      <c r="J2556" s="15" t="str">
        <f>""</f>
        <v/>
      </c>
      <c r="K2556" s="15" t="str">
        <f>"PFES1162673595_0001"</f>
        <v>PFES1162673595_0001</v>
      </c>
      <c r="L2556" s="15">
        <v>1</v>
      </c>
      <c r="M2556" s="15">
        <v>3</v>
      </c>
    </row>
    <row r="2557" spans="1:13">
      <c r="A2557" s="6">
        <v>43514</v>
      </c>
      <c r="B2557" s="7">
        <v>0.5083333333333333</v>
      </c>
      <c r="C2557" s="15" t="str">
        <f>"FES1162673637"</f>
        <v>FES1162673637</v>
      </c>
      <c r="D2557" s="15" t="s">
        <v>18</v>
      </c>
      <c r="E2557" s="15" t="s">
        <v>120</v>
      </c>
      <c r="F2557" s="15" t="str">
        <f>"2170674757 "</f>
        <v xml:space="preserve">2170674757 </v>
      </c>
      <c r="G2557" s="15" t="str">
        <f t="shared" si="76"/>
        <v>ON1</v>
      </c>
      <c r="H2557" s="15" t="s">
        <v>20</v>
      </c>
      <c r="I2557" s="15" t="s">
        <v>121</v>
      </c>
      <c r="J2557" s="15" t="str">
        <f>""</f>
        <v/>
      </c>
      <c r="K2557" s="15" t="str">
        <f>"PFES1162673637_0001"</f>
        <v>PFES1162673637_0001</v>
      </c>
      <c r="L2557" s="15">
        <v>1</v>
      </c>
      <c r="M2557" s="15">
        <v>1</v>
      </c>
    </row>
    <row r="2558" spans="1:13">
      <c r="A2558" s="6">
        <v>43514</v>
      </c>
      <c r="B2558" s="7">
        <v>0.50763888888888886</v>
      </c>
      <c r="C2558" s="15" t="str">
        <f>"FES1162673628"</f>
        <v>FES1162673628</v>
      </c>
      <c r="D2558" s="15" t="s">
        <v>18</v>
      </c>
      <c r="E2558" s="15" t="s">
        <v>523</v>
      </c>
      <c r="F2558" s="15" t="str">
        <f>"2170674751 "</f>
        <v xml:space="preserve">2170674751 </v>
      </c>
      <c r="G2558" s="15" t="str">
        <f t="shared" si="76"/>
        <v>ON1</v>
      </c>
      <c r="H2558" s="15" t="s">
        <v>20</v>
      </c>
      <c r="I2558" s="15" t="s">
        <v>258</v>
      </c>
      <c r="J2558" s="15" t="str">
        <f>""</f>
        <v/>
      </c>
      <c r="K2558" s="15" t="str">
        <f>"PFES1162673628_0001"</f>
        <v>PFES1162673628_0001</v>
      </c>
      <c r="L2558" s="15">
        <v>1</v>
      </c>
      <c r="M2558" s="15">
        <v>1</v>
      </c>
    </row>
    <row r="2559" spans="1:13">
      <c r="A2559" s="6">
        <v>43514</v>
      </c>
      <c r="B2559" s="7">
        <v>0.50763888888888886</v>
      </c>
      <c r="C2559" s="15" t="str">
        <f>"FES1162673610"</f>
        <v>FES1162673610</v>
      </c>
      <c r="D2559" s="15" t="s">
        <v>18</v>
      </c>
      <c r="E2559" s="15" t="s">
        <v>556</v>
      </c>
      <c r="F2559" s="15" t="str">
        <f>"2170674712 "</f>
        <v xml:space="preserve">2170674712 </v>
      </c>
      <c r="G2559" s="15" t="str">
        <f t="shared" si="76"/>
        <v>ON1</v>
      </c>
      <c r="H2559" s="15" t="s">
        <v>20</v>
      </c>
      <c r="I2559" s="15" t="s">
        <v>435</v>
      </c>
      <c r="J2559" s="15" t="str">
        <f>""</f>
        <v/>
      </c>
      <c r="K2559" s="15" t="str">
        <f>"PFES1162673610_0001"</f>
        <v>PFES1162673610_0001</v>
      </c>
      <c r="L2559" s="15">
        <v>1</v>
      </c>
      <c r="M2559" s="15">
        <v>1</v>
      </c>
    </row>
    <row r="2560" spans="1:13">
      <c r="A2560" s="6">
        <v>43514</v>
      </c>
      <c r="B2560" s="7">
        <v>0.50763888888888886</v>
      </c>
      <c r="C2560" s="15" t="str">
        <f>"FES1162673623"</f>
        <v>FES1162673623</v>
      </c>
      <c r="D2560" s="15" t="s">
        <v>18</v>
      </c>
      <c r="E2560" s="15" t="s">
        <v>178</v>
      </c>
      <c r="F2560" s="15" t="str">
        <f>"2170674745 "</f>
        <v xml:space="preserve">2170674745 </v>
      </c>
      <c r="G2560" s="15" t="str">
        <f t="shared" si="76"/>
        <v>ON1</v>
      </c>
      <c r="H2560" s="15" t="s">
        <v>20</v>
      </c>
      <c r="I2560" s="15" t="s">
        <v>390</v>
      </c>
      <c r="J2560" s="15" t="str">
        <f>""</f>
        <v/>
      </c>
      <c r="K2560" s="15" t="str">
        <f>"PFES1162673623_0001"</f>
        <v>PFES1162673623_0001</v>
      </c>
      <c r="L2560" s="15">
        <v>1</v>
      </c>
      <c r="M2560" s="15">
        <v>1</v>
      </c>
    </row>
    <row r="2561" spans="1:13">
      <c r="A2561" s="6">
        <v>43514</v>
      </c>
      <c r="B2561" s="7">
        <v>0.50763888888888886</v>
      </c>
      <c r="C2561" s="15" t="str">
        <f>"FES1162673593"</f>
        <v>FES1162673593</v>
      </c>
      <c r="D2561" s="15" t="s">
        <v>18</v>
      </c>
      <c r="E2561" s="15" t="s">
        <v>454</v>
      </c>
      <c r="F2561" s="15" t="str">
        <f>"2170671822 "</f>
        <v xml:space="preserve">2170671822 </v>
      </c>
      <c r="G2561" s="15" t="str">
        <f t="shared" si="76"/>
        <v>ON1</v>
      </c>
      <c r="H2561" s="15" t="s">
        <v>20</v>
      </c>
      <c r="I2561" s="15" t="s">
        <v>455</v>
      </c>
      <c r="J2561" s="15" t="str">
        <f>""</f>
        <v/>
      </c>
      <c r="K2561" s="15" t="str">
        <f>"PFES1162673593_0001"</f>
        <v>PFES1162673593_0001</v>
      </c>
      <c r="L2561" s="15">
        <v>2</v>
      </c>
      <c r="M2561" s="15">
        <v>3</v>
      </c>
    </row>
    <row r="2562" spans="1:13">
      <c r="A2562" s="6">
        <v>43514</v>
      </c>
      <c r="B2562" s="7">
        <v>0.50763888888888886</v>
      </c>
      <c r="C2562" s="15" t="str">
        <f>"FES1162673593"</f>
        <v>FES1162673593</v>
      </c>
      <c r="D2562" s="15" t="s">
        <v>18</v>
      </c>
      <c r="E2562" s="15" t="s">
        <v>454</v>
      </c>
      <c r="F2562" s="15" t="str">
        <f>"2170671822 "</f>
        <v xml:space="preserve">2170671822 </v>
      </c>
      <c r="G2562" s="15" t="str">
        <f t="shared" si="76"/>
        <v>ON1</v>
      </c>
      <c r="H2562" s="15" t="s">
        <v>20</v>
      </c>
      <c r="I2562" s="15" t="s">
        <v>455</v>
      </c>
      <c r="J2562" s="15"/>
      <c r="K2562" s="15" t="str">
        <f>"PFES1162673593_0002"</f>
        <v>PFES1162673593_0002</v>
      </c>
      <c r="L2562" s="15">
        <v>2</v>
      </c>
      <c r="M2562" s="15">
        <v>3</v>
      </c>
    </row>
    <row r="2563" spans="1:13">
      <c r="A2563" s="6">
        <v>43514</v>
      </c>
      <c r="B2563" s="7">
        <v>0.50694444444444442</v>
      </c>
      <c r="C2563" s="15" t="str">
        <f>"FES1162673632"</f>
        <v>FES1162673632</v>
      </c>
      <c r="D2563" s="15" t="s">
        <v>18</v>
      </c>
      <c r="E2563" s="15" t="s">
        <v>1026</v>
      </c>
      <c r="F2563" s="15" t="str">
        <f>"2170674705 "</f>
        <v xml:space="preserve">2170674705 </v>
      </c>
      <c r="G2563" s="15" t="str">
        <f t="shared" si="76"/>
        <v>ON1</v>
      </c>
      <c r="H2563" s="15" t="s">
        <v>20</v>
      </c>
      <c r="I2563" s="15" t="s">
        <v>921</v>
      </c>
      <c r="J2563" s="15" t="str">
        <f>""</f>
        <v/>
      </c>
      <c r="K2563" s="15" t="str">
        <f>"PFES1162673632_0001"</f>
        <v>PFES1162673632_0001</v>
      </c>
      <c r="L2563" s="15">
        <v>1</v>
      </c>
      <c r="M2563" s="15">
        <v>1</v>
      </c>
    </row>
    <row r="2564" spans="1:13">
      <c r="A2564" s="6">
        <v>43514</v>
      </c>
      <c r="B2564" s="7">
        <v>0.50624999999999998</v>
      </c>
      <c r="C2564" s="15" t="str">
        <f>"FES1162673599"</f>
        <v>FES1162673599</v>
      </c>
      <c r="D2564" s="15" t="s">
        <v>18</v>
      </c>
      <c r="E2564" s="15" t="s">
        <v>1027</v>
      </c>
      <c r="F2564" s="15" t="str">
        <f>"2170673250 "</f>
        <v xml:space="preserve">2170673250 </v>
      </c>
      <c r="G2564" s="15" t="str">
        <f t="shared" si="76"/>
        <v>ON1</v>
      </c>
      <c r="H2564" s="15" t="s">
        <v>20</v>
      </c>
      <c r="I2564" s="15" t="s">
        <v>130</v>
      </c>
      <c r="J2564" s="15" t="str">
        <f>""</f>
        <v/>
      </c>
      <c r="K2564" s="15" t="str">
        <f>"PFES1162673599_0001"</f>
        <v>PFES1162673599_0001</v>
      </c>
      <c r="L2564" s="15">
        <v>1</v>
      </c>
      <c r="M2564" s="15">
        <v>2</v>
      </c>
    </row>
    <row r="2565" spans="1:13">
      <c r="A2565" s="6">
        <v>43514</v>
      </c>
      <c r="B2565" s="7">
        <v>0.50486111111111109</v>
      </c>
      <c r="C2565" s="15" t="str">
        <f>"FES1162673602"</f>
        <v>FES1162673602</v>
      </c>
      <c r="D2565" s="15" t="s">
        <v>18</v>
      </c>
      <c r="E2565" s="15" t="s">
        <v>47</v>
      </c>
      <c r="F2565" s="15" t="str">
        <f>"2170674078 "</f>
        <v xml:space="preserve">2170674078 </v>
      </c>
      <c r="G2565" s="15" t="str">
        <f t="shared" si="76"/>
        <v>ON1</v>
      </c>
      <c r="H2565" s="15" t="s">
        <v>20</v>
      </c>
      <c r="I2565" s="15" t="s">
        <v>48</v>
      </c>
      <c r="J2565" s="15" t="str">
        <f>""</f>
        <v/>
      </c>
      <c r="K2565" s="15" t="str">
        <f>"PFES1162673602_0001"</f>
        <v>PFES1162673602_0001</v>
      </c>
      <c r="L2565" s="15">
        <v>1</v>
      </c>
      <c r="M2565" s="15">
        <v>2</v>
      </c>
    </row>
    <row r="2566" spans="1:13">
      <c r="A2566" s="6">
        <v>43514</v>
      </c>
      <c r="B2566" s="7">
        <v>0.50416666666666665</v>
      </c>
      <c r="C2566" s="15" t="str">
        <f>"FES1162673590"</f>
        <v>FES1162673590</v>
      </c>
      <c r="D2566" s="15" t="s">
        <v>18</v>
      </c>
      <c r="E2566" s="15" t="s">
        <v>549</v>
      </c>
      <c r="F2566" s="15" t="str">
        <f>"2170671098 "</f>
        <v xml:space="preserve">2170671098 </v>
      </c>
      <c r="G2566" s="15" t="str">
        <f t="shared" si="76"/>
        <v>ON1</v>
      </c>
      <c r="H2566" s="15" t="s">
        <v>20</v>
      </c>
      <c r="I2566" s="15" t="s">
        <v>130</v>
      </c>
      <c r="J2566" s="15" t="str">
        <f>""</f>
        <v/>
      </c>
      <c r="K2566" s="15" t="str">
        <f>"PFES1162673590_0001"</f>
        <v>PFES1162673590_0001</v>
      </c>
      <c r="L2566" s="15">
        <v>1</v>
      </c>
      <c r="M2566" s="15">
        <v>2</v>
      </c>
    </row>
    <row r="2567" spans="1:13">
      <c r="A2567" s="6">
        <v>43514</v>
      </c>
      <c r="B2567" s="7">
        <v>0.50277777777777777</v>
      </c>
      <c r="C2567" s="15" t="str">
        <f>"FES1162673592"</f>
        <v>FES1162673592</v>
      </c>
      <c r="D2567" s="15" t="s">
        <v>18</v>
      </c>
      <c r="E2567" s="15" t="s">
        <v>659</v>
      </c>
      <c r="F2567" s="15" t="str">
        <f>"2170671799 "</f>
        <v xml:space="preserve">2170671799 </v>
      </c>
      <c r="G2567" s="15" t="str">
        <f t="shared" si="76"/>
        <v>ON1</v>
      </c>
      <c r="H2567" s="15" t="s">
        <v>20</v>
      </c>
      <c r="I2567" s="15" t="s">
        <v>660</v>
      </c>
      <c r="J2567" s="15" t="str">
        <f>""</f>
        <v/>
      </c>
      <c r="K2567" s="15" t="str">
        <f>"PFES1162673592_0001"</f>
        <v>PFES1162673592_0001</v>
      </c>
      <c r="L2567" s="15">
        <v>1</v>
      </c>
      <c r="M2567" s="15">
        <v>1</v>
      </c>
    </row>
    <row r="2568" spans="1:13">
      <c r="A2568" s="6">
        <v>43514</v>
      </c>
      <c r="B2568" s="7">
        <v>0.50208333333333333</v>
      </c>
      <c r="C2568" s="15" t="str">
        <f>"FES1162673584"</f>
        <v>FES1162673584</v>
      </c>
      <c r="D2568" s="15" t="s">
        <v>18</v>
      </c>
      <c r="E2568" s="15" t="s">
        <v>202</v>
      </c>
      <c r="F2568" s="15" t="str">
        <f>"2170674717 "</f>
        <v xml:space="preserve">2170674717 </v>
      </c>
      <c r="G2568" s="15" t="str">
        <f t="shared" si="76"/>
        <v>ON1</v>
      </c>
      <c r="H2568" s="15" t="s">
        <v>20</v>
      </c>
      <c r="I2568" s="15" t="s">
        <v>143</v>
      </c>
      <c r="J2568" s="15" t="str">
        <f>""</f>
        <v/>
      </c>
      <c r="K2568" s="15" t="str">
        <f>"PFES1162673584_0001"</f>
        <v>PFES1162673584_0001</v>
      </c>
      <c r="L2568" s="15">
        <v>1</v>
      </c>
      <c r="M2568" s="15">
        <v>1</v>
      </c>
    </row>
    <row r="2569" spans="1:13">
      <c r="A2569" s="6">
        <v>43514</v>
      </c>
      <c r="B2569" s="7">
        <v>0.50208333333333333</v>
      </c>
      <c r="C2569" s="15" t="str">
        <f>"FES1162673673"</f>
        <v>FES1162673673</v>
      </c>
      <c r="D2569" s="15" t="s">
        <v>18</v>
      </c>
      <c r="E2569" s="15" t="s">
        <v>45</v>
      </c>
      <c r="F2569" s="15" t="str">
        <f>"2170674786 "</f>
        <v xml:space="preserve">2170674786 </v>
      </c>
      <c r="G2569" s="15" t="str">
        <f t="shared" si="76"/>
        <v>ON1</v>
      </c>
      <c r="H2569" s="15" t="s">
        <v>20</v>
      </c>
      <c r="I2569" s="15" t="s">
        <v>46</v>
      </c>
      <c r="J2569" s="15" t="str">
        <f>""</f>
        <v/>
      </c>
      <c r="K2569" s="15" t="str">
        <f>"PFES1162673673_0001"</f>
        <v>PFES1162673673_0001</v>
      </c>
      <c r="L2569" s="15">
        <v>1</v>
      </c>
      <c r="M2569" s="15">
        <v>1</v>
      </c>
    </row>
    <row r="2570" spans="1:13">
      <c r="A2570" s="6">
        <v>43514</v>
      </c>
      <c r="B2570" s="7">
        <v>0.50138888888888888</v>
      </c>
      <c r="C2570" s="15" t="str">
        <f>"FES1162673608"</f>
        <v>FES1162673608</v>
      </c>
      <c r="D2570" s="15" t="s">
        <v>18</v>
      </c>
      <c r="E2570" s="15" t="s">
        <v>32</v>
      </c>
      <c r="F2570" s="15" t="str">
        <f>"2170674573 "</f>
        <v xml:space="preserve">2170674573 </v>
      </c>
      <c r="G2570" s="15" t="str">
        <f t="shared" si="76"/>
        <v>ON1</v>
      </c>
      <c r="H2570" s="15" t="s">
        <v>20</v>
      </c>
      <c r="I2570" s="15" t="s">
        <v>33</v>
      </c>
      <c r="J2570" s="15" t="str">
        <f>""</f>
        <v/>
      </c>
      <c r="K2570" s="15" t="str">
        <f>"PFES1162673608_0001"</f>
        <v>PFES1162673608_0001</v>
      </c>
      <c r="L2570" s="15">
        <v>1</v>
      </c>
      <c r="M2570" s="15">
        <v>1</v>
      </c>
    </row>
    <row r="2571" spans="1:13">
      <c r="A2571" s="6">
        <v>43514</v>
      </c>
      <c r="B2571" s="7">
        <v>0.50138888888888888</v>
      </c>
      <c r="C2571" s="15" t="str">
        <f>"FES1162673588"</f>
        <v>FES1162673588</v>
      </c>
      <c r="D2571" s="15" t="s">
        <v>18</v>
      </c>
      <c r="E2571" s="15" t="s">
        <v>765</v>
      </c>
      <c r="F2571" s="15" t="str">
        <f>"2170667871 "</f>
        <v xml:space="preserve">2170667871 </v>
      </c>
      <c r="G2571" s="15" t="str">
        <f t="shared" si="76"/>
        <v>ON1</v>
      </c>
      <c r="H2571" s="15" t="s">
        <v>20</v>
      </c>
      <c r="I2571" s="15" t="s">
        <v>369</v>
      </c>
      <c r="J2571" s="15" t="str">
        <f>""</f>
        <v/>
      </c>
      <c r="K2571" s="15" t="str">
        <f>"PFES1162673588_0001"</f>
        <v>PFES1162673588_0001</v>
      </c>
      <c r="L2571" s="15">
        <v>1</v>
      </c>
      <c r="M2571" s="15">
        <v>6</v>
      </c>
    </row>
    <row r="2572" spans="1:13">
      <c r="A2572" s="6">
        <v>43514</v>
      </c>
      <c r="B2572" s="7">
        <v>0.50138888888888888</v>
      </c>
      <c r="C2572" s="15" t="str">
        <f>"FES1162673679"</f>
        <v>FES1162673679</v>
      </c>
      <c r="D2572" s="15" t="s">
        <v>18</v>
      </c>
      <c r="E2572" s="15" t="s">
        <v>254</v>
      </c>
      <c r="F2572" s="15" t="str">
        <f>"2170674793 "</f>
        <v xml:space="preserve">2170674793 </v>
      </c>
      <c r="G2572" s="15" t="str">
        <f t="shared" si="76"/>
        <v>ON1</v>
      </c>
      <c r="H2572" s="15" t="s">
        <v>20</v>
      </c>
      <c r="I2572" s="15" t="s">
        <v>239</v>
      </c>
      <c r="J2572" s="15" t="str">
        <f>""</f>
        <v/>
      </c>
      <c r="K2572" s="15" t="str">
        <f>"PFES1162673679_0001"</f>
        <v>PFES1162673679_0001</v>
      </c>
      <c r="L2572" s="15">
        <v>1</v>
      </c>
      <c r="M2572" s="15">
        <v>1</v>
      </c>
    </row>
    <row r="2573" spans="1:13">
      <c r="A2573" s="6">
        <v>43514</v>
      </c>
      <c r="B2573" s="7">
        <v>0.50138888888888888</v>
      </c>
      <c r="C2573" s="15" t="str">
        <f>"FES1162673646"</f>
        <v>FES1162673646</v>
      </c>
      <c r="D2573" s="15" t="s">
        <v>18</v>
      </c>
      <c r="E2573" s="15" t="s">
        <v>331</v>
      </c>
      <c r="F2573" s="15" t="str">
        <f>"2170674763 "</f>
        <v xml:space="preserve">2170674763 </v>
      </c>
      <c r="G2573" s="15" t="str">
        <f t="shared" si="76"/>
        <v>ON1</v>
      </c>
      <c r="H2573" s="15" t="s">
        <v>20</v>
      </c>
      <c r="I2573" s="15" t="s">
        <v>43</v>
      </c>
      <c r="J2573" s="15" t="str">
        <f>""</f>
        <v/>
      </c>
      <c r="K2573" s="15" t="str">
        <f>"PFES1162673646_0001"</f>
        <v>PFES1162673646_0001</v>
      </c>
      <c r="L2573" s="15">
        <v>1</v>
      </c>
      <c r="M2573" s="15">
        <v>1</v>
      </c>
    </row>
    <row r="2574" spans="1:13">
      <c r="A2574" s="6">
        <v>43514</v>
      </c>
      <c r="B2574" s="7">
        <v>0.50069444444444444</v>
      </c>
      <c r="C2574" s="15" t="str">
        <f>"FES1162673644"</f>
        <v>FES1162673644</v>
      </c>
      <c r="D2574" s="15" t="s">
        <v>18</v>
      </c>
      <c r="E2574" s="15" t="s">
        <v>305</v>
      </c>
      <c r="F2574" s="15" t="str">
        <f>"2170674451 "</f>
        <v xml:space="preserve">2170674451 </v>
      </c>
      <c r="G2574" s="15" t="str">
        <f t="shared" si="76"/>
        <v>ON1</v>
      </c>
      <c r="H2574" s="15" t="s">
        <v>20</v>
      </c>
      <c r="I2574" s="15" t="s">
        <v>197</v>
      </c>
      <c r="J2574" s="15" t="str">
        <f>""</f>
        <v/>
      </c>
      <c r="K2574" s="15" t="str">
        <f>"PFES1162673644_0001"</f>
        <v>PFES1162673644_0001</v>
      </c>
      <c r="L2574" s="15">
        <v>1</v>
      </c>
      <c r="M2574" s="15">
        <v>1</v>
      </c>
    </row>
    <row r="2575" spans="1:13">
      <c r="A2575" s="6">
        <v>43514</v>
      </c>
      <c r="B2575" s="7">
        <v>0.5</v>
      </c>
      <c r="C2575" s="15" t="str">
        <f>"FES1162673621"</f>
        <v>FES1162673621</v>
      </c>
      <c r="D2575" s="15" t="s">
        <v>18</v>
      </c>
      <c r="E2575" s="15" t="s">
        <v>508</v>
      </c>
      <c r="F2575" s="15" t="str">
        <f>"2170674742 "</f>
        <v xml:space="preserve">2170674742 </v>
      </c>
      <c r="G2575" s="15" t="str">
        <f t="shared" si="76"/>
        <v>ON1</v>
      </c>
      <c r="H2575" s="15" t="s">
        <v>20</v>
      </c>
      <c r="I2575" s="15" t="s">
        <v>509</v>
      </c>
      <c r="J2575" s="15" t="str">
        <f>""</f>
        <v/>
      </c>
      <c r="K2575" s="15" t="str">
        <f>"PFES1162673621_0001"</f>
        <v>PFES1162673621_0001</v>
      </c>
      <c r="L2575" s="15">
        <v>1</v>
      </c>
      <c r="M2575" s="15">
        <v>4</v>
      </c>
    </row>
    <row r="2576" spans="1:13">
      <c r="A2576" s="6">
        <v>43514</v>
      </c>
      <c r="B2576" s="7">
        <v>0.5</v>
      </c>
      <c r="C2576" s="15" t="str">
        <f>"FES1162673605"</f>
        <v>FES1162673605</v>
      </c>
      <c r="D2576" s="15" t="s">
        <v>18</v>
      </c>
      <c r="E2576" s="15" t="s">
        <v>438</v>
      </c>
      <c r="F2576" s="15" t="str">
        <f>"2170674347 "</f>
        <v xml:space="preserve">2170674347 </v>
      </c>
      <c r="G2576" s="15" t="str">
        <f t="shared" si="76"/>
        <v>ON1</v>
      </c>
      <c r="H2576" s="15" t="s">
        <v>20</v>
      </c>
      <c r="I2576" s="15" t="s">
        <v>390</v>
      </c>
      <c r="J2576" s="15" t="str">
        <f>""</f>
        <v/>
      </c>
      <c r="K2576" s="15" t="str">
        <f>"PFES1162673605_0001"</f>
        <v>PFES1162673605_0001</v>
      </c>
      <c r="L2576" s="15">
        <v>1</v>
      </c>
      <c r="M2576" s="15">
        <v>1</v>
      </c>
    </row>
    <row r="2577" spans="1:13">
      <c r="A2577" s="6">
        <v>43514</v>
      </c>
      <c r="B2577" s="7">
        <v>0.5</v>
      </c>
      <c r="C2577" s="15" t="str">
        <f>"FES1162673604"</f>
        <v>FES1162673604</v>
      </c>
      <c r="D2577" s="15" t="s">
        <v>18</v>
      </c>
      <c r="E2577" s="15" t="s">
        <v>470</v>
      </c>
      <c r="F2577" s="15" t="str">
        <f>"2170674256 "</f>
        <v xml:space="preserve">2170674256 </v>
      </c>
      <c r="G2577" s="15" t="str">
        <f t="shared" si="76"/>
        <v>ON1</v>
      </c>
      <c r="H2577" s="15" t="s">
        <v>20</v>
      </c>
      <c r="I2577" s="15" t="s">
        <v>471</v>
      </c>
      <c r="J2577" s="15" t="str">
        <f>""</f>
        <v/>
      </c>
      <c r="K2577" s="15" t="str">
        <f>"PFES1162673604_0001"</f>
        <v>PFES1162673604_0001</v>
      </c>
      <c r="L2577" s="15">
        <v>1</v>
      </c>
      <c r="M2577" s="15">
        <v>1</v>
      </c>
    </row>
    <row r="2578" spans="1:13">
      <c r="A2578" s="6">
        <v>43514</v>
      </c>
      <c r="B2578" s="7">
        <v>0.4993055555555555</v>
      </c>
      <c r="C2578" s="15" t="str">
        <f>"FES1162673589"</f>
        <v>FES1162673589</v>
      </c>
      <c r="D2578" s="15" t="s">
        <v>18</v>
      </c>
      <c r="E2578" s="15" t="s">
        <v>299</v>
      </c>
      <c r="F2578" s="15" t="str">
        <f>"217067668626 "</f>
        <v xml:space="preserve">217067668626 </v>
      </c>
      <c r="G2578" s="15" t="str">
        <f t="shared" si="76"/>
        <v>ON1</v>
      </c>
      <c r="H2578" s="15" t="s">
        <v>20</v>
      </c>
      <c r="I2578" s="15" t="s">
        <v>43</v>
      </c>
      <c r="J2578" s="15" t="str">
        <f>""</f>
        <v/>
      </c>
      <c r="K2578" s="15" t="str">
        <f>"PFES1162673589_0001"</f>
        <v>PFES1162673589_0001</v>
      </c>
      <c r="L2578" s="15">
        <v>1</v>
      </c>
      <c r="M2578" s="15">
        <v>1</v>
      </c>
    </row>
    <row r="2579" spans="1:13">
      <c r="A2579" s="6">
        <v>43514</v>
      </c>
      <c r="B2579" s="7">
        <v>0.4993055555555555</v>
      </c>
      <c r="C2579" s="15" t="str">
        <f>"FES1162673585"</f>
        <v>FES1162673585</v>
      </c>
      <c r="D2579" s="15" t="s">
        <v>18</v>
      </c>
      <c r="E2579" s="15" t="s">
        <v>350</v>
      </c>
      <c r="F2579" s="15" t="str">
        <f>"2170674013 "</f>
        <v xml:space="preserve">2170674013 </v>
      </c>
      <c r="G2579" s="15" t="str">
        <f t="shared" si="76"/>
        <v>ON1</v>
      </c>
      <c r="H2579" s="15" t="s">
        <v>20</v>
      </c>
      <c r="I2579" s="15" t="s">
        <v>351</v>
      </c>
      <c r="J2579" s="15" t="str">
        <f>""</f>
        <v/>
      </c>
      <c r="K2579" s="15" t="str">
        <f>"PFES1162673585_0001"</f>
        <v>PFES1162673585_0001</v>
      </c>
      <c r="L2579" s="15">
        <v>1</v>
      </c>
      <c r="M2579" s="15">
        <v>1</v>
      </c>
    </row>
    <row r="2580" spans="1:13">
      <c r="A2580" s="6">
        <v>43514</v>
      </c>
      <c r="B2580" s="7">
        <v>0.4993055555555555</v>
      </c>
      <c r="C2580" s="15" t="str">
        <f>"FES1162673634"</f>
        <v>FES1162673634</v>
      </c>
      <c r="D2580" s="15" t="s">
        <v>18</v>
      </c>
      <c r="E2580" s="15" t="s">
        <v>1028</v>
      </c>
      <c r="F2580" s="15" t="str">
        <f>"217067475 "</f>
        <v xml:space="preserve">217067475 </v>
      </c>
      <c r="G2580" s="15" t="str">
        <f t="shared" si="76"/>
        <v>ON1</v>
      </c>
      <c r="H2580" s="15" t="s">
        <v>20</v>
      </c>
      <c r="I2580" s="15" t="s">
        <v>153</v>
      </c>
      <c r="J2580" s="15" t="str">
        <f>""</f>
        <v/>
      </c>
      <c r="K2580" s="15" t="str">
        <f>"PFES1162673634_0001"</f>
        <v>PFES1162673634_0001</v>
      </c>
      <c r="L2580" s="15">
        <v>1</v>
      </c>
      <c r="M2580" s="15">
        <v>1</v>
      </c>
    </row>
    <row r="2581" spans="1:13">
      <c r="A2581" s="6">
        <v>43514</v>
      </c>
      <c r="B2581" s="7">
        <v>0.49861111111111112</v>
      </c>
      <c r="C2581" s="15" t="str">
        <f>"FES1162673582"</f>
        <v>FES1162673582</v>
      </c>
      <c r="D2581" s="15" t="s">
        <v>18</v>
      </c>
      <c r="E2581" s="15" t="s">
        <v>551</v>
      </c>
      <c r="F2581" s="15" t="str">
        <f>"2170674714 "</f>
        <v xml:space="preserve">2170674714 </v>
      </c>
      <c r="G2581" s="15" t="str">
        <f t="shared" si="76"/>
        <v>ON1</v>
      </c>
      <c r="H2581" s="15" t="s">
        <v>20</v>
      </c>
      <c r="I2581" s="15" t="s">
        <v>552</v>
      </c>
      <c r="J2581" s="15" t="str">
        <f>""</f>
        <v/>
      </c>
      <c r="K2581" s="15" t="str">
        <f>"PFES1162673582_0001"</f>
        <v>PFES1162673582_0001</v>
      </c>
      <c r="L2581" s="15">
        <v>1</v>
      </c>
      <c r="M2581" s="15">
        <v>5</v>
      </c>
    </row>
    <row r="2582" spans="1:13">
      <c r="A2582" s="6">
        <v>43514</v>
      </c>
      <c r="B2582" s="7">
        <v>0.49861111111111112</v>
      </c>
      <c r="C2582" s="15" t="str">
        <f>"FES1162673598"</f>
        <v>FES1162673598</v>
      </c>
      <c r="D2582" s="15" t="s">
        <v>18</v>
      </c>
      <c r="E2582" s="15" t="s">
        <v>620</v>
      </c>
      <c r="F2582" s="15" t="str">
        <f>"2170673210 "</f>
        <v xml:space="preserve">2170673210 </v>
      </c>
      <c r="G2582" s="15" t="str">
        <f t="shared" si="76"/>
        <v>ON1</v>
      </c>
      <c r="H2582" s="15" t="s">
        <v>20</v>
      </c>
      <c r="I2582" s="15" t="s">
        <v>573</v>
      </c>
      <c r="J2582" s="15" t="str">
        <f>""</f>
        <v/>
      </c>
      <c r="K2582" s="15" t="str">
        <f>"PFES1162673598_0001"</f>
        <v>PFES1162673598_0001</v>
      </c>
      <c r="L2582" s="15">
        <v>1</v>
      </c>
      <c r="M2582" s="15">
        <v>1</v>
      </c>
    </row>
    <row r="2583" spans="1:13">
      <c r="A2583" s="6">
        <v>43514</v>
      </c>
      <c r="B2583" s="7">
        <v>0.49861111111111112</v>
      </c>
      <c r="C2583" s="15" t="str">
        <f>"FES1162673622"</f>
        <v>FES1162673622</v>
      </c>
      <c r="D2583" s="15" t="s">
        <v>18</v>
      </c>
      <c r="E2583" s="15" t="s">
        <v>1029</v>
      </c>
      <c r="F2583" s="15" t="str">
        <f>"2170674743 "</f>
        <v xml:space="preserve">2170674743 </v>
      </c>
      <c r="G2583" s="15" t="str">
        <f t="shared" si="76"/>
        <v>ON1</v>
      </c>
      <c r="H2583" s="15" t="s">
        <v>20</v>
      </c>
      <c r="I2583" s="15" t="s">
        <v>708</v>
      </c>
      <c r="J2583" s="15" t="str">
        <f>""</f>
        <v/>
      </c>
      <c r="K2583" s="15" t="str">
        <f>"PFES1162673622_0001"</f>
        <v>PFES1162673622_0001</v>
      </c>
      <c r="L2583" s="15">
        <v>1</v>
      </c>
      <c r="M2583" s="15">
        <v>1</v>
      </c>
    </row>
    <row r="2584" spans="1:13">
      <c r="A2584" s="6">
        <v>43514</v>
      </c>
      <c r="B2584" s="7">
        <v>0.49722222222222223</v>
      </c>
      <c r="C2584" s="15" t="str">
        <f>"FES1162673642"</f>
        <v>FES1162673642</v>
      </c>
      <c r="D2584" s="15" t="s">
        <v>18</v>
      </c>
      <c r="E2584" s="15" t="s">
        <v>214</v>
      </c>
      <c r="F2584" s="15" t="str">
        <f>"2170674537 "</f>
        <v xml:space="preserve">2170674537 </v>
      </c>
      <c r="G2584" s="15" t="str">
        <f t="shared" si="76"/>
        <v>ON1</v>
      </c>
      <c r="H2584" s="15" t="s">
        <v>20</v>
      </c>
      <c r="I2584" s="15" t="s">
        <v>215</v>
      </c>
      <c r="J2584" s="15" t="str">
        <f>""</f>
        <v/>
      </c>
      <c r="K2584" s="15" t="str">
        <f>"PFES1162673642_0001"</f>
        <v>PFES1162673642_0001</v>
      </c>
      <c r="L2584" s="15">
        <v>1</v>
      </c>
      <c r="M2584" s="15">
        <v>3</v>
      </c>
    </row>
    <row r="2585" spans="1:13">
      <c r="A2585" s="6">
        <v>43514</v>
      </c>
      <c r="B2585" s="7">
        <v>0.49652777777777773</v>
      </c>
      <c r="C2585" s="15" t="str">
        <f>"FES1162673583"</f>
        <v>FES1162673583</v>
      </c>
      <c r="D2585" s="15" t="s">
        <v>18</v>
      </c>
      <c r="E2585" s="15" t="s">
        <v>323</v>
      </c>
      <c r="F2585" s="15" t="str">
        <f>"2170674715 "</f>
        <v xml:space="preserve">2170674715 </v>
      </c>
      <c r="G2585" s="15" t="str">
        <f t="shared" si="76"/>
        <v>ON1</v>
      </c>
      <c r="H2585" s="15" t="s">
        <v>20</v>
      </c>
      <c r="I2585" s="15" t="s">
        <v>324</v>
      </c>
      <c r="J2585" s="15" t="str">
        <f>""</f>
        <v/>
      </c>
      <c r="K2585" s="15" t="str">
        <f>"PFES1162673583_0001"</f>
        <v>PFES1162673583_0001</v>
      </c>
      <c r="L2585" s="15">
        <v>1</v>
      </c>
      <c r="M2585" s="15">
        <v>1</v>
      </c>
    </row>
    <row r="2586" spans="1:13">
      <c r="A2586" s="6">
        <v>43514</v>
      </c>
      <c r="B2586" s="7">
        <v>0.49513888888888885</v>
      </c>
      <c r="C2586" s="15" t="str">
        <f>"FES1162673611"</f>
        <v>FES1162673611</v>
      </c>
      <c r="D2586" s="15" t="s">
        <v>18</v>
      </c>
      <c r="E2586" s="15" t="s">
        <v>350</v>
      </c>
      <c r="F2586" s="15" t="str">
        <f>"2170674720 "</f>
        <v xml:space="preserve">2170674720 </v>
      </c>
      <c r="G2586" s="15" t="str">
        <f t="shared" si="76"/>
        <v>ON1</v>
      </c>
      <c r="H2586" s="15" t="s">
        <v>20</v>
      </c>
      <c r="I2586" s="15" t="s">
        <v>351</v>
      </c>
      <c r="J2586" s="15" t="str">
        <f>""</f>
        <v/>
      </c>
      <c r="K2586" s="15" t="str">
        <f>"PFES1162673611_0001"</f>
        <v>PFES1162673611_0001</v>
      </c>
      <c r="L2586" s="15">
        <v>1</v>
      </c>
      <c r="M2586" s="15">
        <v>1</v>
      </c>
    </row>
    <row r="2587" spans="1:13">
      <c r="A2587" s="6">
        <v>43514</v>
      </c>
      <c r="B2587" s="7">
        <v>0.49444444444444446</v>
      </c>
      <c r="C2587" s="15" t="str">
        <f>"FES1162673639"</f>
        <v>FES1162673639</v>
      </c>
      <c r="D2587" s="15" t="s">
        <v>18</v>
      </c>
      <c r="E2587" s="15" t="s">
        <v>955</v>
      </c>
      <c r="F2587" s="15" t="str">
        <f>"2170674760 "</f>
        <v xml:space="preserve">2170674760 </v>
      </c>
      <c r="G2587" s="15" t="str">
        <f t="shared" si="76"/>
        <v>ON1</v>
      </c>
      <c r="H2587" s="15" t="s">
        <v>20</v>
      </c>
      <c r="I2587" s="15" t="s">
        <v>810</v>
      </c>
      <c r="J2587" s="15" t="str">
        <f>""</f>
        <v/>
      </c>
      <c r="K2587" s="15" t="str">
        <f>"PFES1162673639_0001"</f>
        <v>PFES1162673639_0001</v>
      </c>
      <c r="L2587" s="15">
        <v>1</v>
      </c>
      <c r="M2587" s="15">
        <v>3</v>
      </c>
    </row>
    <row r="2588" spans="1:13">
      <c r="A2588" s="6">
        <v>43514</v>
      </c>
      <c r="B2588" s="7">
        <v>0.49236111111111108</v>
      </c>
      <c r="C2588" s="15" t="str">
        <f>"FES1162673665"</f>
        <v>FES1162673665</v>
      </c>
      <c r="D2588" s="15" t="s">
        <v>18</v>
      </c>
      <c r="E2588" s="15" t="s">
        <v>1030</v>
      </c>
      <c r="F2588" s="15" t="str">
        <f>"2170674668 "</f>
        <v xml:space="preserve">2170674668 </v>
      </c>
      <c r="G2588" s="15" t="str">
        <f t="shared" si="76"/>
        <v>ON1</v>
      </c>
      <c r="H2588" s="15" t="s">
        <v>20</v>
      </c>
      <c r="I2588" s="15" t="s">
        <v>324</v>
      </c>
      <c r="J2588" s="15" t="str">
        <f>""</f>
        <v/>
      </c>
      <c r="K2588" s="15" t="str">
        <f>"PFES1162673665_0001"</f>
        <v>PFES1162673665_0001</v>
      </c>
      <c r="L2588" s="15">
        <v>1</v>
      </c>
      <c r="M2588" s="15">
        <v>6</v>
      </c>
    </row>
    <row r="2589" spans="1:13">
      <c r="A2589" s="6">
        <v>43515</v>
      </c>
      <c r="B2589" s="7">
        <v>0.68541666666666667</v>
      </c>
      <c r="C2589" s="16" t="str">
        <f>"FES1162673946"</f>
        <v>FES1162673946</v>
      </c>
      <c r="D2589" s="16" t="s">
        <v>18</v>
      </c>
      <c r="E2589" s="16" t="s">
        <v>664</v>
      </c>
      <c r="F2589" s="16" t="str">
        <f>"2170673057 "</f>
        <v xml:space="preserve">2170673057 </v>
      </c>
      <c r="G2589" s="16" t="str">
        <f t="shared" si="76"/>
        <v>ON1</v>
      </c>
      <c r="H2589" s="16" t="s">
        <v>20</v>
      </c>
      <c r="I2589" s="16" t="s">
        <v>89</v>
      </c>
      <c r="J2589" s="16" t="str">
        <f>""</f>
        <v/>
      </c>
      <c r="K2589" s="16" t="str">
        <f>"PFES1162673946_0001"</f>
        <v>PFES1162673946_0001</v>
      </c>
      <c r="L2589" s="16">
        <v>1</v>
      </c>
      <c r="M2589" s="16">
        <v>5</v>
      </c>
    </row>
    <row r="2590" spans="1:13">
      <c r="A2590" s="6">
        <v>43515</v>
      </c>
      <c r="B2590" s="7">
        <v>0.68402777777777779</v>
      </c>
      <c r="C2590" s="16" t="str">
        <f>"FES1162674137"</f>
        <v>FES1162674137</v>
      </c>
      <c r="D2590" s="16" t="s">
        <v>18</v>
      </c>
      <c r="E2590" s="16" t="s">
        <v>857</v>
      </c>
      <c r="F2590" s="16" t="str">
        <f>"2170675220 "</f>
        <v xml:space="preserve">2170675220 </v>
      </c>
      <c r="G2590" s="16" t="str">
        <f t="shared" si="76"/>
        <v>ON1</v>
      </c>
      <c r="H2590" s="16" t="s">
        <v>20</v>
      </c>
      <c r="I2590" s="16" t="s">
        <v>353</v>
      </c>
      <c r="J2590" s="16" t="str">
        <f>""</f>
        <v/>
      </c>
      <c r="K2590" s="16" t="str">
        <f>"PFES1162674137_0001"</f>
        <v>PFES1162674137_0001</v>
      </c>
      <c r="L2590" s="16">
        <v>1</v>
      </c>
      <c r="M2590" s="16">
        <v>1</v>
      </c>
    </row>
    <row r="2591" spans="1:13">
      <c r="A2591" s="6">
        <v>43515</v>
      </c>
      <c r="B2591" s="7">
        <v>0.68402777777777779</v>
      </c>
      <c r="C2591" s="16" t="str">
        <f>"FES1162674135"</f>
        <v>FES1162674135</v>
      </c>
      <c r="D2591" s="16" t="s">
        <v>18</v>
      </c>
      <c r="E2591" s="16" t="s">
        <v>200</v>
      </c>
      <c r="F2591" s="16" t="str">
        <f>"217065216 "</f>
        <v xml:space="preserve">217065216 </v>
      </c>
      <c r="G2591" s="16" t="str">
        <f t="shared" si="76"/>
        <v>ON1</v>
      </c>
      <c r="H2591" s="16" t="s">
        <v>20</v>
      </c>
      <c r="I2591" s="16" t="s">
        <v>201</v>
      </c>
      <c r="J2591" s="16" t="str">
        <f>""</f>
        <v/>
      </c>
      <c r="K2591" s="16" t="str">
        <f>"PFES1162674135_0001"</f>
        <v>PFES1162674135_0001</v>
      </c>
      <c r="L2591" s="16">
        <v>1</v>
      </c>
      <c r="M2591" s="16">
        <v>1</v>
      </c>
    </row>
    <row r="2592" spans="1:13">
      <c r="A2592" s="6">
        <v>43515</v>
      </c>
      <c r="B2592" s="7">
        <v>0.68333333333333324</v>
      </c>
      <c r="C2592" s="16" t="str">
        <f>"FES1162674139"</f>
        <v>FES1162674139</v>
      </c>
      <c r="D2592" s="16" t="s">
        <v>18</v>
      </c>
      <c r="E2592" s="16" t="s">
        <v>269</v>
      </c>
      <c r="F2592" s="16" t="str">
        <f>"2170675222 "</f>
        <v xml:space="preserve">2170675222 </v>
      </c>
      <c r="G2592" s="16" t="str">
        <f t="shared" si="76"/>
        <v>ON1</v>
      </c>
      <c r="H2592" s="16" t="s">
        <v>20</v>
      </c>
      <c r="I2592" s="16" t="s">
        <v>270</v>
      </c>
      <c r="J2592" s="16" t="str">
        <f>""</f>
        <v/>
      </c>
      <c r="K2592" s="16" t="str">
        <f>"PFES1162674139_0001"</f>
        <v>PFES1162674139_0001</v>
      </c>
      <c r="L2592" s="16">
        <v>1</v>
      </c>
      <c r="M2592" s="16">
        <v>1</v>
      </c>
    </row>
    <row r="2593" spans="1:13">
      <c r="A2593" s="6">
        <v>43515</v>
      </c>
      <c r="B2593" s="7">
        <v>0.68333333333333324</v>
      </c>
      <c r="C2593" s="16" t="str">
        <f>"FES1162674129"</f>
        <v>FES1162674129</v>
      </c>
      <c r="D2593" s="16" t="s">
        <v>18</v>
      </c>
      <c r="E2593" s="16" t="s">
        <v>325</v>
      </c>
      <c r="F2593" s="16" t="str">
        <f>"2170675217 "</f>
        <v xml:space="preserve">2170675217 </v>
      </c>
      <c r="G2593" s="16" t="str">
        <f t="shared" si="76"/>
        <v>ON1</v>
      </c>
      <c r="H2593" s="16" t="s">
        <v>20</v>
      </c>
      <c r="I2593" s="16" t="s">
        <v>326</v>
      </c>
      <c r="J2593" s="16" t="str">
        <f>""</f>
        <v/>
      </c>
      <c r="K2593" s="16" t="str">
        <f>"PFES1162674129_0001"</f>
        <v>PFES1162674129_0001</v>
      </c>
      <c r="L2593" s="16">
        <v>1</v>
      </c>
      <c r="M2593" s="16">
        <v>7</v>
      </c>
    </row>
    <row r="2594" spans="1:13">
      <c r="A2594" s="6">
        <v>43515</v>
      </c>
      <c r="B2594" s="7">
        <v>0.68263888888888891</v>
      </c>
      <c r="C2594" s="16" t="str">
        <f>"FES1162674082"</f>
        <v>FES1162674082</v>
      </c>
      <c r="D2594" s="16" t="s">
        <v>18</v>
      </c>
      <c r="E2594" s="16" t="s">
        <v>438</v>
      </c>
      <c r="F2594" s="16" t="str">
        <f>"2170672867 "</f>
        <v xml:space="preserve">2170672867 </v>
      </c>
      <c r="G2594" s="16" t="str">
        <f t="shared" si="76"/>
        <v>ON1</v>
      </c>
      <c r="H2594" s="16" t="s">
        <v>20</v>
      </c>
      <c r="I2594" s="16" t="s">
        <v>390</v>
      </c>
      <c r="J2594" s="16" t="str">
        <f>""</f>
        <v/>
      </c>
      <c r="K2594" s="16" t="str">
        <f>"PFES1162674082_0001"</f>
        <v>PFES1162674082_0001</v>
      </c>
      <c r="L2594" s="16">
        <v>1</v>
      </c>
      <c r="M2594" s="16">
        <v>10</v>
      </c>
    </row>
    <row r="2595" spans="1:13">
      <c r="A2595" s="6">
        <v>43515</v>
      </c>
      <c r="B2595" s="7">
        <v>0.68263888888888891</v>
      </c>
      <c r="C2595" s="16" t="str">
        <f>"FES1162674094"</f>
        <v>FES1162674094</v>
      </c>
      <c r="D2595" s="16" t="s">
        <v>18</v>
      </c>
      <c r="E2595" s="16" t="s">
        <v>1029</v>
      </c>
      <c r="F2595" s="16" t="str">
        <f>"2170675179 "</f>
        <v xml:space="preserve">2170675179 </v>
      </c>
      <c r="G2595" s="16" t="str">
        <f t="shared" si="76"/>
        <v>ON1</v>
      </c>
      <c r="H2595" s="16" t="s">
        <v>20</v>
      </c>
      <c r="I2595" s="16" t="s">
        <v>708</v>
      </c>
      <c r="J2595" s="16" t="str">
        <f>""</f>
        <v/>
      </c>
      <c r="K2595" s="16" t="str">
        <f>"PFES1162674094_0001"</f>
        <v>PFES1162674094_0001</v>
      </c>
      <c r="L2595" s="16">
        <v>1</v>
      </c>
      <c r="M2595" s="16">
        <v>16</v>
      </c>
    </row>
    <row r="2596" spans="1:13">
      <c r="A2596" s="6">
        <v>43515</v>
      </c>
      <c r="B2596" s="7">
        <v>0.68194444444444446</v>
      </c>
      <c r="C2596" s="16" t="str">
        <f>"FES1162674110"</f>
        <v>FES1162674110</v>
      </c>
      <c r="D2596" s="16" t="s">
        <v>18</v>
      </c>
      <c r="E2596" s="16" t="s">
        <v>350</v>
      </c>
      <c r="F2596" s="16" t="str">
        <f>"2170674013 "</f>
        <v xml:space="preserve">2170674013 </v>
      </c>
      <c r="G2596" s="16" t="str">
        <f t="shared" si="76"/>
        <v>ON1</v>
      </c>
      <c r="H2596" s="16" t="s">
        <v>20</v>
      </c>
      <c r="I2596" s="16" t="s">
        <v>351</v>
      </c>
      <c r="J2596" s="16" t="str">
        <f>""</f>
        <v/>
      </c>
      <c r="K2596" s="16" t="str">
        <f>"PFES1162674110_0001"</f>
        <v>PFES1162674110_0001</v>
      </c>
      <c r="L2596" s="16">
        <v>1</v>
      </c>
      <c r="M2596" s="16">
        <v>2</v>
      </c>
    </row>
    <row r="2597" spans="1:13">
      <c r="A2597" s="6">
        <v>43515</v>
      </c>
      <c r="B2597" s="7">
        <v>0.68194444444444446</v>
      </c>
      <c r="C2597" s="16" t="str">
        <f>"FES1162674085"</f>
        <v>FES1162674085</v>
      </c>
      <c r="D2597" s="16" t="s">
        <v>18</v>
      </c>
      <c r="E2597" s="16" t="s">
        <v>1031</v>
      </c>
      <c r="F2597" s="16" t="str">
        <f>"2170678172 "</f>
        <v xml:space="preserve">2170678172 </v>
      </c>
      <c r="G2597" s="16" t="str">
        <f t="shared" si="76"/>
        <v>ON1</v>
      </c>
      <c r="H2597" s="16" t="s">
        <v>20</v>
      </c>
      <c r="I2597" s="16" t="s">
        <v>390</v>
      </c>
      <c r="J2597" s="16" t="str">
        <f>""</f>
        <v/>
      </c>
      <c r="K2597" s="16" t="str">
        <f>"PFES1162674085_0001"</f>
        <v>PFES1162674085_0001</v>
      </c>
      <c r="L2597" s="16">
        <v>1</v>
      </c>
      <c r="M2597" s="16">
        <v>3</v>
      </c>
    </row>
    <row r="2598" spans="1:13">
      <c r="A2598" s="6">
        <v>43515</v>
      </c>
      <c r="B2598" s="7">
        <v>0.68194444444444446</v>
      </c>
      <c r="C2598" s="16" t="str">
        <f>"FES1162674128"</f>
        <v>FES1162674128</v>
      </c>
      <c r="D2598" s="16" t="s">
        <v>18</v>
      </c>
      <c r="E2598" s="16" t="s">
        <v>316</v>
      </c>
      <c r="F2598" s="16" t="str">
        <f>"2170675210 "</f>
        <v xml:space="preserve">2170675210 </v>
      </c>
      <c r="G2598" s="16" t="str">
        <f t="shared" ref="G2598:G2661" si="77">"ON1"</f>
        <v>ON1</v>
      </c>
      <c r="H2598" s="16" t="s">
        <v>20</v>
      </c>
      <c r="I2598" s="16" t="s">
        <v>272</v>
      </c>
      <c r="J2598" s="16" t="str">
        <f>""</f>
        <v/>
      </c>
      <c r="K2598" s="16" t="str">
        <f>"PFES1162674128_0001"</f>
        <v>PFES1162674128_0001</v>
      </c>
      <c r="L2598" s="16">
        <v>1</v>
      </c>
      <c r="M2598" s="16">
        <v>2</v>
      </c>
    </row>
    <row r="2599" spans="1:13">
      <c r="A2599" s="6">
        <v>43515</v>
      </c>
      <c r="B2599" s="7">
        <v>0.68125000000000002</v>
      </c>
      <c r="C2599" s="16" t="str">
        <f>"FES1162674133"</f>
        <v>FES1162674133</v>
      </c>
      <c r="D2599" s="16" t="s">
        <v>18</v>
      </c>
      <c r="E2599" s="16" t="s">
        <v>129</v>
      </c>
      <c r="F2599" s="16" t="str">
        <f>"2170675215 "</f>
        <v xml:space="preserve">2170675215 </v>
      </c>
      <c r="G2599" s="16" t="str">
        <f t="shared" si="77"/>
        <v>ON1</v>
      </c>
      <c r="H2599" s="16" t="s">
        <v>20</v>
      </c>
      <c r="I2599" s="16" t="s">
        <v>130</v>
      </c>
      <c r="J2599" s="16" t="str">
        <f>""</f>
        <v/>
      </c>
      <c r="K2599" s="16" t="str">
        <f>"PFES1162674133_0001"</f>
        <v>PFES1162674133_0001</v>
      </c>
      <c r="L2599" s="16">
        <v>1</v>
      </c>
      <c r="M2599" s="16">
        <v>16</v>
      </c>
    </row>
    <row r="2600" spans="1:13">
      <c r="A2600" s="6">
        <v>43515</v>
      </c>
      <c r="B2600" s="7">
        <v>0.68125000000000002</v>
      </c>
      <c r="C2600" s="16" t="str">
        <f>"FES1162674120"</f>
        <v>FES1162674120</v>
      </c>
      <c r="D2600" s="16" t="s">
        <v>18</v>
      </c>
      <c r="E2600" s="16" t="s">
        <v>293</v>
      </c>
      <c r="F2600" s="16" t="str">
        <f>"2170674514 "</f>
        <v xml:space="preserve">2170674514 </v>
      </c>
      <c r="G2600" s="16" t="str">
        <f t="shared" si="77"/>
        <v>ON1</v>
      </c>
      <c r="H2600" s="16" t="s">
        <v>20</v>
      </c>
      <c r="I2600" s="16" t="s">
        <v>327</v>
      </c>
      <c r="J2600" s="16" t="str">
        <f>""</f>
        <v/>
      </c>
      <c r="K2600" s="16" t="str">
        <f>"PFES1162674120_0001"</f>
        <v>PFES1162674120_0001</v>
      </c>
      <c r="L2600" s="16">
        <v>1</v>
      </c>
      <c r="M2600" s="16">
        <v>9</v>
      </c>
    </row>
    <row r="2601" spans="1:13">
      <c r="A2601" s="6">
        <v>43515</v>
      </c>
      <c r="B2601" s="7">
        <v>0.68055555555555547</v>
      </c>
      <c r="C2601" s="16" t="str">
        <f>"FES1162674113"</f>
        <v>FES1162674113</v>
      </c>
      <c r="D2601" s="16" t="s">
        <v>18</v>
      </c>
      <c r="E2601" s="16" t="s">
        <v>446</v>
      </c>
      <c r="F2601" s="16" t="str">
        <f>"2170675291 "</f>
        <v xml:space="preserve">2170675291 </v>
      </c>
      <c r="G2601" s="16" t="str">
        <f t="shared" si="77"/>
        <v>ON1</v>
      </c>
      <c r="H2601" s="16" t="s">
        <v>20</v>
      </c>
      <c r="I2601" s="16" t="s">
        <v>294</v>
      </c>
      <c r="J2601" s="16" t="str">
        <f>""</f>
        <v/>
      </c>
      <c r="K2601" s="16" t="str">
        <f>"PFES1162674113_0001"</f>
        <v>PFES1162674113_0001</v>
      </c>
      <c r="L2601" s="16">
        <v>1</v>
      </c>
      <c r="M2601" s="16">
        <v>3</v>
      </c>
    </row>
    <row r="2602" spans="1:13">
      <c r="A2602" s="6">
        <v>43515</v>
      </c>
      <c r="B2602" s="7">
        <v>0.68055555555555547</v>
      </c>
      <c r="C2602" s="16" t="str">
        <f>"FES1162674126"</f>
        <v>FES1162674126</v>
      </c>
      <c r="D2602" s="16" t="s">
        <v>18</v>
      </c>
      <c r="E2602" s="16" t="s">
        <v>1032</v>
      </c>
      <c r="F2602" s="16" t="str">
        <f>"2170674973 "</f>
        <v xml:space="preserve">2170674973 </v>
      </c>
      <c r="G2602" s="16" t="str">
        <f t="shared" si="77"/>
        <v>ON1</v>
      </c>
      <c r="H2602" s="16" t="s">
        <v>20</v>
      </c>
      <c r="I2602" s="16" t="s">
        <v>327</v>
      </c>
      <c r="J2602" s="16" t="str">
        <f>""</f>
        <v/>
      </c>
      <c r="K2602" s="16" t="str">
        <f>"PFES1162674126_0001"</f>
        <v>PFES1162674126_0001</v>
      </c>
      <c r="L2602" s="16">
        <v>1</v>
      </c>
      <c r="M2602" s="16">
        <v>17</v>
      </c>
    </row>
    <row r="2603" spans="1:13">
      <c r="A2603" s="6">
        <v>43515</v>
      </c>
      <c r="B2603" s="7">
        <v>0.67986111111111114</v>
      </c>
      <c r="C2603" s="16" t="str">
        <f>"FES1162674138"</f>
        <v>FES1162674138</v>
      </c>
      <c r="D2603" s="16" t="s">
        <v>18</v>
      </c>
      <c r="E2603" s="16" t="s">
        <v>1033</v>
      </c>
      <c r="F2603" s="16" t="str">
        <f>"2170675221 "</f>
        <v xml:space="preserve">2170675221 </v>
      </c>
      <c r="G2603" s="16" t="str">
        <f t="shared" si="77"/>
        <v>ON1</v>
      </c>
      <c r="H2603" s="16" t="s">
        <v>20</v>
      </c>
      <c r="I2603" s="16" t="s">
        <v>1034</v>
      </c>
      <c r="J2603" s="16" t="str">
        <f>""</f>
        <v/>
      </c>
      <c r="K2603" s="16" t="str">
        <f>"PFES1162674138_0001"</f>
        <v>PFES1162674138_0001</v>
      </c>
      <c r="L2603" s="16">
        <v>1</v>
      </c>
      <c r="M2603" s="16">
        <v>1</v>
      </c>
    </row>
    <row r="2604" spans="1:13">
      <c r="A2604" s="6">
        <v>43515</v>
      </c>
      <c r="B2604" s="7">
        <v>0.67986111111111114</v>
      </c>
      <c r="C2604" s="16" t="str">
        <f>"FES1162674136"</f>
        <v>FES1162674136</v>
      </c>
      <c r="D2604" s="16" t="s">
        <v>18</v>
      </c>
      <c r="E2604" s="16" t="s">
        <v>253</v>
      </c>
      <c r="F2604" s="16" t="str">
        <f>"2170675217 "</f>
        <v xml:space="preserve">2170675217 </v>
      </c>
      <c r="G2604" s="16" t="str">
        <f t="shared" si="77"/>
        <v>ON1</v>
      </c>
      <c r="H2604" s="16" t="s">
        <v>20</v>
      </c>
      <c r="I2604" s="16" t="s">
        <v>226</v>
      </c>
      <c r="J2604" s="16" t="str">
        <f>""</f>
        <v/>
      </c>
      <c r="K2604" s="16" t="str">
        <f>"PFES1162674136_0001"</f>
        <v>PFES1162674136_0001</v>
      </c>
      <c r="L2604" s="16">
        <v>1</v>
      </c>
      <c r="M2604" s="16">
        <v>1</v>
      </c>
    </row>
    <row r="2605" spans="1:13">
      <c r="A2605" s="6">
        <v>43515</v>
      </c>
      <c r="B2605" s="7">
        <v>0.6791666666666667</v>
      </c>
      <c r="C2605" s="16" t="str">
        <f>"FES1162674117"</f>
        <v>FES1162674117</v>
      </c>
      <c r="D2605" s="16" t="s">
        <v>18</v>
      </c>
      <c r="E2605" s="16" t="s">
        <v>680</v>
      </c>
      <c r="F2605" s="16" t="str">
        <f>"2170678519 "</f>
        <v xml:space="preserve">2170678519 </v>
      </c>
      <c r="G2605" s="16" t="str">
        <f t="shared" si="77"/>
        <v>ON1</v>
      </c>
      <c r="H2605" s="16" t="s">
        <v>20</v>
      </c>
      <c r="I2605" s="16" t="s">
        <v>237</v>
      </c>
      <c r="J2605" s="16" t="str">
        <f>""</f>
        <v/>
      </c>
      <c r="K2605" s="16" t="str">
        <f>"PFES1162674117_0001"</f>
        <v>PFES1162674117_0001</v>
      </c>
      <c r="L2605" s="16">
        <v>1</v>
      </c>
      <c r="M2605" s="16">
        <v>1</v>
      </c>
    </row>
    <row r="2606" spans="1:13">
      <c r="A2606" s="6">
        <v>43515</v>
      </c>
      <c r="B2606" s="7">
        <v>0.67499999999999993</v>
      </c>
      <c r="C2606" s="16" t="str">
        <f>"FES1162674114"</f>
        <v>FES1162674114</v>
      </c>
      <c r="D2606" s="16" t="s">
        <v>18</v>
      </c>
      <c r="E2606" s="16" t="s">
        <v>629</v>
      </c>
      <c r="F2606" s="16" t="str">
        <f>"2170675194 "</f>
        <v xml:space="preserve">2170675194 </v>
      </c>
      <c r="G2606" s="16" t="str">
        <f t="shared" si="77"/>
        <v>ON1</v>
      </c>
      <c r="H2606" s="16" t="s">
        <v>20</v>
      </c>
      <c r="I2606" s="16" t="s">
        <v>420</v>
      </c>
      <c r="J2606" s="16" t="str">
        <f>""</f>
        <v/>
      </c>
      <c r="K2606" s="16" t="str">
        <f>"PFES1162674114_0001"</f>
        <v>PFES1162674114_0001</v>
      </c>
      <c r="L2606" s="16">
        <v>1</v>
      </c>
      <c r="M2606" s="16">
        <v>1</v>
      </c>
    </row>
    <row r="2607" spans="1:13">
      <c r="A2607" s="6">
        <v>43515</v>
      </c>
      <c r="B2607" s="7">
        <v>0.67499999999999993</v>
      </c>
      <c r="C2607" s="16" t="str">
        <f>"FES1162674122"</f>
        <v>FES1162674122</v>
      </c>
      <c r="D2607" s="16" t="s">
        <v>18</v>
      </c>
      <c r="E2607" s="16" t="s">
        <v>1035</v>
      </c>
      <c r="F2607" s="16" t="str">
        <f>"2170675205 "</f>
        <v xml:space="preserve">2170675205 </v>
      </c>
      <c r="G2607" s="16" t="str">
        <f t="shared" si="77"/>
        <v>ON1</v>
      </c>
      <c r="H2607" s="16" t="s">
        <v>20</v>
      </c>
      <c r="I2607" s="16" t="s">
        <v>55</v>
      </c>
      <c r="J2607" s="16" t="str">
        <f>""</f>
        <v/>
      </c>
      <c r="K2607" s="16" t="str">
        <f>"PFES1162674122_0001"</f>
        <v>PFES1162674122_0001</v>
      </c>
      <c r="L2607" s="16">
        <v>1</v>
      </c>
      <c r="M2607" s="16">
        <v>1</v>
      </c>
    </row>
    <row r="2608" spans="1:13">
      <c r="A2608" s="6">
        <v>43515</v>
      </c>
      <c r="B2608" s="7">
        <v>0.6743055555555556</v>
      </c>
      <c r="C2608" s="16" t="str">
        <f>"FES1162674115"</f>
        <v>FES1162674115</v>
      </c>
      <c r="D2608" s="16" t="s">
        <v>18</v>
      </c>
      <c r="E2608" s="16" t="s">
        <v>305</v>
      </c>
      <c r="F2608" s="16" t="str">
        <f>"2170675202 "</f>
        <v xml:space="preserve">2170675202 </v>
      </c>
      <c r="G2608" s="16" t="str">
        <f t="shared" si="77"/>
        <v>ON1</v>
      </c>
      <c r="H2608" s="16" t="s">
        <v>20</v>
      </c>
      <c r="I2608" s="16" t="s">
        <v>197</v>
      </c>
      <c r="J2608" s="16" t="str">
        <f>""</f>
        <v/>
      </c>
      <c r="K2608" s="16" t="str">
        <f>"PFES1162674115_0001"</f>
        <v>PFES1162674115_0001</v>
      </c>
      <c r="L2608" s="16">
        <v>1</v>
      </c>
      <c r="M2608" s="16">
        <v>1</v>
      </c>
    </row>
    <row r="2609" spans="1:13">
      <c r="A2609" s="6">
        <v>43515</v>
      </c>
      <c r="B2609" s="7">
        <v>0.6743055555555556</v>
      </c>
      <c r="C2609" s="16" t="str">
        <f>"FES1162674130"</f>
        <v>FES1162674130</v>
      </c>
      <c r="D2609" s="16" t="s">
        <v>18</v>
      </c>
      <c r="E2609" s="16" t="s">
        <v>629</v>
      </c>
      <c r="F2609" s="16" t="str">
        <f>"2170673404 "</f>
        <v xml:space="preserve">2170673404 </v>
      </c>
      <c r="G2609" s="16" t="str">
        <f t="shared" si="77"/>
        <v>ON1</v>
      </c>
      <c r="H2609" s="16" t="s">
        <v>20</v>
      </c>
      <c r="I2609" s="16" t="s">
        <v>420</v>
      </c>
      <c r="J2609" s="16" t="str">
        <f>""</f>
        <v/>
      </c>
      <c r="K2609" s="16" t="str">
        <f>"PFES1162674130_0001"</f>
        <v>PFES1162674130_0001</v>
      </c>
      <c r="L2609" s="16">
        <v>1</v>
      </c>
      <c r="M2609" s="16">
        <v>1</v>
      </c>
    </row>
    <row r="2610" spans="1:13">
      <c r="A2610" s="6">
        <v>43515</v>
      </c>
      <c r="B2610" s="7">
        <v>0.6743055555555556</v>
      </c>
      <c r="C2610" s="16" t="str">
        <f>"FES1162674088"</f>
        <v>FES1162674088</v>
      </c>
      <c r="D2610" s="16" t="s">
        <v>18</v>
      </c>
      <c r="E2610" s="16" t="s">
        <v>1036</v>
      </c>
      <c r="F2610" s="16" t="str">
        <f>"2170673669 "</f>
        <v xml:space="preserve">2170673669 </v>
      </c>
      <c r="G2610" s="16" t="str">
        <f t="shared" si="77"/>
        <v>ON1</v>
      </c>
      <c r="H2610" s="16" t="s">
        <v>20</v>
      </c>
      <c r="I2610" s="16" t="s">
        <v>1037</v>
      </c>
      <c r="J2610" s="16" t="str">
        <f>""</f>
        <v/>
      </c>
      <c r="K2610" s="16" t="str">
        <f>"PFES1162674088_0001"</f>
        <v>PFES1162674088_0001</v>
      </c>
      <c r="L2610" s="16">
        <v>1</v>
      </c>
      <c r="M2610" s="16">
        <v>1</v>
      </c>
    </row>
    <row r="2611" spans="1:13">
      <c r="A2611" s="6">
        <v>43515</v>
      </c>
      <c r="B2611" s="7">
        <v>0.67361111111111116</v>
      </c>
      <c r="C2611" s="16" t="str">
        <f>"FES1162674073"</f>
        <v>FES1162674073</v>
      </c>
      <c r="D2611" s="16" t="s">
        <v>18</v>
      </c>
      <c r="E2611" s="16" t="s">
        <v>680</v>
      </c>
      <c r="F2611" s="16" t="str">
        <f>"2170675151 "</f>
        <v xml:space="preserve">2170675151 </v>
      </c>
      <c r="G2611" s="16" t="str">
        <f t="shared" si="77"/>
        <v>ON1</v>
      </c>
      <c r="H2611" s="16" t="s">
        <v>20</v>
      </c>
      <c r="I2611" s="16" t="s">
        <v>237</v>
      </c>
      <c r="J2611" s="16" t="str">
        <f>""</f>
        <v/>
      </c>
      <c r="K2611" s="16" t="str">
        <f>"PFES1162674073_0001"</f>
        <v>PFES1162674073_0001</v>
      </c>
      <c r="L2611" s="16">
        <v>1</v>
      </c>
      <c r="M2611" s="16">
        <v>1</v>
      </c>
    </row>
    <row r="2612" spans="1:13">
      <c r="A2612" s="6">
        <v>43515</v>
      </c>
      <c r="B2612" s="7">
        <v>0.67361111111111116</v>
      </c>
      <c r="C2612" s="16" t="str">
        <f>"FES1162674076"</f>
        <v>FES1162674076</v>
      </c>
      <c r="D2612" s="16" t="s">
        <v>18</v>
      </c>
      <c r="E2612" s="16" t="s">
        <v>254</v>
      </c>
      <c r="F2612" s="16" t="str">
        <f>"2170675088 "</f>
        <v xml:space="preserve">2170675088 </v>
      </c>
      <c r="G2612" s="16" t="str">
        <f t="shared" si="77"/>
        <v>ON1</v>
      </c>
      <c r="H2612" s="16" t="s">
        <v>20</v>
      </c>
      <c r="I2612" s="16" t="s">
        <v>239</v>
      </c>
      <c r="J2612" s="16" t="str">
        <f>""</f>
        <v/>
      </c>
      <c r="K2612" s="16" t="str">
        <f>"PFES1162674076_0001"</f>
        <v>PFES1162674076_0001</v>
      </c>
      <c r="L2612" s="16">
        <v>1</v>
      </c>
      <c r="M2612" s="16">
        <v>1</v>
      </c>
    </row>
    <row r="2613" spans="1:13">
      <c r="A2613" s="6">
        <v>43515</v>
      </c>
      <c r="B2613" s="7">
        <v>0.67361111111111116</v>
      </c>
      <c r="C2613" s="16" t="str">
        <f>"FES1162674127"</f>
        <v>FES1162674127</v>
      </c>
      <c r="D2613" s="16" t="s">
        <v>18</v>
      </c>
      <c r="E2613" s="16" t="s">
        <v>64</v>
      </c>
      <c r="F2613" s="16" t="str">
        <f>"2170675173 "</f>
        <v xml:space="preserve">2170675173 </v>
      </c>
      <c r="G2613" s="16" t="str">
        <f t="shared" si="77"/>
        <v>ON1</v>
      </c>
      <c r="H2613" s="16" t="s">
        <v>20</v>
      </c>
      <c r="I2613" s="16" t="s">
        <v>65</v>
      </c>
      <c r="J2613" s="16" t="str">
        <f>""</f>
        <v/>
      </c>
      <c r="K2613" s="16" t="str">
        <f>"PFES1162674127_0001"</f>
        <v>PFES1162674127_0001</v>
      </c>
      <c r="L2613" s="16">
        <v>1</v>
      </c>
      <c r="M2613" s="16">
        <v>1</v>
      </c>
    </row>
    <row r="2614" spans="1:13">
      <c r="A2614" s="6">
        <v>43515</v>
      </c>
      <c r="B2614" s="7">
        <v>0.67291666666666661</v>
      </c>
      <c r="C2614" s="16" t="str">
        <f>"FES1162674077"</f>
        <v>FES1162674077</v>
      </c>
      <c r="D2614" s="16" t="s">
        <v>18</v>
      </c>
      <c r="E2614" s="16" t="s">
        <v>372</v>
      </c>
      <c r="F2614" s="16" t="str">
        <f>"2170675156 "</f>
        <v xml:space="preserve">2170675156 </v>
      </c>
      <c r="G2614" s="16" t="str">
        <f t="shared" si="77"/>
        <v>ON1</v>
      </c>
      <c r="H2614" s="16" t="s">
        <v>20</v>
      </c>
      <c r="I2614" s="16" t="s">
        <v>143</v>
      </c>
      <c r="J2614" s="16" t="str">
        <f>""</f>
        <v/>
      </c>
      <c r="K2614" s="16" t="str">
        <f>"PFES1162674077_0001"</f>
        <v>PFES1162674077_0001</v>
      </c>
      <c r="L2614" s="16">
        <v>1</v>
      </c>
      <c r="M2614" s="16">
        <v>1</v>
      </c>
    </row>
    <row r="2615" spans="1:13">
      <c r="A2615" s="6">
        <v>43515</v>
      </c>
      <c r="B2615" s="7">
        <v>0.67291666666666661</v>
      </c>
      <c r="C2615" s="16" t="str">
        <f>"FES1162674069"</f>
        <v>FES1162674069</v>
      </c>
      <c r="D2615" s="16" t="s">
        <v>18</v>
      </c>
      <c r="E2615" s="16" t="s">
        <v>372</v>
      </c>
      <c r="F2615" s="16" t="str">
        <f>"2170675147 "</f>
        <v xml:space="preserve">2170675147 </v>
      </c>
      <c r="G2615" s="16" t="str">
        <f t="shared" si="77"/>
        <v>ON1</v>
      </c>
      <c r="H2615" s="16" t="s">
        <v>20</v>
      </c>
      <c r="I2615" s="16" t="s">
        <v>143</v>
      </c>
      <c r="J2615" s="16" t="str">
        <f>""</f>
        <v/>
      </c>
      <c r="K2615" s="16" t="str">
        <f>"PFES1162674069_0001"</f>
        <v>PFES1162674069_0001</v>
      </c>
      <c r="L2615" s="16">
        <v>1</v>
      </c>
      <c r="M2615" s="16">
        <v>1</v>
      </c>
    </row>
    <row r="2616" spans="1:13">
      <c r="A2616" s="6">
        <v>43515</v>
      </c>
      <c r="B2616" s="7">
        <v>0.67222222222222217</v>
      </c>
      <c r="C2616" s="16" t="str">
        <f>"FES1162674132"</f>
        <v>FES1162674132</v>
      </c>
      <c r="D2616" s="16" t="s">
        <v>18</v>
      </c>
      <c r="E2616" s="16" t="s">
        <v>150</v>
      </c>
      <c r="F2616" s="16" t="str">
        <f>"2170675213 "</f>
        <v xml:space="preserve">2170675213 </v>
      </c>
      <c r="G2616" s="16" t="str">
        <f t="shared" si="77"/>
        <v>ON1</v>
      </c>
      <c r="H2616" s="16" t="s">
        <v>20</v>
      </c>
      <c r="I2616" s="16" t="s">
        <v>137</v>
      </c>
      <c r="J2616" s="16" t="str">
        <f>""</f>
        <v/>
      </c>
      <c r="K2616" s="16" t="str">
        <f>"PFES1162674132_0001"</f>
        <v>PFES1162674132_0001</v>
      </c>
      <c r="L2616" s="16">
        <v>1</v>
      </c>
      <c r="M2616" s="16">
        <v>1</v>
      </c>
    </row>
    <row r="2617" spans="1:13">
      <c r="A2617" s="6">
        <v>43515</v>
      </c>
      <c r="B2617" s="7">
        <v>0.66805555555555562</v>
      </c>
      <c r="C2617" s="16" t="str">
        <f>"FES1162674096"</f>
        <v>FES1162674096</v>
      </c>
      <c r="D2617" s="16" t="s">
        <v>18</v>
      </c>
      <c r="E2617" s="16" t="s">
        <v>872</v>
      </c>
      <c r="F2617" s="16" t="str">
        <f>"2170675181 "</f>
        <v xml:space="preserve">2170675181 </v>
      </c>
      <c r="G2617" s="16" t="str">
        <f t="shared" si="77"/>
        <v>ON1</v>
      </c>
      <c r="H2617" s="16" t="s">
        <v>20</v>
      </c>
      <c r="I2617" s="16" t="s">
        <v>93</v>
      </c>
      <c r="J2617" s="16" t="str">
        <f>""</f>
        <v/>
      </c>
      <c r="K2617" s="16" t="str">
        <f>"PFES1162674096_0001"</f>
        <v>PFES1162674096_0001</v>
      </c>
      <c r="L2617" s="16">
        <v>1</v>
      </c>
      <c r="M2617" s="16">
        <v>1</v>
      </c>
    </row>
    <row r="2618" spans="1:13">
      <c r="A2618" s="6">
        <v>43515</v>
      </c>
      <c r="B2618" s="7">
        <v>0.66597222222222219</v>
      </c>
      <c r="C2618" s="16" t="str">
        <f>"FES1162674108"</f>
        <v>FES1162674108</v>
      </c>
      <c r="D2618" s="16" t="s">
        <v>18</v>
      </c>
      <c r="E2618" s="16" t="s">
        <v>521</v>
      </c>
      <c r="F2618" s="16" t="str">
        <f>"2170674191 "</f>
        <v xml:space="preserve">2170674191 </v>
      </c>
      <c r="G2618" s="16" t="str">
        <f t="shared" si="77"/>
        <v>ON1</v>
      </c>
      <c r="H2618" s="16" t="s">
        <v>20</v>
      </c>
      <c r="I2618" s="16" t="s">
        <v>445</v>
      </c>
      <c r="J2618" s="16" t="str">
        <f>""</f>
        <v/>
      </c>
      <c r="K2618" s="16" t="str">
        <f>"PFES1162674108_0001"</f>
        <v>PFES1162674108_0001</v>
      </c>
      <c r="L2618" s="16">
        <v>1</v>
      </c>
      <c r="M2618" s="16">
        <v>1</v>
      </c>
    </row>
    <row r="2619" spans="1:13">
      <c r="A2619" s="6">
        <v>43515</v>
      </c>
      <c r="B2619" s="7">
        <v>0.66597222222222219</v>
      </c>
      <c r="C2619" s="16" t="str">
        <f>"FES1162674112"</f>
        <v>FES1162674112</v>
      </c>
      <c r="D2619" s="16" t="s">
        <v>18</v>
      </c>
      <c r="E2619" s="16" t="s">
        <v>243</v>
      </c>
      <c r="F2619" s="16" t="str">
        <f>"2170675120 "</f>
        <v xml:space="preserve">2170675120 </v>
      </c>
      <c r="G2619" s="16" t="str">
        <f t="shared" si="77"/>
        <v>ON1</v>
      </c>
      <c r="H2619" s="16" t="s">
        <v>20</v>
      </c>
      <c r="I2619" s="16" t="s">
        <v>244</v>
      </c>
      <c r="J2619" s="16" t="str">
        <f>""</f>
        <v/>
      </c>
      <c r="K2619" s="16" t="str">
        <f>"PFES1162674112_0001"</f>
        <v>PFES1162674112_0001</v>
      </c>
      <c r="L2619" s="16">
        <v>1</v>
      </c>
      <c r="M2619" s="16">
        <v>1</v>
      </c>
    </row>
    <row r="2620" spans="1:13">
      <c r="A2620" s="6">
        <v>43515</v>
      </c>
      <c r="B2620" s="7">
        <v>0.66527777777777775</v>
      </c>
      <c r="C2620" s="16" t="str">
        <f>"FES1162674105"</f>
        <v>FES1162674105</v>
      </c>
      <c r="D2620" s="16" t="s">
        <v>18</v>
      </c>
      <c r="E2620" s="16" t="s">
        <v>234</v>
      </c>
      <c r="F2620" s="16" t="str">
        <f>"2170675165 "</f>
        <v xml:space="preserve">2170675165 </v>
      </c>
      <c r="G2620" s="16" t="str">
        <f t="shared" si="77"/>
        <v>ON1</v>
      </c>
      <c r="H2620" s="16" t="s">
        <v>20</v>
      </c>
      <c r="I2620" s="16" t="s">
        <v>233</v>
      </c>
      <c r="J2620" s="16" t="str">
        <f>""</f>
        <v/>
      </c>
      <c r="K2620" s="16" t="str">
        <f>"PFES1162674105_0001"</f>
        <v>PFES1162674105_0001</v>
      </c>
      <c r="L2620" s="16">
        <v>1</v>
      </c>
      <c r="M2620" s="16">
        <v>1</v>
      </c>
    </row>
    <row r="2621" spans="1:13">
      <c r="A2621" s="6">
        <v>43515</v>
      </c>
      <c r="B2621" s="7">
        <v>0.65972222222222221</v>
      </c>
      <c r="C2621" s="16" t="str">
        <f>"FES116262118"</f>
        <v>FES116262118</v>
      </c>
      <c r="D2621" s="16" t="s">
        <v>18</v>
      </c>
      <c r="E2621" s="16" t="s">
        <v>120</v>
      </c>
      <c r="F2621" s="16" t="str">
        <f>"2170675200 "</f>
        <v xml:space="preserve">2170675200 </v>
      </c>
      <c r="G2621" s="16" t="str">
        <f t="shared" si="77"/>
        <v>ON1</v>
      </c>
      <c r="H2621" s="16" t="s">
        <v>20</v>
      </c>
      <c r="I2621" s="16" t="s">
        <v>121</v>
      </c>
      <c r="J2621" s="16" t="str">
        <f>""</f>
        <v/>
      </c>
      <c r="K2621" s="16" t="str">
        <f>"PFES116262118_0001"</f>
        <v>PFES116262118_0001</v>
      </c>
      <c r="L2621" s="16">
        <v>1</v>
      </c>
      <c r="M2621" s="16">
        <v>1</v>
      </c>
    </row>
    <row r="2622" spans="1:13">
      <c r="A2622" s="6">
        <v>43515</v>
      </c>
      <c r="B2622" s="7">
        <v>0.65833333333333333</v>
      </c>
      <c r="C2622" s="16" t="str">
        <f>"FES1162674099"</f>
        <v>FES1162674099</v>
      </c>
      <c r="D2622" s="16" t="s">
        <v>18</v>
      </c>
      <c r="E2622" s="16" t="s">
        <v>459</v>
      </c>
      <c r="F2622" s="16" t="str">
        <f>"2170668270 "</f>
        <v xml:space="preserve">2170668270 </v>
      </c>
      <c r="G2622" s="16" t="str">
        <f t="shared" si="77"/>
        <v>ON1</v>
      </c>
      <c r="H2622" s="16" t="s">
        <v>20</v>
      </c>
      <c r="I2622" s="16" t="s">
        <v>37</v>
      </c>
      <c r="J2622" s="16" t="str">
        <f>""</f>
        <v/>
      </c>
      <c r="K2622" s="16" t="str">
        <f>"PFES1162674099_0001"</f>
        <v>PFES1162674099_0001</v>
      </c>
      <c r="L2622" s="16">
        <v>2</v>
      </c>
      <c r="M2622" s="16">
        <v>6</v>
      </c>
    </row>
    <row r="2623" spans="1:13">
      <c r="A2623" s="6">
        <v>43496</v>
      </c>
      <c r="B2623" s="7">
        <v>0.66180555555555554</v>
      </c>
      <c r="C2623" s="16" t="str">
        <f>"FES1162674099"</f>
        <v>FES1162674099</v>
      </c>
      <c r="D2623" s="16" t="s">
        <v>18</v>
      </c>
      <c r="E2623" s="16" t="s">
        <v>914</v>
      </c>
      <c r="F2623" s="16" t="str">
        <f>"2170671979 "</f>
        <v xml:space="preserve">2170671979 </v>
      </c>
      <c r="G2623" s="16" t="str">
        <f t="shared" si="77"/>
        <v>ON1</v>
      </c>
      <c r="H2623" s="16" t="s">
        <v>20</v>
      </c>
      <c r="I2623" s="16" t="s">
        <v>341</v>
      </c>
      <c r="J2623" s="16" t="str">
        <f>""</f>
        <v/>
      </c>
      <c r="K2623" s="16" t="str">
        <f>"PFES1162674099_0002"</f>
        <v>PFES1162674099_0002</v>
      </c>
      <c r="L2623" s="16">
        <v>1</v>
      </c>
      <c r="M2623" s="16">
        <v>1</v>
      </c>
    </row>
    <row r="2624" spans="1:13">
      <c r="A2624" s="6">
        <v>43515</v>
      </c>
      <c r="B2624" s="7">
        <v>0.65763888888888888</v>
      </c>
      <c r="C2624" s="16" t="str">
        <f>"FES1162674119"</f>
        <v>FES1162674119</v>
      </c>
      <c r="D2624" s="16" t="s">
        <v>18</v>
      </c>
      <c r="E2624" s="16" t="s">
        <v>661</v>
      </c>
      <c r="F2624" s="16" t="str">
        <f>"2170675203 "</f>
        <v xml:space="preserve">2170675203 </v>
      </c>
      <c r="G2624" s="16" t="str">
        <f t="shared" si="77"/>
        <v>ON1</v>
      </c>
      <c r="H2624" s="16" t="s">
        <v>20</v>
      </c>
      <c r="I2624" s="16" t="s">
        <v>539</v>
      </c>
      <c r="J2624" s="16" t="str">
        <f>""</f>
        <v/>
      </c>
      <c r="K2624" s="16" t="str">
        <f>"PFES1162674119_0001"</f>
        <v>PFES1162674119_0001</v>
      </c>
      <c r="L2624" s="16">
        <v>1</v>
      </c>
      <c r="M2624" s="16">
        <v>1</v>
      </c>
    </row>
    <row r="2625" spans="1:13">
      <c r="A2625" s="6">
        <v>43515</v>
      </c>
      <c r="B2625" s="7">
        <v>0.65694444444444444</v>
      </c>
      <c r="C2625" s="16" t="str">
        <f>"FES1162674111"</f>
        <v>FES1162674111</v>
      </c>
      <c r="D2625" s="16" t="s">
        <v>18</v>
      </c>
      <c r="E2625" s="16" t="s">
        <v>187</v>
      </c>
      <c r="F2625" s="16" t="str">
        <f>"2170674900 "</f>
        <v xml:space="preserve">2170674900 </v>
      </c>
      <c r="G2625" s="16" t="str">
        <f t="shared" si="77"/>
        <v>ON1</v>
      </c>
      <c r="H2625" s="16" t="s">
        <v>20</v>
      </c>
      <c r="I2625" s="16" t="s">
        <v>188</v>
      </c>
      <c r="J2625" s="16" t="str">
        <f>""</f>
        <v/>
      </c>
      <c r="K2625" s="16" t="str">
        <f>"PFES1162674111_0001"</f>
        <v>PFES1162674111_0001</v>
      </c>
      <c r="L2625" s="16">
        <v>1</v>
      </c>
      <c r="M2625" s="16">
        <v>11</v>
      </c>
    </row>
    <row r="2626" spans="1:13">
      <c r="A2626" s="6">
        <v>43515</v>
      </c>
      <c r="B2626" s="7">
        <v>0.65347222222222223</v>
      </c>
      <c r="C2626" s="16" t="str">
        <f>"FES1162674121"</f>
        <v>FES1162674121</v>
      </c>
      <c r="D2626" s="16" t="s">
        <v>18</v>
      </c>
      <c r="E2626" s="16" t="s">
        <v>138</v>
      </c>
      <c r="F2626" s="16" t="str">
        <f>"2170675204 "</f>
        <v xml:space="preserve">2170675204 </v>
      </c>
      <c r="G2626" s="16" t="str">
        <f t="shared" si="77"/>
        <v>ON1</v>
      </c>
      <c r="H2626" s="16" t="s">
        <v>20</v>
      </c>
      <c r="I2626" s="16" t="s">
        <v>139</v>
      </c>
      <c r="J2626" s="16" t="str">
        <f>""</f>
        <v/>
      </c>
      <c r="K2626" s="16" t="str">
        <f>"PFES1162674121_0001"</f>
        <v>PFES1162674121_0001</v>
      </c>
      <c r="L2626" s="16">
        <v>1</v>
      </c>
      <c r="M2626" s="16">
        <v>1</v>
      </c>
    </row>
    <row r="2627" spans="1:13">
      <c r="A2627" s="6">
        <v>43515</v>
      </c>
      <c r="B2627" s="7">
        <v>0.65347222222222223</v>
      </c>
      <c r="C2627" s="16" t="str">
        <f>"FES1162674116"</f>
        <v>FES1162674116</v>
      </c>
      <c r="D2627" s="16" t="s">
        <v>18</v>
      </c>
      <c r="E2627" s="16" t="s">
        <v>162</v>
      </c>
      <c r="F2627" s="16" t="str">
        <f>"2170675196 "</f>
        <v xml:space="preserve">2170675196 </v>
      </c>
      <c r="G2627" s="16" t="str">
        <f t="shared" si="77"/>
        <v>ON1</v>
      </c>
      <c r="H2627" s="16" t="s">
        <v>20</v>
      </c>
      <c r="I2627" s="16" t="s">
        <v>163</v>
      </c>
      <c r="J2627" s="16" t="str">
        <f>""</f>
        <v/>
      </c>
      <c r="K2627" s="16" t="str">
        <f>"PFES1162674116_0001"</f>
        <v>PFES1162674116_0001</v>
      </c>
      <c r="L2627" s="16">
        <v>1</v>
      </c>
      <c r="M2627" s="16">
        <v>1</v>
      </c>
    </row>
    <row r="2628" spans="1:13">
      <c r="A2628" s="6">
        <v>43515</v>
      </c>
      <c r="B2628" s="7">
        <v>0.64722222222222225</v>
      </c>
      <c r="C2628" s="16" t="str">
        <f>"FES1162674101"</f>
        <v>FES1162674101</v>
      </c>
      <c r="D2628" s="16" t="s">
        <v>18</v>
      </c>
      <c r="E2628" s="16" t="s">
        <v>623</v>
      </c>
      <c r="F2628" s="16" t="str">
        <f>"2170671933 "</f>
        <v xml:space="preserve">2170671933 </v>
      </c>
      <c r="G2628" s="16" t="str">
        <f t="shared" si="77"/>
        <v>ON1</v>
      </c>
      <c r="H2628" s="16" t="s">
        <v>20</v>
      </c>
      <c r="I2628" s="16" t="s">
        <v>429</v>
      </c>
      <c r="J2628" s="16" t="str">
        <f>""</f>
        <v/>
      </c>
      <c r="K2628" s="16" t="str">
        <f>"PFES1162674101_0001"</f>
        <v>PFES1162674101_0001</v>
      </c>
      <c r="L2628" s="16">
        <v>1</v>
      </c>
      <c r="M2628" s="16">
        <v>1</v>
      </c>
    </row>
    <row r="2629" spans="1:13">
      <c r="A2629" s="6">
        <v>43515</v>
      </c>
      <c r="B2629" s="7">
        <v>0.64652777777777781</v>
      </c>
      <c r="C2629" s="16" t="str">
        <f>"FES1162674074"</f>
        <v>FES1162674074</v>
      </c>
      <c r="D2629" s="16" t="s">
        <v>18</v>
      </c>
      <c r="E2629" s="16" t="s">
        <v>146</v>
      </c>
      <c r="F2629" s="16" t="str">
        <f>"21706751454 "</f>
        <v xml:space="preserve">21706751454 </v>
      </c>
      <c r="G2629" s="16" t="str">
        <f t="shared" si="77"/>
        <v>ON1</v>
      </c>
      <c r="H2629" s="16" t="s">
        <v>20</v>
      </c>
      <c r="I2629" s="16" t="s">
        <v>147</v>
      </c>
      <c r="J2629" s="16" t="str">
        <f>""</f>
        <v/>
      </c>
      <c r="K2629" s="16" t="str">
        <f>"PFES1162674074_0001"</f>
        <v>PFES1162674074_0001</v>
      </c>
      <c r="L2629" s="16">
        <v>1</v>
      </c>
      <c r="M2629" s="16">
        <v>1</v>
      </c>
    </row>
    <row r="2630" spans="1:13">
      <c r="A2630" s="6">
        <v>43515</v>
      </c>
      <c r="B2630" s="7">
        <v>0.64513888888888882</v>
      </c>
      <c r="C2630" s="16" t="str">
        <f>"FES1162674087"</f>
        <v>FES1162674087</v>
      </c>
      <c r="D2630" s="16" t="s">
        <v>18</v>
      </c>
      <c r="E2630" s="16" t="s">
        <v>623</v>
      </c>
      <c r="F2630" s="16" t="str">
        <f>"2170673268 "</f>
        <v xml:space="preserve">2170673268 </v>
      </c>
      <c r="G2630" s="16" t="str">
        <f t="shared" si="77"/>
        <v>ON1</v>
      </c>
      <c r="H2630" s="16" t="s">
        <v>20</v>
      </c>
      <c r="I2630" s="16" t="s">
        <v>429</v>
      </c>
      <c r="J2630" s="16" t="str">
        <f>""</f>
        <v/>
      </c>
      <c r="K2630" s="16" t="str">
        <f>"PFES1162674087_0001"</f>
        <v>PFES1162674087_0001</v>
      </c>
      <c r="L2630" s="16">
        <v>1</v>
      </c>
      <c r="M2630" s="16">
        <v>1</v>
      </c>
    </row>
    <row r="2631" spans="1:13">
      <c r="A2631" s="6">
        <v>43515</v>
      </c>
      <c r="B2631" s="7">
        <v>0.64444444444444449</v>
      </c>
      <c r="C2631" s="16" t="str">
        <f>"FES1162674065"</f>
        <v>FES1162674065</v>
      </c>
      <c r="D2631" s="16" t="s">
        <v>18</v>
      </c>
      <c r="E2631" s="16" t="s">
        <v>1038</v>
      </c>
      <c r="F2631" s="16" t="str">
        <f>"2170674169 "</f>
        <v xml:space="preserve">2170674169 </v>
      </c>
      <c r="G2631" s="16" t="str">
        <f t="shared" si="77"/>
        <v>ON1</v>
      </c>
      <c r="H2631" s="16" t="s">
        <v>20</v>
      </c>
      <c r="I2631" s="16" t="s">
        <v>635</v>
      </c>
      <c r="J2631" s="16" t="str">
        <f>""</f>
        <v/>
      </c>
      <c r="K2631" s="16" t="str">
        <f>"PFES1162674065_0001"</f>
        <v>PFES1162674065_0001</v>
      </c>
      <c r="L2631" s="16">
        <v>1</v>
      </c>
      <c r="M2631" s="16">
        <v>1</v>
      </c>
    </row>
    <row r="2632" spans="1:13">
      <c r="A2632" s="6">
        <v>43515</v>
      </c>
      <c r="B2632" s="7">
        <v>0.64374999999999993</v>
      </c>
      <c r="C2632" s="16" t="str">
        <f>"FES1162674107"</f>
        <v>FES1162674107</v>
      </c>
      <c r="D2632" s="16" t="s">
        <v>18</v>
      </c>
      <c r="E2632" s="16" t="s">
        <v>28</v>
      </c>
      <c r="F2632" s="16" t="str">
        <f>"2170675188 "</f>
        <v xml:space="preserve">2170675188 </v>
      </c>
      <c r="G2632" s="16" t="str">
        <f t="shared" si="77"/>
        <v>ON1</v>
      </c>
      <c r="H2632" s="16" t="s">
        <v>20</v>
      </c>
      <c r="I2632" s="16" t="s">
        <v>29</v>
      </c>
      <c r="J2632" s="16" t="str">
        <f>""</f>
        <v/>
      </c>
      <c r="K2632" s="16" t="str">
        <f>"PFES1162674107_0001"</f>
        <v>PFES1162674107_0001</v>
      </c>
      <c r="L2632" s="16">
        <v>1</v>
      </c>
      <c r="M2632" s="16">
        <v>1</v>
      </c>
    </row>
    <row r="2633" spans="1:13">
      <c r="A2633" s="6">
        <v>43515</v>
      </c>
      <c r="B2633" s="7">
        <v>0.63750000000000007</v>
      </c>
      <c r="C2633" s="16" t="str">
        <f>"FES1162674067"</f>
        <v>FES1162674067</v>
      </c>
      <c r="D2633" s="16" t="s">
        <v>18</v>
      </c>
      <c r="E2633" s="16" t="s">
        <v>581</v>
      </c>
      <c r="F2633" s="16" t="str">
        <f>"2170675004 "</f>
        <v xml:space="preserve">2170675004 </v>
      </c>
      <c r="G2633" s="16" t="str">
        <f t="shared" si="77"/>
        <v>ON1</v>
      </c>
      <c r="H2633" s="16" t="s">
        <v>20</v>
      </c>
      <c r="I2633" s="16" t="s">
        <v>504</v>
      </c>
      <c r="J2633" s="16" t="str">
        <f>""</f>
        <v/>
      </c>
      <c r="K2633" s="16" t="str">
        <f>"PFES1162674067_0001"</f>
        <v>PFES1162674067_0001</v>
      </c>
      <c r="L2633" s="16">
        <v>1</v>
      </c>
      <c r="M2633" s="16">
        <v>4</v>
      </c>
    </row>
    <row r="2634" spans="1:13">
      <c r="A2634" s="6">
        <v>43515</v>
      </c>
      <c r="B2634" s="7">
        <v>0.63611111111111118</v>
      </c>
      <c r="C2634" s="16" t="str">
        <f>"FES1162674066"</f>
        <v>FES1162674066</v>
      </c>
      <c r="D2634" s="16" t="s">
        <v>18</v>
      </c>
      <c r="E2634" s="16" t="s">
        <v>1039</v>
      </c>
      <c r="F2634" s="16" t="str">
        <f>"2170674785 "</f>
        <v xml:space="preserve">2170674785 </v>
      </c>
      <c r="G2634" s="16" t="str">
        <f t="shared" si="77"/>
        <v>ON1</v>
      </c>
      <c r="H2634" s="16" t="s">
        <v>20</v>
      </c>
      <c r="I2634" s="16" t="s">
        <v>153</v>
      </c>
      <c r="J2634" s="16" t="str">
        <f>""</f>
        <v/>
      </c>
      <c r="K2634" s="16" t="str">
        <f>"PFES1162674066_0001"</f>
        <v>PFES1162674066_0001</v>
      </c>
      <c r="L2634" s="16">
        <v>1</v>
      </c>
      <c r="M2634" s="16">
        <v>3</v>
      </c>
    </row>
    <row r="2635" spans="1:13">
      <c r="A2635" s="6">
        <v>43515</v>
      </c>
      <c r="B2635" s="7">
        <v>0.63541666666666663</v>
      </c>
      <c r="C2635" s="16" t="str">
        <f>"FES1162674100"</f>
        <v>FES1162674100</v>
      </c>
      <c r="D2635" s="16" t="s">
        <v>18</v>
      </c>
      <c r="E2635" s="16" t="s">
        <v>1040</v>
      </c>
      <c r="F2635" s="16" t="str">
        <f>"2170672300 "</f>
        <v xml:space="preserve">2170672300 </v>
      </c>
      <c r="G2635" s="16" t="str">
        <f t="shared" si="77"/>
        <v>ON1</v>
      </c>
      <c r="H2635" s="16" t="s">
        <v>20</v>
      </c>
      <c r="I2635" s="16" t="s">
        <v>1041</v>
      </c>
      <c r="J2635" s="16" t="str">
        <f>""</f>
        <v/>
      </c>
      <c r="K2635" s="16" t="str">
        <f>"PFES1162674100_0001"</f>
        <v>PFES1162674100_0001</v>
      </c>
      <c r="L2635" s="16">
        <v>1</v>
      </c>
      <c r="M2635" s="16">
        <v>1</v>
      </c>
    </row>
    <row r="2636" spans="1:13">
      <c r="A2636" s="6">
        <v>43515</v>
      </c>
      <c r="B2636" s="7">
        <v>0.63055555555555554</v>
      </c>
      <c r="C2636" s="16" t="str">
        <f>"FES1162674109"</f>
        <v>FES1162674109</v>
      </c>
      <c r="D2636" s="16" t="s">
        <v>18</v>
      </c>
      <c r="E2636" s="16" t="s">
        <v>47</v>
      </c>
      <c r="F2636" s="16" t="str">
        <f>"2170674504 "</f>
        <v xml:space="preserve">2170674504 </v>
      </c>
      <c r="G2636" s="16" t="str">
        <f t="shared" si="77"/>
        <v>ON1</v>
      </c>
      <c r="H2636" s="16" t="s">
        <v>20</v>
      </c>
      <c r="I2636" s="16" t="s">
        <v>48</v>
      </c>
      <c r="J2636" s="16" t="str">
        <f>""</f>
        <v/>
      </c>
      <c r="K2636" s="16" t="str">
        <f>"PFES1162674109_0001"</f>
        <v>PFES1162674109_0001</v>
      </c>
      <c r="L2636" s="16">
        <v>1</v>
      </c>
      <c r="M2636" s="16">
        <v>5</v>
      </c>
    </row>
    <row r="2637" spans="1:13">
      <c r="A2637" s="6">
        <v>43515</v>
      </c>
      <c r="B2637" s="7">
        <v>0.62986111111111109</v>
      </c>
      <c r="C2637" s="16" t="str">
        <f>"FES1162674089"</f>
        <v>FES1162674089</v>
      </c>
      <c r="D2637" s="16" t="s">
        <v>18</v>
      </c>
      <c r="E2637" s="16" t="s">
        <v>160</v>
      </c>
      <c r="F2637" s="16" t="str">
        <f>"2170674165 "</f>
        <v xml:space="preserve">2170674165 </v>
      </c>
      <c r="G2637" s="16" t="str">
        <f t="shared" si="77"/>
        <v>ON1</v>
      </c>
      <c r="H2637" s="16" t="s">
        <v>20</v>
      </c>
      <c r="I2637" s="16" t="s">
        <v>161</v>
      </c>
      <c r="J2637" s="16" t="str">
        <f>""</f>
        <v/>
      </c>
      <c r="K2637" s="16" t="str">
        <f>"PFES1162674089_0001"</f>
        <v>PFES1162674089_0001</v>
      </c>
      <c r="L2637" s="16">
        <v>1</v>
      </c>
      <c r="M2637" s="16">
        <v>1</v>
      </c>
    </row>
    <row r="2638" spans="1:13">
      <c r="A2638" s="6">
        <v>43515</v>
      </c>
      <c r="B2638" s="7">
        <v>0.62916666666666665</v>
      </c>
      <c r="C2638" s="16" t="str">
        <f>"FES1162674090"</f>
        <v>FES1162674090</v>
      </c>
      <c r="D2638" s="16" t="s">
        <v>18</v>
      </c>
      <c r="E2638" s="16" t="s">
        <v>160</v>
      </c>
      <c r="F2638" s="16" t="str">
        <f>"2170674959 "</f>
        <v xml:space="preserve">2170674959 </v>
      </c>
      <c r="G2638" s="16" t="str">
        <f t="shared" si="77"/>
        <v>ON1</v>
      </c>
      <c r="H2638" s="16" t="s">
        <v>20</v>
      </c>
      <c r="I2638" s="16" t="s">
        <v>161</v>
      </c>
      <c r="J2638" s="16" t="str">
        <f>""</f>
        <v/>
      </c>
      <c r="K2638" s="16" t="str">
        <f>"PFES1162674090_0001"</f>
        <v>PFES1162674090_0001</v>
      </c>
      <c r="L2638" s="16">
        <v>1</v>
      </c>
      <c r="M2638" s="16">
        <v>1</v>
      </c>
    </row>
    <row r="2639" spans="1:13">
      <c r="A2639" s="6">
        <v>43515</v>
      </c>
      <c r="B2639" s="7">
        <v>0.62916666666666665</v>
      </c>
      <c r="C2639" s="16" t="str">
        <f>"FES1162674103"</f>
        <v>FES1162674103</v>
      </c>
      <c r="D2639" s="16" t="s">
        <v>18</v>
      </c>
      <c r="E2639" s="16" t="s">
        <v>960</v>
      </c>
      <c r="F2639" s="16" t="str">
        <f>"2170675140 "</f>
        <v xml:space="preserve">2170675140 </v>
      </c>
      <c r="G2639" s="16" t="str">
        <f t="shared" si="77"/>
        <v>ON1</v>
      </c>
      <c r="H2639" s="16" t="s">
        <v>20</v>
      </c>
      <c r="I2639" s="16" t="s">
        <v>256</v>
      </c>
      <c r="J2639" s="16" t="str">
        <f>""</f>
        <v/>
      </c>
      <c r="K2639" s="16" t="str">
        <f>"PFES1162674103_0001"</f>
        <v>PFES1162674103_0001</v>
      </c>
      <c r="L2639" s="16">
        <v>1</v>
      </c>
      <c r="M2639" s="16">
        <v>1</v>
      </c>
    </row>
    <row r="2640" spans="1:13">
      <c r="A2640" s="6">
        <v>43515</v>
      </c>
      <c r="B2640" s="7">
        <v>0.62847222222222221</v>
      </c>
      <c r="C2640" s="16" t="str">
        <f>"FES1162674051"</f>
        <v>FES1162674051</v>
      </c>
      <c r="D2640" s="16" t="s">
        <v>18</v>
      </c>
      <c r="E2640" s="16" t="s">
        <v>88</v>
      </c>
      <c r="F2640" s="16" t="str">
        <f>"2170675134 "</f>
        <v xml:space="preserve">2170675134 </v>
      </c>
      <c r="G2640" s="16" t="str">
        <f t="shared" si="77"/>
        <v>ON1</v>
      </c>
      <c r="H2640" s="16" t="s">
        <v>20</v>
      </c>
      <c r="I2640" s="16" t="s">
        <v>53</v>
      </c>
      <c r="J2640" s="16" t="str">
        <f>""</f>
        <v/>
      </c>
      <c r="K2640" s="16" t="str">
        <f>"PFES1162674051_0001"</f>
        <v>PFES1162674051_0001</v>
      </c>
      <c r="L2640" s="16">
        <v>1</v>
      </c>
      <c r="M2640" s="16">
        <v>1</v>
      </c>
    </row>
    <row r="2641" spans="1:13">
      <c r="A2641" s="6">
        <v>43515</v>
      </c>
      <c r="B2641" s="7">
        <v>0.62847222222222221</v>
      </c>
      <c r="C2641" s="16" t="str">
        <f>"FES1162674106"</f>
        <v>FES1162674106</v>
      </c>
      <c r="D2641" s="16" t="s">
        <v>18</v>
      </c>
      <c r="E2641" s="16" t="s">
        <v>630</v>
      </c>
      <c r="F2641" s="16" t="str">
        <f>"2170675184 "</f>
        <v xml:space="preserve">2170675184 </v>
      </c>
      <c r="G2641" s="16" t="str">
        <f t="shared" si="77"/>
        <v>ON1</v>
      </c>
      <c r="H2641" s="16" t="s">
        <v>20</v>
      </c>
      <c r="I2641" s="16" t="s">
        <v>141</v>
      </c>
      <c r="J2641" s="16" t="str">
        <f>""</f>
        <v/>
      </c>
      <c r="K2641" s="16" t="str">
        <f>"PFES1162674106_0001"</f>
        <v>PFES1162674106_0001</v>
      </c>
      <c r="L2641" s="16">
        <v>1</v>
      </c>
      <c r="M2641" s="16">
        <v>1</v>
      </c>
    </row>
    <row r="2642" spans="1:13">
      <c r="A2642" s="6">
        <v>43515</v>
      </c>
      <c r="B2642" s="7">
        <v>0.62777777777777777</v>
      </c>
      <c r="C2642" s="16" t="str">
        <f>"FES1162674095"</f>
        <v>FES1162674095</v>
      </c>
      <c r="D2642" s="16" t="s">
        <v>18</v>
      </c>
      <c r="E2642" s="16" t="s">
        <v>136</v>
      </c>
      <c r="F2642" s="16" t="str">
        <f>"2170675180 "</f>
        <v xml:space="preserve">2170675180 </v>
      </c>
      <c r="G2642" s="16" t="str">
        <f t="shared" si="77"/>
        <v>ON1</v>
      </c>
      <c r="H2642" s="16" t="s">
        <v>20</v>
      </c>
      <c r="I2642" s="16" t="s">
        <v>137</v>
      </c>
      <c r="J2642" s="16" t="str">
        <f>""</f>
        <v/>
      </c>
      <c r="K2642" s="16" t="str">
        <f>"PFES1162674095_0001"</f>
        <v>PFES1162674095_0001</v>
      </c>
      <c r="L2642" s="16">
        <v>1</v>
      </c>
      <c r="M2642" s="16">
        <v>1</v>
      </c>
    </row>
    <row r="2643" spans="1:13">
      <c r="A2643" s="6">
        <v>43515</v>
      </c>
      <c r="B2643" s="7">
        <v>0.62777777777777777</v>
      </c>
      <c r="C2643" s="16" t="str">
        <f>"FES1162674079"</f>
        <v>FES1162674079</v>
      </c>
      <c r="D2643" s="16" t="s">
        <v>18</v>
      </c>
      <c r="E2643" s="16" t="s">
        <v>180</v>
      </c>
      <c r="F2643" s="16" t="str">
        <f>"2170675161 "</f>
        <v xml:space="preserve">2170675161 </v>
      </c>
      <c r="G2643" s="16" t="str">
        <f t="shared" si="77"/>
        <v>ON1</v>
      </c>
      <c r="H2643" s="16" t="s">
        <v>20</v>
      </c>
      <c r="I2643" s="16" t="s">
        <v>93</v>
      </c>
      <c r="J2643" s="16" t="str">
        <f>""</f>
        <v/>
      </c>
      <c r="K2643" s="16" t="str">
        <f>"PFES1162674079_0001"</f>
        <v>PFES1162674079_0001</v>
      </c>
      <c r="L2643" s="16">
        <v>1</v>
      </c>
      <c r="M2643" s="16">
        <v>1</v>
      </c>
    </row>
    <row r="2644" spans="1:13">
      <c r="A2644" s="6">
        <v>43515</v>
      </c>
      <c r="B2644" s="7">
        <v>0.62708333333333333</v>
      </c>
      <c r="C2644" s="16" t="str">
        <f>"FES1162674078"</f>
        <v>FES1162674078</v>
      </c>
      <c r="D2644" s="16" t="s">
        <v>18</v>
      </c>
      <c r="E2644" s="16" t="s">
        <v>88</v>
      </c>
      <c r="F2644" s="16" t="str">
        <f>"2170675160 "</f>
        <v xml:space="preserve">2170675160 </v>
      </c>
      <c r="G2644" s="16" t="str">
        <f t="shared" si="77"/>
        <v>ON1</v>
      </c>
      <c r="H2644" s="16" t="s">
        <v>20</v>
      </c>
      <c r="I2644" s="16" t="s">
        <v>53</v>
      </c>
      <c r="J2644" s="16" t="str">
        <f>""</f>
        <v/>
      </c>
      <c r="K2644" s="16" t="str">
        <f>"PFES1162674078_0001"</f>
        <v>PFES1162674078_0001</v>
      </c>
      <c r="L2644" s="16">
        <v>1</v>
      </c>
      <c r="M2644" s="16">
        <v>1</v>
      </c>
    </row>
    <row r="2645" spans="1:13">
      <c r="A2645" s="6">
        <v>43515</v>
      </c>
      <c r="B2645" s="7">
        <v>0.62638888888888888</v>
      </c>
      <c r="C2645" s="16" t="str">
        <f>"FES1162674025"</f>
        <v>FES1162674025</v>
      </c>
      <c r="D2645" s="16" t="s">
        <v>18</v>
      </c>
      <c r="E2645" s="16" t="s">
        <v>521</v>
      </c>
      <c r="F2645" s="16" t="str">
        <f>"2170672879 "</f>
        <v xml:space="preserve">2170672879 </v>
      </c>
      <c r="G2645" s="16" t="str">
        <f t="shared" si="77"/>
        <v>ON1</v>
      </c>
      <c r="H2645" s="16" t="s">
        <v>20</v>
      </c>
      <c r="I2645" s="16" t="s">
        <v>445</v>
      </c>
      <c r="J2645" s="16" t="str">
        <f>""</f>
        <v/>
      </c>
      <c r="K2645" s="16" t="str">
        <f>"PFES1162674025_0001"</f>
        <v>PFES1162674025_0001</v>
      </c>
      <c r="L2645" s="16">
        <v>1</v>
      </c>
      <c r="M2645" s="16">
        <v>1</v>
      </c>
    </row>
    <row r="2646" spans="1:13">
      <c r="A2646" s="6">
        <v>43515</v>
      </c>
      <c r="B2646" s="7">
        <v>0.62430555555555556</v>
      </c>
      <c r="C2646" s="16" t="str">
        <f>"FES1162674054"</f>
        <v>FES1162674054</v>
      </c>
      <c r="D2646" s="16" t="s">
        <v>18</v>
      </c>
      <c r="E2646" s="16" t="s">
        <v>626</v>
      </c>
      <c r="F2646" s="16" t="str">
        <f>"2170674905 "</f>
        <v xml:space="preserve">2170674905 </v>
      </c>
      <c r="G2646" s="16" t="str">
        <f t="shared" si="77"/>
        <v>ON1</v>
      </c>
      <c r="H2646" s="16" t="s">
        <v>20</v>
      </c>
      <c r="I2646" s="16" t="s">
        <v>141</v>
      </c>
      <c r="J2646" s="16" t="str">
        <f>""</f>
        <v/>
      </c>
      <c r="K2646" s="16" t="str">
        <f>"PFES1162674054_0001"</f>
        <v>PFES1162674054_0001</v>
      </c>
      <c r="L2646" s="16">
        <v>1</v>
      </c>
      <c r="M2646" s="16">
        <v>3</v>
      </c>
    </row>
    <row r="2647" spans="1:13">
      <c r="A2647" s="6">
        <v>43515</v>
      </c>
      <c r="B2647" s="7">
        <v>0.62152777777777779</v>
      </c>
      <c r="C2647" s="16" t="str">
        <f>"FES1162674030"</f>
        <v>FES1162674030</v>
      </c>
      <c r="D2647" s="16" t="s">
        <v>18</v>
      </c>
      <c r="E2647" s="16" t="s">
        <v>88</v>
      </c>
      <c r="F2647" s="16" t="str">
        <f>"2170675100 "</f>
        <v xml:space="preserve">2170675100 </v>
      </c>
      <c r="G2647" s="16" t="str">
        <f t="shared" si="77"/>
        <v>ON1</v>
      </c>
      <c r="H2647" s="16" t="s">
        <v>20</v>
      </c>
      <c r="I2647" s="16" t="s">
        <v>53</v>
      </c>
      <c r="J2647" s="16" t="str">
        <f>""</f>
        <v/>
      </c>
      <c r="K2647" s="16" t="str">
        <f>"PFES1162674030_0001"</f>
        <v>PFES1162674030_0001</v>
      </c>
      <c r="L2647" s="16">
        <v>1</v>
      </c>
      <c r="M2647" s="16">
        <v>1</v>
      </c>
    </row>
    <row r="2648" spans="1:13">
      <c r="A2648" s="6">
        <v>43515</v>
      </c>
      <c r="B2648" s="7">
        <v>0.62083333333333335</v>
      </c>
      <c r="C2648" s="16" t="str">
        <f>"FES1162674093"</f>
        <v>FES1162674093</v>
      </c>
      <c r="D2648" s="16" t="s">
        <v>18</v>
      </c>
      <c r="E2648" s="16" t="s">
        <v>992</v>
      </c>
      <c r="F2648" s="16" t="str">
        <f>"2170675176 "</f>
        <v xml:space="preserve">2170675176 </v>
      </c>
      <c r="G2648" s="16" t="str">
        <f t="shared" si="77"/>
        <v>ON1</v>
      </c>
      <c r="H2648" s="16" t="s">
        <v>20</v>
      </c>
      <c r="I2648" s="16" t="s">
        <v>993</v>
      </c>
      <c r="J2648" s="16" t="str">
        <f>""</f>
        <v/>
      </c>
      <c r="K2648" s="16" t="str">
        <f>"PFES1162674093_0001"</f>
        <v>PFES1162674093_0001</v>
      </c>
      <c r="L2648" s="16">
        <v>1</v>
      </c>
      <c r="M2648" s="16">
        <v>1</v>
      </c>
    </row>
    <row r="2649" spans="1:13">
      <c r="A2649" s="6">
        <v>43515</v>
      </c>
      <c r="B2649" s="7">
        <v>0.61875000000000002</v>
      </c>
      <c r="C2649" s="16" t="str">
        <f>"FES1162673883"</f>
        <v>FES1162673883</v>
      </c>
      <c r="D2649" s="16" t="s">
        <v>18</v>
      </c>
      <c r="E2649" s="16" t="s">
        <v>380</v>
      </c>
      <c r="F2649" s="16" t="str">
        <f>"2170674954 "</f>
        <v xml:space="preserve">2170674954 </v>
      </c>
      <c r="G2649" s="16" t="str">
        <f t="shared" si="77"/>
        <v>ON1</v>
      </c>
      <c r="H2649" s="16" t="s">
        <v>20</v>
      </c>
      <c r="I2649" s="16" t="s">
        <v>213</v>
      </c>
      <c r="J2649" s="16" t="str">
        <f>""</f>
        <v/>
      </c>
      <c r="K2649" s="16" t="str">
        <f>"PFES1162673883_0001"</f>
        <v>PFES1162673883_0001</v>
      </c>
      <c r="L2649" s="16">
        <v>1</v>
      </c>
      <c r="M2649" s="16">
        <v>1</v>
      </c>
    </row>
    <row r="2650" spans="1:13">
      <c r="A2650" s="6">
        <v>43515</v>
      </c>
      <c r="B2650" s="7">
        <v>0.61875000000000002</v>
      </c>
      <c r="C2650" s="16" t="str">
        <f>"FES1162673854"</f>
        <v>FES1162673854</v>
      </c>
      <c r="D2650" s="16" t="s">
        <v>18</v>
      </c>
      <c r="E2650" s="16" t="s">
        <v>293</v>
      </c>
      <c r="F2650" s="16" t="str">
        <f>"2170671271 "</f>
        <v xml:space="preserve">2170671271 </v>
      </c>
      <c r="G2650" s="16" t="str">
        <f t="shared" si="77"/>
        <v>ON1</v>
      </c>
      <c r="H2650" s="16" t="s">
        <v>20</v>
      </c>
      <c r="I2650" s="16" t="s">
        <v>294</v>
      </c>
      <c r="J2650" s="16" t="str">
        <f>""</f>
        <v/>
      </c>
      <c r="K2650" s="16" t="str">
        <f>"PFES1162673854_0001"</f>
        <v>PFES1162673854_0001</v>
      </c>
      <c r="L2650" s="16">
        <v>1</v>
      </c>
      <c r="M2650" s="16">
        <v>3</v>
      </c>
    </row>
    <row r="2651" spans="1:13">
      <c r="A2651" s="6">
        <v>43515</v>
      </c>
      <c r="B2651" s="7">
        <v>0.61875000000000002</v>
      </c>
      <c r="C2651" s="16" t="str">
        <f>"FES1162674049"</f>
        <v>FES1162674049</v>
      </c>
      <c r="D2651" s="16" t="s">
        <v>18</v>
      </c>
      <c r="E2651" s="16" t="s">
        <v>186</v>
      </c>
      <c r="F2651" s="16" t="str">
        <f>"2170674812 "</f>
        <v xml:space="preserve">2170674812 </v>
      </c>
      <c r="G2651" s="16" t="str">
        <f t="shared" si="77"/>
        <v>ON1</v>
      </c>
      <c r="H2651" s="16" t="s">
        <v>20</v>
      </c>
      <c r="I2651" s="16" t="s">
        <v>48</v>
      </c>
      <c r="J2651" s="16" t="str">
        <f>""</f>
        <v/>
      </c>
      <c r="K2651" s="16" t="str">
        <f>"PFES1162674049_0001"</f>
        <v>PFES1162674049_0001</v>
      </c>
      <c r="L2651" s="16">
        <v>1</v>
      </c>
      <c r="M2651" s="16">
        <v>1</v>
      </c>
    </row>
    <row r="2652" spans="1:13">
      <c r="A2652" s="6">
        <v>43515</v>
      </c>
      <c r="B2652" s="7">
        <v>0.61875000000000002</v>
      </c>
      <c r="C2652" s="16" t="str">
        <f>"FES1162674013"</f>
        <v>FES1162674013</v>
      </c>
      <c r="D2652" s="16" t="s">
        <v>18</v>
      </c>
      <c r="E2652" s="16" t="s">
        <v>372</v>
      </c>
      <c r="F2652" s="16" t="str">
        <f>"2170675078 "</f>
        <v xml:space="preserve">2170675078 </v>
      </c>
      <c r="G2652" s="16" t="str">
        <f t="shared" si="77"/>
        <v>ON1</v>
      </c>
      <c r="H2652" s="16" t="s">
        <v>20</v>
      </c>
      <c r="I2652" s="16" t="s">
        <v>143</v>
      </c>
      <c r="J2652" s="16" t="str">
        <f>""</f>
        <v/>
      </c>
      <c r="K2652" s="16" t="str">
        <f>"PFES1162674013_0001"</f>
        <v>PFES1162674013_0001</v>
      </c>
      <c r="L2652" s="16">
        <v>1</v>
      </c>
      <c r="M2652" s="16">
        <v>1</v>
      </c>
    </row>
    <row r="2653" spans="1:13">
      <c r="A2653" s="6">
        <v>43515</v>
      </c>
      <c r="B2653" s="7">
        <v>0.61805555555555558</v>
      </c>
      <c r="C2653" s="16" t="str">
        <f>"FES1162674086"</f>
        <v>FES1162674086</v>
      </c>
      <c r="D2653" s="16" t="s">
        <v>18</v>
      </c>
      <c r="E2653" s="16" t="s">
        <v>639</v>
      </c>
      <c r="F2653" s="16" t="str">
        <f>"2170675174 "</f>
        <v xml:space="preserve">2170675174 </v>
      </c>
      <c r="G2653" s="16" t="str">
        <f t="shared" si="77"/>
        <v>ON1</v>
      </c>
      <c r="H2653" s="16" t="s">
        <v>20</v>
      </c>
      <c r="I2653" s="16" t="s">
        <v>539</v>
      </c>
      <c r="J2653" s="16" t="str">
        <f>""</f>
        <v/>
      </c>
      <c r="K2653" s="16" t="str">
        <f>"PFES1162674086_0001"</f>
        <v>PFES1162674086_0001</v>
      </c>
      <c r="L2653" s="16">
        <v>1</v>
      </c>
      <c r="M2653" s="16">
        <v>1</v>
      </c>
    </row>
    <row r="2654" spans="1:13">
      <c r="A2654" s="6">
        <v>43515</v>
      </c>
      <c r="B2654" s="7">
        <v>0.61805555555555558</v>
      </c>
      <c r="C2654" s="16" t="str">
        <f>"FES1162673909"</f>
        <v>FES1162673909</v>
      </c>
      <c r="D2654" s="16" t="s">
        <v>18</v>
      </c>
      <c r="E2654" s="16" t="s">
        <v>151</v>
      </c>
      <c r="F2654" s="16" t="str">
        <f>"2170674998 "</f>
        <v xml:space="preserve">2170674998 </v>
      </c>
      <c r="G2654" s="16" t="str">
        <f t="shared" si="77"/>
        <v>ON1</v>
      </c>
      <c r="H2654" s="16" t="s">
        <v>20</v>
      </c>
      <c r="I2654" s="16" t="s">
        <v>63</v>
      </c>
      <c r="J2654" s="16" t="str">
        <f>""</f>
        <v/>
      </c>
      <c r="K2654" s="16" t="str">
        <f>"PFES1162673909_0001"</f>
        <v>PFES1162673909_0001</v>
      </c>
      <c r="L2654" s="16">
        <v>1</v>
      </c>
      <c r="M2654" s="16">
        <v>8</v>
      </c>
    </row>
    <row r="2655" spans="1:13">
      <c r="A2655" s="6">
        <v>43515</v>
      </c>
      <c r="B2655" s="7">
        <v>0.61805555555555558</v>
      </c>
      <c r="C2655" s="16" t="str">
        <f>"FES1162674084"</f>
        <v>FES1162674084</v>
      </c>
      <c r="D2655" s="16" t="s">
        <v>18</v>
      </c>
      <c r="E2655" s="16" t="s">
        <v>64</v>
      </c>
      <c r="F2655" s="16" t="str">
        <f>"2170675171 "</f>
        <v xml:space="preserve">2170675171 </v>
      </c>
      <c r="G2655" s="16" t="str">
        <f t="shared" si="77"/>
        <v>ON1</v>
      </c>
      <c r="H2655" s="16" t="s">
        <v>20</v>
      </c>
      <c r="I2655" s="16" t="s">
        <v>65</v>
      </c>
      <c r="J2655" s="16" t="str">
        <f>""</f>
        <v/>
      </c>
      <c r="K2655" s="16" t="str">
        <f>"PFES1162674084_0001"</f>
        <v>PFES1162674084_0001</v>
      </c>
      <c r="L2655" s="16">
        <v>1</v>
      </c>
      <c r="M2655" s="16">
        <v>1</v>
      </c>
    </row>
    <row r="2656" spans="1:13">
      <c r="A2656" s="6">
        <v>43515</v>
      </c>
      <c r="B2656" s="7">
        <v>0.61736111111111114</v>
      </c>
      <c r="C2656" s="16" t="str">
        <f>"FES1162674064"</f>
        <v>FES1162674064</v>
      </c>
      <c r="D2656" s="16" t="s">
        <v>18</v>
      </c>
      <c r="E2656" s="16" t="s">
        <v>181</v>
      </c>
      <c r="F2656" s="16" t="str">
        <f>"2170670461 "</f>
        <v xml:space="preserve">2170670461 </v>
      </c>
      <c r="G2656" s="16" t="str">
        <f t="shared" si="77"/>
        <v>ON1</v>
      </c>
      <c r="H2656" s="16" t="s">
        <v>20</v>
      </c>
      <c r="I2656" s="16" t="s">
        <v>182</v>
      </c>
      <c r="J2656" s="16" t="str">
        <f>""</f>
        <v/>
      </c>
      <c r="K2656" s="16" t="str">
        <f>"PFES1162674064_0001"</f>
        <v>PFES1162674064_0001</v>
      </c>
      <c r="L2656" s="16">
        <v>1</v>
      </c>
      <c r="M2656" s="16">
        <v>1</v>
      </c>
    </row>
    <row r="2657" spans="1:13">
      <c r="A2657" s="6">
        <v>43515</v>
      </c>
      <c r="B2657" s="7">
        <v>0.61736111111111114</v>
      </c>
      <c r="C2657" s="16" t="str">
        <f>"FES1162673993"</f>
        <v>FES1162673993</v>
      </c>
      <c r="D2657" s="16" t="s">
        <v>18</v>
      </c>
      <c r="E2657" s="16" t="s">
        <v>687</v>
      </c>
      <c r="F2657" s="16" t="str">
        <f>"2170675047 "</f>
        <v xml:space="preserve">2170675047 </v>
      </c>
      <c r="G2657" s="16" t="str">
        <f t="shared" si="77"/>
        <v>ON1</v>
      </c>
      <c r="H2657" s="16" t="s">
        <v>20</v>
      </c>
      <c r="I2657" s="16" t="s">
        <v>688</v>
      </c>
      <c r="J2657" s="16" t="str">
        <f>""</f>
        <v/>
      </c>
      <c r="K2657" s="16" t="str">
        <f>"PFES1162673993_0001"</f>
        <v>PFES1162673993_0001</v>
      </c>
      <c r="L2657" s="16">
        <v>1</v>
      </c>
      <c r="M2657" s="16">
        <v>2</v>
      </c>
    </row>
    <row r="2658" spans="1:13">
      <c r="A2658" s="6">
        <v>43515</v>
      </c>
      <c r="B2658" s="7">
        <v>0.61736111111111114</v>
      </c>
      <c r="C2658" s="16" t="str">
        <f>"FES1162674062"</f>
        <v>FES1162674062</v>
      </c>
      <c r="D2658" s="16" t="s">
        <v>18</v>
      </c>
      <c r="E2658" s="16" t="s">
        <v>879</v>
      </c>
      <c r="F2658" s="16" t="str">
        <f>"2170675144 "</f>
        <v xml:space="preserve">2170675144 </v>
      </c>
      <c r="G2658" s="16" t="str">
        <f t="shared" si="77"/>
        <v>ON1</v>
      </c>
      <c r="H2658" s="16" t="s">
        <v>20</v>
      </c>
      <c r="I2658" s="16" t="s">
        <v>276</v>
      </c>
      <c r="J2658" s="16" t="str">
        <f>""</f>
        <v/>
      </c>
      <c r="K2658" s="16" t="str">
        <f>"PFES1162674062_0001"</f>
        <v>PFES1162674062_0001</v>
      </c>
      <c r="L2658" s="16">
        <v>1</v>
      </c>
      <c r="M2658" s="16">
        <v>1</v>
      </c>
    </row>
    <row r="2659" spans="1:13">
      <c r="A2659" s="6">
        <v>43515</v>
      </c>
      <c r="B2659" s="7">
        <v>0.61736111111111114</v>
      </c>
      <c r="C2659" s="16" t="str">
        <f>"FES1162674068"</f>
        <v>FES1162674068</v>
      </c>
      <c r="D2659" s="16" t="s">
        <v>18</v>
      </c>
      <c r="E2659" s="16" t="s">
        <v>88</v>
      </c>
      <c r="F2659" s="16" t="str">
        <f>"2170675146 "</f>
        <v xml:space="preserve">2170675146 </v>
      </c>
      <c r="G2659" s="16" t="str">
        <f t="shared" si="77"/>
        <v>ON1</v>
      </c>
      <c r="H2659" s="16" t="s">
        <v>20</v>
      </c>
      <c r="I2659" s="16" t="s">
        <v>53</v>
      </c>
      <c r="J2659" s="16" t="str">
        <f>""</f>
        <v/>
      </c>
      <c r="K2659" s="16" t="str">
        <f>"PFES1162674068_0001"</f>
        <v>PFES1162674068_0001</v>
      </c>
      <c r="L2659" s="16">
        <v>1</v>
      </c>
      <c r="M2659" s="16">
        <v>1</v>
      </c>
    </row>
    <row r="2660" spans="1:13">
      <c r="A2660" s="6">
        <v>43515</v>
      </c>
      <c r="B2660" s="7">
        <v>0.6166666666666667</v>
      </c>
      <c r="C2660" s="16" t="str">
        <f>"FES1162674063"</f>
        <v>FES1162674063</v>
      </c>
      <c r="D2660" s="16" t="s">
        <v>18</v>
      </c>
      <c r="E2660" s="16" t="s">
        <v>178</v>
      </c>
      <c r="F2660" s="16" t="str">
        <f>"2170675145 "</f>
        <v xml:space="preserve">2170675145 </v>
      </c>
      <c r="G2660" s="16" t="str">
        <f t="shared" si="77"/>
        <v>ON1</v>
      </c>
      <c r="H2660" s="16" t="s">
        <v>20</v>
      </c>
      <c r="I2660" s="16" t="s">
        <v>390</v>
      </c>
      <c r="J2660" s="16" t="str">
        <f>""</f>
        <v/>
      </c>
      <c r="K2660" s="16" t="str">
        <f>"PFES1162674063_0001"</f>
        <v>PFES1162674063_0001</v>
      </c>
      <c r="L2660" s="16">
        <v>1</v>
      </c>
      <c r="M2660" s="16">
        <v>1</v>
      </c>
    </row>
    <row r="2661" spans="1:13">
      <c r="A2661" s="6">
        <v>43515</v>
      </c>
      <c r="B2661" s="7">
        <v>0.6166666666666667</v>
      </c>
      <c r="C2661" s="16" t="str">
        <f>"FES1162673858"</f>
        <v>FES1162673858</v>
      </c>
      <c r="D2661" s="16" t="s">
        <v>18</v>
      </c>
      <c r="E2661" s="16" t="s">
        <v>88</v>
      </c>
      <c r="F2661" s="16" t="str">
        <f>"2170672685 "</f>
        <v xml:space="preserve">2170672685 </v>
      </c>
      <c r="G2661" s="16" t="str">
        <f t="shared" si="77"/>
        <v>ON1</v>
      </c>
      <c r="H2661" s="16" t="s">
        <v>20</v>
      </c>
      <c r="I2661" s="16" t="s">
        <v>53</v>
      </c>
      <c r="J2661" s="16" t="str">
        <f>""</f>
        <v/>
      </c>
      <c r="K2661" s="16" t="str">
        <f>"PFES1162673858_0001"</f>
        <v>PFES1162673858_0001</v>
      </c>
      <c r="L2661" s="16">
        <v>1</v>
      </c>
      <c r="M2661" s="16">
        <v>1</v>
      </c>
    </row>
    <row r="2662" spans="1:13">
      <c r="A2662" s="6">
        <v>43515</v>
      </c>
      <c r="B2662" s="7">
        <v>0.6166666666666667</v>
      </c>
      <c r="C2662" s="16" t="str">
        <f>"FES1162674019"</f>
        <v>FES1162674019</v>
      </c>
      <c r="D2662" s="16" t="s">
        <v>18</v>
      </c>
      <c r="E2662" s="16" t="s">
        <v>1042</v>
      </c>
      <c r="F2662" s="16" t="str">
        <f>"2170675085 "</f>
        <v xml:space="preserve">2170675085 </v>
      </c>
      <c r="G2662" s="16" t="str">
        <f t="shared" ref="G2662:G2725" si="78">"ON1"</f>
        <v>ON1</v>
      </c>
      <c r="H2662" s="16" t="s">
        <v>20</v>
      </c>
      <c r="I2662" s="16" t="s">
        <v>1043</v>
      </c>
      <c r="J2662" s="16" t="str">
        <f>""</f>
        <v/>
      </c>
      <c r="K2662" s="16" t="str">
        <f>"PFES1162674019_0001"</f>
        <v>PFES1162674019_0001</v>
      </c>
      <c r="L2662" s="16">
        <v>1</v>
      </c>
      <c r="M2662" s="16">
        <v>4</v>
      </c>
    </row>
    <row r="2663" spans="1:13">
      <c r="A2663" s="6">
        <v>43515</v>
      </c>
      <c r="B2663" s="7">
        <v>0.6166666666666667</v>
      </c>
      <c r="C2663" s="16" t="str">
        <f>"FES1162674102"</f>
        <v>FES1162674102</v>
      </c>
      <c r="D2663" s="16" t="s">
        <v>18</v>
      </c>
      <c r="E2663" s="16" t="s">
        <v>114</v>
      </c>
      <c r="F2663" s="16" t="str">
        <f>"2170672344 "</f>
        <v xml:space="preserve">2170672344 </v>
      </c>
      <c r="G2663" s="16" t="str">
        <f t="shared" si="78"/>
        <v>ON1</v>
      </c>
      <c r="H2663" s="16" t="s">
        <v>20</v>
      </c>
      <c r="I2663" s="16" t="s">
        <v>111</v>
      </c>
      <c r="J2663" s="16" t="str">
        <f>""</f>
        <v/>
      </c>
      <c r="K2663" s="16" t="str">
        <f>"PFES1162674102_0001"</f>
        <v>PFES1162674102_0001</v>
      </c>
      <c r="L2663" s="16">
        <v>1</v>
      </c>
      <c r="M2663" s="16">
        <v>1</v>
      </c>
    </row>
    <row r="2664" spans="1:13">
      <c r="A2664" s="6">
        <v>43515</v>
      </c>
      <c r="B2664" s="7">
        <v>0.61597222222222225</v>
      </c>
      <c r="C2664" s="16" t="str">
        <f>"FES1162674081"</f>
        <v>FES1162674081</v>
      </c>
      <c r="D2664" s="16" t="s">
        <v>18</v>
      </c>
      <c r="E2664" s="16" t="s">
        <v>1044</v>
      </c>
      <c r="F2664" s="16" t="str">
        <f>"2170675167 "</f>
        <v xml:space="preserve">2170675167 </v>
      </c>
      <c r="G2664" s="16" t="str">
        <f t="shared" si="78"/>
        <v>ON1</v>
      </c>
      <c r="H2664" s="16" t="s">
        <v>20</v>
      </c>
      <c r="I2664" s="16" t="s">
        <v>111</v>
      </c>
      <c r="J2664" s="16" t="str">
        <f>""</f>
        <v/>
      </c>
      <c r="K2664" s="16" t="str">
        <f>"PFES1162674081_0001"</f>
        <v>PFES1162674081_0001</v>
      </c>
      <c r="L2664" s="16">
        <v>1</v>
      </c>
      <c r="M2664" s="16">
        <v>1</v>
      </c>
    </row>
    <row r="2665" spans="1:13">
      <c r="A2665" s="6">
        <v>43515</v>
      </c>
      <c r="B2665" s="7">
        <v>0.61527777777777781</v>
      </c>
      <c r="C2665" s="16" t="str">
        <f>"FES1162674046"</f>
        <v>FES1162674046</v>
      </c>
      <c r="D2665" s="16" t="s">
        <v>18</v>
      </c>
      <c r="E2665" s="16" t="s">
        <v>521</v>
      </c>
      <c r="F2665" s="16" t="str">
        <f>"2170675125 "</f>
        <v xml:space="preserve">2170675125 </v>
      </c>
      <c r="G2665" s="16" t="str">
        <f t="shared" si="78"/>
        <v>ON1</v>
      </c>
      <c r="H2665" s="16" t="s">
        <v>20</v>
      </c>
      <c r="I2665" s="16" t="s">
        <v>445</v>
      </c>
      <c r="J2665" s="16" t="str">
        <f>""</f>
        <v/>
      </c>
      <c r="K2665" s="16" t="str">
        <f>"PFES1162674046_0001"</f>
        <v>PFES1162674046_0001</v>
      </c>
      <c r="L2665" s="16">
        <v>1</v>
      </c>
      <c r="M2665" s="16">
        <v>1</v>
      </c>
    </row>
    <row r="2666" spans="1:13">
      <c r="A2666" s="6">
        <v>43515</v>
      </c>
      <c r="B2666" s="7">
        <v>0.61527777777777781</v>
      </c>
      <c r="C2666" s="16" t="str">
        <f>"FES1162674027"</f>
        <v>FES1162674027</v>
      </c>
      <c r="D2666" s="16" t="s">
        <v>18</v>
      </c>
      <c r="E2666" s="16" t="s">
        <v>1045</v>
      </c>
      <c r="F2666" s="16" t="str">
        <f>"2170675054 "</f>
        <v xml:space="preserve">2170675054 </v>
      </c>
      <c r="G2666" s="16" t="str">
        <f t="shared" si="78"/>
        <v>ON1</v>
      </c>
      <c r="H2666" s="16" t="s">
        <v>20</v>
      </c>
      <c r="I2666" s="16" t="s">
        <v>143</v>
      </c>
      <c r="J2666" s="16" t="str">
        <f>""</f>
        <v/>
      </c>
      <c r="K2666" s="16" t="str">
        <f>"PFES1162674027_0001"</f>
        <v>PFES1162674027_0001</v>
      </c>
      <c r="L2666" s="16">
        <v>1</v>
      </c>
      <c r="M2666" s="16">
        <v>2</v>
      </c>
    </row>
    <row r="2667" spans="1:13">
      <c r="A2667" s="6">
        <v>43515</v>
      </c>
      <c r="B2667" s="7">
        <v>0.61458333333333337</v>
      </c>
      <c r="C2667" s="16" t="str">
        <f>"FES1162674045"</f>
        <v>FES1162674045</v>
      </c>
      <c r="D2667" s="16" t="s">
        <v>18</v>
      </c>
      <c r="E2667" s="16" t="s">
        <v>1046</v>
      </c>
      <c r="F2667" s="16" t="str">
        <f>"2170675123 "</f>
        <v xml:space="preserve">2170675123 </v>
      </c>
      <c r="G2667" s="16" t="str">
        <f t="shared" si="78"/>
        <v>ON1</v>
      </c>
      <c r="H2667" s="16" t="s">
        <v>20</v>
      </c>
      <c r="I2667" s="16" t="s">
        <v>341</v>
      </c>
      <c r="J2667" s="16" t="str">
        <f>""</f>
        <v/>
      </c>
      <c r="K2667" s="16" t="str">
        <f>"PFES1162674045_0001"</f>
        <v>PFES1162674045_0001</v>
      </c>
      <c r="L2667" s="16">
        <v>1</v>
      </c>
      <c r="M2667" s="16">
        <v>7</v>
      </c>
    </row>
    <row r="2668" spans="1:13">
      <c r="A2668" s="6">
        <v>43515</v>
      </c>
      <c r="B2668" s="7">
        <v>0.61319444444444449</v>
      </c>
      <c r="C2668" s="16" t="str">
        <f>"FES1162674056"</f>
        <v>FES1162674056</v>
      </c>
      <c r="D2668" s="16" t="s">
        <v>18</v>
      </c>
      <c r="E2668" s="16" t="s">
        <v>187</v>
      </c>
      <c r="F2668" s="16" t="str">
        <f>"2170674899 "</f>
        <v xml:space="preserve">2170674899 </v>
      </c>
      <c r="G2668" s="16" t="str">
        <f t="shared" si="78"/>
        <v>ON1</v>
      </c>
      <c r="H2668" s="16" t="s">
        <v>20</v>
      </c>
      <c r="I2668" s="16" t="s">
        <v>188</v>
      </c>
      <c r="J2668" s="16" t="str">
        <f>""</f>
        <v/>
      </c>
      <c r="K2668" s="16" t="str">
        <f>"PFES1162674056_0001"</f>
        <v>PFES1162674056_0001</v>
      </c>
      <c r="L2668" s="16">
        <v>1</v>
      </c>
      <c r="M2668" s="16">
        <v>10</v>
      </c>
    </row>
    <row r="2669" spans="1:13">
      <c r="A2669" s="6">
        <v>43515</v>
      </c>
      <c r="B2669" s="7">
        <v>0.61249999999999993</v>
      </c>
      <c r="C2669" s="16" t="str">
        <f>"FES1162674034"</f>
        <v>FES1162674034</v>
      </c>
      <c r="D2669" s="16" t="s">
        <v>18</v>
      </c>
      <c r="E2669" s="16" t="s">
        <v>253</v>
      </c>
      <c r="F2669" s="16" t="str">
        <f>"2170675104 "</f>
        <v xml:space="preserve">2170675104 </v>
      </c>
      <c r="G2669" s="16" t="str">
        <f t="shared" si="78"/>
        <v>ON1</v>
      </c>
      <c r="H2669" s="16" t="s">
        <v>20</v>
      </c>
      <c r="I2669" s="16" t="s">
        <v>226</v>
      </c>
      <c r="J2669" s="16" t="str">
        <f>""</f>
        <v/>
      </c>
      <c r="K2669" s="16" t="str">
        <f>"PFES1162674034_0001"</f>
        <v>PFES1162674034_0001</v>
      </c>
      <c r="L2669" s="16">
        <v>1</v>
      </c>
      <c r="M2669" s="16">
        <v>2</v>
      </c>
    </row>
    <row r="2670" spans="1:13">
      <c r="A2670" s="6">
        <v>43515</v>
      </c>
      <c r="B2670" s="7">
        <v>0.6118055555555556</v>
      </c>
      <c r="C2670" s="16" t="str">
        <f>"FES1162673973"</f>
        <v>FES1162673973</v>
      </c>
      <c r="D2670" s="16" t="s">
        <v>18</v>
      </c>
      <c r="E2670" s="16" t="s">
        <v>709</v>
      </c>
      <c r="F2670" s="16" t="str">
        <f>"2170673608 "</f>
        <v xml:space="preserve">2170673608 </v>
      </c>
      <c r="G2670" s="16" t="str">
        <f t="shared" si="78"/>
        <v>ON1</v>
      </c>
      <c r="H2670" s="16" t="s">
        <v>20</v>
      </c>
      <c r="I2670" s="16" t="s">
        <v>43</v>
      </c>
      <c r="J2670" s="16" t="str">
        <f>""</f>
        <v/>
      </c>
      <c r="K2670" s="16" t="str">
        <f>"PFES1162673973_0001"</f>
        <v>PFES1162673973_0001</v>
      </c>
      <c r="L2670" s="16">
        <v>1</v>
      </c>
      <c r="M2670" s="16">
        <v>4</v>
      </c>
    </row>
    <row r="2671" spans="1:13">
      <c r="A2671" s="6">
        <v>43515</v>
      </c>
      <c r="B2671" s="7">
        <v>0.61111111111111105</v>
      </c>
      <c r="C2671" s="16" t="str">
        <f>"FES1162674050"</f>
        <v>FES1162674050</v>
      </c>
      <c r="D2671" s="16" t="s">
        <v>18</v>
      </c>
      <c r="E2671" s="16" t="s">
        <v>69</v>
      </c>
      <c r="F2671" s="16" t="str">
        <f>"2170675133 "</f>
        <v xml:space="preserve">2170675133 </v>
      </c>
      <c r="G2671" s="16" t="str">
        <f t="shared" si="78"/>
        <v>ON1</v>
      </c>
      <c r="H2671" s="16" t="s">
        <v>20</v>
      </c>
      <c r="I2671" s="16" t="s">
        <v>70</v>
      </c>
      <c r="J2671" s="16" t="str">
        <f>""</f>
        <v/>
      </c>
      <c r="K2671" s="16" t="str">
        <f>"PFES1162674050_0001"</f>
        <v>PFES1162674050_0001</v>
      </c>
      <c r="L2671" s="16">
        <v>2</v>
      </c>
      <c r="M2671" s="16">
        <v>4</v>
      </c>
    </row>
    <row r="2672" spans="1:13">
      <c r="A2672" s="6">
        <v>43515</v>
      </c>
      <c r="B2672" s="7">
        <v>0.61111111111111105</v>
      </c>
      <c r="C2672" s="16" t="str">
        <f>"FES1162674050"</f>
        <v>FES1162674050</v>
      </c>
      <c r="D2672" s="16" t="s">
        <v>18</v>
      </c>
      <c r="E2672" s="16" t="s">
        <v>69</v>
      </c>
      <c r="F2672" s="16" t="str">
        <f>"2170675133 "</f>
        <v xml:space="preserve">2170675133 </v>
      </c>
      <c r="G2672" s="16" t="str">
        <f t="shared" si="78"/>
        <v>ON1</v>
      </c>
      <c r="H2672" s="16" t="s">
        <v>20</v>
      </c>
      <c r="I2672" s="16" t="s">
        <v>70</v>
      </c>
      <c r="J2672" s="16"/>
      <c r="K2672" s="16" t="str">
        <f>"PFES1162674050_0002"</f>
        <v>PFES1162674050_0002</v>
      </c>
      <c r="L2672" s="16">
        <v>2</v>
      </c>
      <c r="M2672" s="16">
        <v>4</v>
      </c>
    </row>
    <row r="2673" spans="1:13">
      <c r="A2673" s="6">
        <v>43515</v>
      </c>
      <c r="B2673" s="7">
        <v>0.61041666666666672</v>
      </c>
      <c r="C2673" s="16" t="str">
        <f>"FES1162674002"</f>
        <v>FES1162674002</v>
      </c>
      <c r="D2673" s="16" t="s">
        <v>18</v>
      </c>
      <c r="E2673" s="16" t="s">
        <v>382</v>
      </c>
      <c r="F2673" s="16" t="str">
        <f>"2170675070 "</f>
        <v xml:space="preserve">2170675070 </v>
      </c>
      <c r="G2673" s="16" t="str">
        <f t="shared" si="78"/>
        <v>ON1</v>
      </c>
      <c r="H2673" s="16" t="s">
        <v>20</v>
      </c>
      <c r="I2673" s="16" t="s">
        <v>383</v>
      </c>
      <c r="J2673" s="16" t="str">
        <f>""</f>
        <v/>
      </c>
      <c r="K2673" s="16" t="str">
        <f>"PFES1162674002_0001"</f>
        <v>PFES1162674002_0001</v>
      </c>
      <c r="L2673" s="16">
        <v>1</v>
      </c>
      <c r="M2673" s="16">
        <v>1</v>
      </c>
    </row>
    <row r="2674" spans="1:13">
      <c r="A2674" s="6">
        <v>43515</v>
      </c>
      <c r="B2674" s="7">
        <v>0.60972222222222217</v>
      </c>
      <c r="C2674" s="16" t="str">
        <f>"FES1162674053"</f>
        <v>FES1162674053</v>
      </c>
      <c r="D2674" s="16" t="s">
        <v>18</v>
      </c>
      <c r="E2674" s="16" t="s">
        <v>626</v>
      </c>
      <c r="F2674" s="16" t="str">
        <f>"2170674905 "</f>
        <v xml:space="preserve">2170674905 </v>
      </c>
      <c r="G2674" s="16" t="str">
        <f t="shared" si="78"/>
        <v>ON1</v>
      </c>
      <c r="H2674" s="16" t="s">
        <v>20</v>
      </c>
      <c r="I2674" s="16" t="s">
        <v>141</v>
      </c>
      <c r="J2674" s="16" t="str">
        <f>""</f>
        <v/>
      </c>
      <c r="K2674" s="16" t="str">
        <f>"PFES1162674053_0001"</f>
        <v>PFES1162674053_0001</v>
      </c>
      <c r="L2674" s="16">
        <v>1</v>
      </c>
      <c r="M2674" s="16">
        <v>3</v>
      </c>
    </row>
    <row r="2675" spans="1:13">
      <c r="A2675" s="6">
        <v>43515</v>
      </c>
      <c r="B2675" s="7">
        <v>0.60833333333333328</v>
      </c>
      <c r="C2675" s="16" t="str">
        <f>"FES1162674012"</f>
        <v>FES1162674012</v>
      </c>
      <c r="D2675" s="16" t="s">
        <v>18</v>
      </c>
      <c r="E2675" s="16" t="s">
        <v>212</v>
      </c>
      <c r="F2675" s="16" t="str">
        <f>"2170675077 "</f>
        <v xml:space="preserve">2170675077 </v>
      </c>
      <c r="G2675" s="16" t="str">
        <f t="shared" si="78"/>
        <v>ON1</v>
      </c>
      <c r="H2675" s="16" t="s">
        <v>20</v>
      </c>
      <c r="I2675" s="16" t="s">
        <v>213</v>
      </c>
      <c r="J2675" s="16" t="str">
        <f>""</f>
        <v/>
      </c>
      <c r="K2675" s="16" t="str">
        <f>"PFES1162674012_0001"</f>
        <v>PFES1162674012_0001</v>
      </c>
      <c r="L2675" s="16">
        <v>1</v>
      </c>
      <c r="M2675" s="16">
        <v>6</v>
      </c>
    </row>
    <row r="2676" spans="1:13">
      <c r="A2676" s="6">
        <v>43515</v>
      </c>
      <c r="B2676" s="7">
        <v>0.6069444444444444</v>
      </c>
      <c r="C2676" s="16" t="str">
        <f>"FES1162674061"</f>
        <v>FES1162674061</v>
      </c>
      <c r="D2676" s="16" t="s">
        <v>18</v>
      </c>
      <c r="E2676" s="16" t="s">
        <v>358</v>
      </c>
      <c r="F2676" s="16" t="str">
        <f>"2170675139 "</f>
        <v xml:space="preserve">2170675139 </v>
      </c>
      <c r="G2676" s="16" t="str">
        <f t="shared" si="78"/>
        <v>ON1</v>
      </c>
      <c r="H2676" s="16" t="s">
        <v>20</v>
      </c>
      <c r="I2676" s="16" t="s">
        <v>359</v>
      </c>
      <c r="J2676" s="16" t="str">
        <f>""</f>
        <v/>
      </c>
      <c r="K2676" s="16" t="str">
        <f>"PFES1162674061_0001"</f>
        <v>PFES1162674061_0001</v>
      </c>
      <c r="L2676" s="16">
        <v>1</v>
      </c>
      <c r="M2676" s="16">
        <v>1</v>
      </c>
    </row>
    <row r="2677" spans="1:13">
      <c r="A2677" s="6">
        <v>43515</v>
      </c>
      <c r="B2677" s="7">
        <v>0.6069444444444444</v>
      </c>
      <c r="C2677" s="16" t="str">
        <f>"FES1162674059"</f>
        <v>FES1162674059</v>
      </c>
      <c r="D2677" s="16" t="s">
        <v>18</v>
      </c>
      <c r="E2677" s="16" t="s">
        <v>1047</v>
      </c>
      <c r="F2677" s="16" t="str">
        <f>"2170675137 "</f>
        <v xml:space="preserve">2170675137 </v>
      </c>
      <c r="G2677" s="16" t="str">
        <f t="shared" si="78"/>
        <v>ON1</v>
      </c>
      <c r="H2677" s="16" t="s">
        <v>20</v>
      </c>
      <c r="I2677" s="16" t="s">
        <v>359</v>
      </c>
      <c r="J2677" s="16" t="str">
        <f>""</f>
        <v/>
      </c>
      <c r="K2677" s="16" t="str">
        <f>"PFES1162674059_0001"</f>
        <v>PFES1162674059_0001</v>
      </c>
      <c r="L2677" s="16">
        <v>1</v>
      </c>
      <c r="M2677" s="16">
        <v>1</v>
      </c>
    </row>
    <row r="2678" spans="1:13">
      <c r="A2678" s="6">
        <v>43515</v>
      </c>
      <c r="B2678" s="7">
        <v>0.60416666666666663</v>
      </c>
      <c r="C2678" s="16" t="str">
        <f>"FES1162674080"</f>
        <v>FES1162674080</v>
      </c>
      <c r="D2678" s="16" t="s">
        <v>18</v>
      </c>
      <c r="E2678" s="16" t="s">
        <v>514</v>
      </c>
      <c r="F2678" s="16" t="str">
        <f>"2170675166 "</f>
        <v xml:space="preserve">2170675166 </v>
      </c>
      <c r="G2678" s="16" t="str">
        <f t="shared" si="78"/>
        <v>ON1</v>
      </c>
      <c r="H2678" s="16" t="s">
        <v>20</v>
      </c>
      <c r="I2678" s="16" t="s">
        <v>515</v>
      </c>
      <c r="J2678" s="16" t="str">
        <f>""</f>
        <v/>
      </c>
      <c r="K2678" s="16" t="str">
        <f>"PFES1162674080_0001"</f>
        <v>PFES1162674080_0001</v>
      </c>
      <c r="L2678" s="16">
        <v>1</v>
      </c>
      <c r="M2678" s="16">
        <v>1</v>
      </c>
    </row>
    <row r="2679" spans="1:13">
      <c r="A2679" s="6">
        <v>43515</v>
      </c>
      <c r="B2679" s="7">
        <v>0.60347222222222219</v>
      </c>
      <c r="C2679" s="16" t="str">
        <f>"FES1162674015"</f>
        <v>FES1162674015</v>
      </c>
      <c r="D2679" s="16" t="s">
        <v>18</v>
      </c>
      <c r="E2679" s="16" t="s">
        <v>1048</v>
      </c>
      <c r="F2679" s="16" t="str">
        <f>"2170675080 "</f>
        <v xml:space="preserve">2170675080 </v>
      </c>
      <c r="G2679" s="16" t="str">
        <f t="shared" si="78"/>
        <v>ON1</v>
      </c>
      <c r="H2679" s="16" t="s">
        <v>20</v>
      </c>
      <c r="I2679" s="16" t="s">
        <v>239</v>
      </c>
      <c r="J2679" s="16" t="str">
        <f>""</f>
        <v/>
      </c>
      <c r="K2679" s="16" t="str">
        <f>"PFES1162674015_0001"</f>
        <v>PFES1162674015_0001</v>
      </c>
      <c r="L2679" s="16">
        <v>1</v>
      </c>
      <c r="M2679" s="16">
        <v>1</v>
      </c>
    </row>
    <row r="2680" spans="1:13">
      <c r="A2680" s="6">
        <v>43515</v>
      </c>
      <c r="B2680" s="7">
        <v>0.60277777777777775</v>
      </c>
      <c r="C2680" s="16" t="str">
        <f>"FES1162673910"</f>
        <v>FES1162673910</v>
      </c>
      <c r="D2680" s="16" t="s">
        <v>18</v>
      </c>
      <c r="E2680" s="16" t="s">
        <v>462</v>
      </c>
      <c r="F2680" s="16" t="str">
        <f>"2170675002 "</f>
        <v xml:space="preserve">2170675002 </v>
      </c>
      <c r="G2680" s="16" t="str">
        <f t="shared" si="78"/>
        <v>ON1</v>
      </c>
      <c r="H2680" s="16" t="s">
        <v>20</v>
      </c>
      <c r="I2680" s="16" t="s">
        <v>463</v>
      </c>
      <c r="J2680" s="16" t="str">
        <f>""</f>
        <v/>
      </c>
      <c r="K2680" s="16" t="str">
        <f>"PFES1162673910_0001"</f>
        <v>PFES1162673910_0001</v>
      </c>
      <c r="L2680" s="16">
        <v>1</v>
      </c>
      <c r="M2680" s="16">
        <v>1</v>
      </c>
    </row>
    <row r="2681" spans="1:13">
      <c r="A2681" s="6">
        <v>43515</v>
      </c>
      <c r="B2681" s="7">
        <v>0.60277777777777775</v>
      </c>
      <c r="C2681" s="16" t="str">
        <f>"FES1162673897"</f>
        <v>FES1162673897</v>
      </c>
      <c r="D2681" s="16" t="s">
        <v>18</v>
      </c>
      <c r="E2681" s="16" t="s">
        <v>235</v>
      </c>
      <c r="F2681" s="16" t="str">
        <f>"2170674982 "</f>
        <v xml:space="preserve">2170674982 </v>
      </c>
      <c r="G2681" s="16" t="str">
        <f t="shared" si="78"/>
        <v>ON1</v>
      </c>
      <c r="H2681" s="16" t="s">
        <v>20</v>
      </c>
      <c r="I2681" s="16" t="s">
        <v>143</v>
      </c>
      <c r="J2681" s="16" t="str">
        <f>""</f>
        <v/>
      </c>
      <c r="K2681" s="16" t="str">
        <f>"PFES1162673897_0001"</f>
        <v>PFES1162673897_0001</v>
      </c>
      <c r="L2681" s="16">
        <v>1</v>
      </c>
      <c r="M2681" s="16">
        <v>1</v>
      </c>
    </row>
    <row r="2682" spans="1:13">
      <c r="A2682" s="6">
        <v>43515</v>
      </c>
      <c r="B2682" s="7">
        <v>0.6020833333333333</v>
      </c>
      <c r="C2682" s="16" t="str">
        <f>"FES1162673435"</f>
        <v>FES1162673435</v>
      </c>
      <c r="D2682" s="16" t="s">
        <v>18</v>
      </c>
      <c r="E2682" s="16" t="s">
        <v>144</v>
      </c>
      <c r="F2682" s="16" t="str">
        <f>"2170671834 "</f>
        <v xml:space="preserve">2170671834 </v>
      </c>
      <c r="G2682" s="16" t="str">
        <f t="shared" si="78"/>
        <v>ON1</v>
      </c>
      <c r="H2682" s="16" t="s">
        <v>20</v>
      </c>
      <c r="I2682" s="16" t="s">
        <v>145</v>
      </c>
      <c r="J2682" s="16" t="str">
        <f>""</f>
        <v/>
      </c>
      <c r="K2682" s="16" t="str">
        <f>"PFES1162673435_0001"</f>
        <v>PFES1162673435_0001</v>
      </c>
      <c r="L2682" s="16">
        <v>1</v>
      </c>
      <c r="M2682" s="16">
        <v>1</v>
      </c>
    </row>
    <row r="2683" spans="1:13">
      <c r="A2683" s="6">
        <v>43515</v>
      </c>
      <c r="B2683" s="7">
        <v>0.60138888888888886</v>
      </c>
      <c r="C2683" s="16" t="str">
        <f>"FES1162674060"</f>
        <v>FES1162674060</v>
      </c>
      <c r="D2683" s="16" t="s">
        <v>18</v>
      </c>
      <c r="E2683" s="16" t="s">
        <v>600</v>
      </c>
      <c r="F2683" s="16" t="str">
        <f>"2170675138 "</f>
        <v xml:space="preserve">2170675138 </v>
      </c>
      <c r="G2683" s="16" t="str">
        <f t="shared" si="78"/>
        <v>ON1</v>
      </c>
      <c r="H2683" s="16" t="s">
        <v>20</v>
      </c>
      <c r="I2683" s="16" t="s">
        <v>126</v>
      </c>
      <c r="J2683" s="16" t="str">
        <f>""</f>
        <v/>
      </c>
      <c r="K2683" s="16" t="str">
        <f>"PFES1162674060_0001"</f>
        <v>PFES1162674060_0001</v>
      </c>
      <c r="L2683" s="16">
        <v>1</v>
      </c>
      <c r="M2683" s="16">
        <v>1</v>
      </c>
    </row>
    <row r="2684" spans="1:13">
      <c r="A2684" s="6">
        <v>43515</v>
      </c>
      <c r="B2684" s="7">
        <v>0.60138888888888886</v>
      </c>
      <c r="C2684" s="16" t="str">
        <f>"FES1162673925"</f>
        <v>FES1162673925</v>
      </c>
      <c r="D2684" s="16" t="s">
        <v>18</v>
      </c>
      <c r="E2684" s="16" t="s">
        <v>841</v>
      </c>
      <c r="F2684" s="16" t="str">
        <f>"217067669765 "</f>
        <v xml:space="preserve">217067669765 </v>
      </c>
      <c r="G2684" s="16" t="str">
        <f t="shared" si="78"/>
        <v>ON1</v>
      </c>
      <c r="H2684" s="16" t="s">
        <v>20</v>
      </c>
      <c r="I2684" s="16" t="s">
        <v>842</v>
      </c>
      <c r="J2684" s="16" t="str">
        <f>""</f>
        <v/>
      </c>
      <c r="K2684" s="16" t="str">
        <f>"PFES1162673925_0001"</f>
        <v>PFES1162673925_0001</v>
      </c>
      <c r="L2684" s="16">
        <v>1</v>
      </c>
      <c r="M2684" s="16">
        <v>1</v>
      </c>
    </row>
    <row r="2685" spans="1:13">
      <c r="A2685" s="6">
        <v>43515</v>
      </c>
      <c r="B2685" s="7">
        <v>0.60138888888888886</v>
      </c>
      <c r="C2685" s="16" t="str">
        <f>"FES1162674052"</f>
        <v>FES1162674052</v>
      </c>
      <c r="D2685" s="16" t="s">
        <v>18</v>
      </c>
      <c r="E2685" s="16" t="s">
        <v>19</v>
      </c>
      <c r="F2685" s="16" t="str">
        <f>"2170675135 "</f>
        <v xml:space="preserve">2170675135 </v>
      </c>
      <c r="G2685" s="16" t="str">
        <f t="shared" si="78"/>
        <v>ON1</v>
      </c>
      <c r="H2685" s="16" t="s">
        <v>20</v>
      </c>
      <c r="I2685" s="16" t="s">
        <v>21</v>
      </c>
      <c r="J2685" s="16" t="str">
        <f>""</f>
        <v/>
      </c>
      <c r="K2685" s="16" t="str">
        <f>"PFES1162674052_0001"</f>
        <v>PFES1162674052_0001</v>
      </c>
      <c r="L2685" s="16">
        <v>1</v>
      </c>
      <c r="M2685" s="16">
        <v>1</v>
      </c>
    </row>
    <row r="2686" spans="1:13">
      <c r="A2686" s="6">
        <v>43515</v>
      </c>
      <c r="B2686" s="7">
        <v>0.60069444444444442</v>
      </c>
      <c r="C2686" s="16" t="str">
        <f>"FES1162673884"</f>
        <v>FES1162673884</v>
      </c>
      <c r="D2686" s="16" t="s">
        <v>18</v>
      </c>
      <c r="E2686" s="16" t="s">
        <v>380</v>
      </c>
      <c r="F2686" s="16" t="str">
        <f>"2170674955 "</f>
        <v xml:space="preserve">2170674955 </v>
      </c>
      <c r="G2686" s="16" t="str">
        <f t="shared" si="78"/>
        <v>ON1</v>
      </c>
      <c r="H2686" s="16" t="s">
        <v>20</v>
      </c>
      <c r="I2686" s="16" t="s">
        <v>213</v>
      </c>
      <c r="J2686" s="16" t="str">
        <f>""</f>
        <v/>
      </c>
      <c r="K2686" s="16" t="str">
        <f>"PFES1162673884_0001"</f>
        <v>PFES1162673884_0001</v>
      </c>
      <c r="L2686" s="16">
        <v>1</v>
      </c>
      <c r="M2686" s="16">
        <v>1</v>
      </c>
    </row>
    <row r="2687" spans="1:13">
      <c r="A2687" s="6">
        <v>43515</v>
      </c>
      <c r="B2687" s="7">
        <v>0.6</v>
      </c>
      <c r="C2687" s="16" t="str">
        <f>"FES1162673971"</f>
        <v>FES1162673971</v>
      </c>
      <c r="D2687" s="16" t="s">
        <v>18</v>
      </c>
      <c r="E2687" s="16" t="s">
        <v>160</v>
      </c>
      <c r="F2687" s="16" t="str">
        <f>"2170673533 "</f>
        <v xml:space="preserve">2170673533 </v>
      </c>
      <c r="G2687" s="16" t="str">
        <f t="shared" si="78"/>
        <v>ON1</v>
      </c>
      <c r="H2687" s="16" t="s">
        <v>20</v>
      </c>
      <c r="I2687" s="16" t="s">
        <v>161</v>
      </c>
      <c r="J2687" s="16" t="str">
        <f>""</f>
        <v/>
      </c>
      <c r="K2687" s="16" t="str">
        <f>"PFES1162673971_0001"</f>
        <v>PFES1162673971_0001</v>
      </c>
      <c r="L2687" s="16">
        <v>1</v>
      </c>
      <c r="M2687" s="16">
        <v>1</v>
      </c>
    </row>
    <row r="2688" spans="1:13">
      <c r="A2688" s="6">
        <v>43515</v>
      </c>
      <c r="B2688" s="7">
        <v>0.59930555555555554</v>
      </c>
      <c r="C2688" s="16" t="str">
        <f>"FES1162674008"</f>
        <v>FES1162674008</v>
      </c>
      <c r="D2688" s="16" t="s">
        <v>18</v>
      </c>
      <c r="E2688" s="16" t="s">
        <v>129</v>
      </c>
      <c r="F2688" s="16" t="str">
        <f>"2170675072 "</f>
        <v xml:space="preserve">2170675072 </v>
      </c>
      <c r="G2688" s="16" t="str">
        <f t="shared" si="78"/>
        <v>ON1</v>
      </c>
      <c r="H2688" s="16" t="s">
        <v>20</v>
      </c>
      <c r="I2688" s="16" t="s">
        <v>130</v>
      </c>
      <c r="J2688" s="16" t="str">
        <f>""</f>
        <v/>
      </c>
      <c r="K2688" s="16" t="str">
        <f>"PFES1162674008_0001"</f>
        <v>PFES1162674008_0001</v>
      </c>
      <c r="L2688" s="16">
        <v>1</v>
      </c>
      <c r="M2688" s="16">
        <v>1</v>
      </c>
    </row>
    <row r="2689" spans="1:13">
      <c r="A2689" s="6">
        <v>43515</v>
      </c>
      <c r="B2689" s="7">
        <v>0.59930555555555554</v>
      </c>
      <c r="C2689" s="16" t="str">
        <f>"FES1162674044"</f>
        <v>FES1162674044</v>
      </c>
      <c r="D2689" s="16" t="s">
        <v>18</v>
      </c>
      <c r="E2689" s="16" t="s">
        <v>659</v>
      </c>
      <c r="F2689" s="16" t="str">
        <f>"2170675121 "</f>
        <v xml:space="preserve">2170675121 </v>
      </c>
      <c r="G2689" s="16" t="str">
        <f t="shared" si="78"/>
        <v>ON1</v>
      </c>
      <c r="H2689" s="16" t="s">
        <v>20</v>
      </c>
      <c r="I2689" s="16" t="s">
        <v>660</v>
      </c>
      <c r="J2689" s="16" t="str">
        <f>""</f>
        <v/>
      </c>
      <c r="K2689" s="16" t="str">
        <f>"PFES1162674044_0001"</f>
        <v>PFES1162674044_0001</v>
      </c>
      <c r="L2689" s="16">
        <v>1</v>
      </c>
      <c r="M2689" s="16">
        <v>1</v>
      </c>
    </row>
    <row r="2690" spans="1:13">
      <c r="A2690" s="6">
        <v>43515</v>
      </c>
      <c r="B2690" s="7">
        <v>0.59930555555555554</v>
      </c>
      <c r="C2690" s="16" t="str">
        <f>"FES1162673967"</f>
        <v>FES1162673967</v>
      </c>
      <c r="D2690" s="16" t="s">
        <v>18</v>
      </c>
      <c r="E2690" s="16" t="s">
        <v>30</v>
      </c>
      <c r="F2690" s="16" t="str">
        <f>"2170673308 "</f>
        <v xml:space="preserve">2170673308 </v>
      </c>
      <c r="G2690" s="16" t="str">
        <f t="shared" si="78"/>
        <v>ON1</v>
      </c>
      <c r="H2690" s="16" t="s">
        <v>20</v>
      </c>
      <c r="I2690" s="16" t="s">
        <v>31</v>
      </c>
      <c r="J2690" s="16" t="str">
        <f>""</f>
        <v/>
      </c>
      <c r="K2690" s="16" t="str">
        <f>"PFES1162673967_0001"</f>
        <v>PFES1162673967_0001</v>
      </c>
      <c r="L2690" s="16">
        <v>1</v>
      </c>
      <c r="M2690" s="16">
        <v>1</v>
      </c>
    </row>
    <row r="2691" spans="1:13">
      <c r="A2691" s="6">
        <v>43515</v>
      </c>
      <c r="B2691" s="7">
        <v>0.59861111111111109</v>
      </c>
      <c r="C2691" s="16" t="str">
        <f>"FES1162673944"</f>
        <v>FES1162673944</v>
      </c>
      <c r="D2691" s="16" t="s">
        <v>18</v>
      </c>
      <c r="E2691" s="16" t="s">
        <v>681</v>
      </c>
      <c r="F2691" s="16" t="str">
        <f>"2170672913 "</f>
        <v xml:space="preserve">2170672913 </v>
      </c>
      <c r="G2691" s="16" t="str">
        <f t="shared" si="78"/>
        <v>ON1</v>
      </c>
      <c r="H2691" s="16" t="s">
        <v>20</v>
      </c>
      <c r="I2691" s="16" t="s">
        <v>682</v>
      </c>
      <c r="J2691" s="16" t="str">
        <f>""</f>
        <v/>
      </c>
      <c r="K2691" s="16" t="str">
        <f>"PFES1162673944_0001"</f>
        <v>PFES1162673944_0001</v>
      </c>
      <c r="L2691" s="16">
        <v>1</v>
      </c>
      <c r="M2691" s="16">
        <v>1</v>
      </c>
    </row>
    <row r="2692" spans="1:13">
      <c r="A2692" s="6">
        <v>43515</v>
      </c>
      <c r="B2692" s="7">
        <v>0.59861111111111109</v>
      </c>
      <c r="C2692" s="16" t="str">
        <f>"FES1162674021"</f>
        <v>FES1162674021</v>
      </c>
      <c r="D2692" s="16" t="s">
        <v>18</v>
      </c>
      <c r="E2692" s="16" t="s">
        <v>506</v>
      </c>
      <c r="F2692" s="16" t="str">
        <f>"2170675073 "</f>
        <v xml:space="preserve">2170675073 </v>
      </c>
      <c r="G2692" s="16" t="str">
        <f t="shared" si="78"/>
        <v>ON1</v>
      </c>
      <c r="H2692" s="16" t="s">
        <v>20</v>
      </c>
      <c r="I2692" s="16" t="s">
        <v>25</v>
      </c>
      <c r="J2692" s="16" t="str">
        <f>""</f>
        <v/>
      </c>
      <c r="K2692" s="16" t="str">
        <f>"PFES1162674021_0001"</f>
        <v>PFES1162674021_0001</v>
      </c>
      <c r="L2692" s="16">
        <v>1</v>
      </c>
      <c r="M2692" s="16">
        <v>1</v>
      </c>
    </row>
    <row r="2693" spans="1:13">
      <c r="A2693" s="6">
        <v>43515</v>
      </c>
      <c r="B2693" s="7">
        <v>0.59791666666666665</v>
      </c>
      <c r="C2693" s="16" t="str">
        <f>"FES1162674047"</f>
        <v>FES1162674047</v>
      </c>
      <c r="D2693" s="16" t="s">
        <v>18</v>
      </c>
      <c r="E2693" s="16" t="s">
        <v>380</v>
      </c>
      <c r="F2693" s="16" t="str">
        <f>"2170675127 "</f>
        <v xml:space="preserve">2170675127 </v>
      </c>
      <c r="G2693" s="16" t="str">
        <f t="shared" si="78"/>
        <v>ON1</v>
      </c>
      <c r="H2693" s="16" t="s">
        <v>20</v>
      </c>
      <c r="I2693" s="16" t="s">
        <v>213</v>
      </c>
      <c r="J2693" s="16" t="str">
        <f>""</f>
        <v/>
      </c>
      <c r="K2693" s="16" t="str">
        <f>"PFES1162674047_0001"</f>
        <v>PFES1162674047_0001</v>
      </c>
      <c r="L2693" s="16">
        <v>1</v>
      </c>
      <c r="M2693" s="16">
        <v>1</v>
      </c>
    </row>
    <row r="2694" spans="1:13">
      <c r="A2694" s="6">
        <v>43515</v>
      </c>
      <c r="B2694" s="7">
        <v>0.59791666666666665</v>
      </c>
      <c r="C2694" s="16" t="str">
        <f>"FES1162674042"</f>
        <v>FES1162674042</v>
      </c>
      <c r="D2694" s="16" t="s">
        <v>18</v>
      </c>
      <c r="E2694" s="16" t="s">
        <v>49</v>
      </c>
      <c r="F2694" s="16" t="str">
        <f>"2170675118 "</f>
        <v xml:space="preserve">2170675118 </v>
      </c>
      <c r="G2694" s="16" t="str">
        <f t="shared" si="78"/>
        <v>ON1</v>
      </c>
      <c r="H2694" s="16" t="s">
        <v>20</v>
      </c>
      <c r="I2694" s="16" t="s">
        <v>50</v>
      </c>
      <c r="J2694" s="16" t="str">
        <f>""</f>
        <v/>
      </c>
      <c r="K2694" s="16" t="str">
        <f>"PFES1162674042_0001"</f>
        <v>PFES1162674042_0001</v>
      </c>
      <c r="L2694" s="16">
        <v>1</v>
      </c>
      <c r="M2694" s="16">
        <v>1</v>
      </c>
    </row>
    <row r="2695" spans="1:13">
      <c r="A2695" s="6">
        <v>43515</v>
      </c>
      <c r="B2695" s="7">
        <v>0.59722222222222221</v>
      </c>
      <c r="C2695" s="16" t="str">
        <f>"FES1162674037"</f>
        <v>FES1162674037</v>
      </c>
      <c r="D2695" s="16" t="s">
        <v>18</v>
      </c>
      <c r="E2695" s="16" t="s">
        <v>530</v>
      </c>
      <c r="F2695" s="16" t="str">
        <f>"2170675112 "</f>
        <v xml:space="preserve">2170675112 </v>
      </c>
      <c r="G2695" s="16" t="str">
        <f t="shared" si="78"/>
        <v>ON1</v>
      </c>
      <c r="H2695" s="16" t="s">
        <v>20</v>
      </c>
      <c r="I2695" s="16" t="s">
        <v>531</v>
      </c>
      <c r="J2695" s="16" t="str">
        <f>""</f>
        <v/>
      </c>
      <c r="K2695" s="16" t="str">
        <f>"PFES1162674037_0001"</f>
        <v>PFES1162674037_0001</v>
      </c>
      <c r="L2695" s="16">
        <v>1</v>
      </c>
      <c r="M2695" s="16">
        <v>1</v>
      </c>
    </row>
    <row r="2696" spans="1:13">
      <c r="A2696" s="6">
        <v>43515</v>
      </c>
      <c r="B2696" s="7">
        <v>0.59652777777777777</v>
      </c>
      <c r="C2696" s="16" t="str">
        <f>"FES1162674033"</f>
        <v>FES1162674033</v>
      </c>
      <c r="D2696" s="16" t="s">
        <v>18</v>
      </c>
      <c r="E2696" s="16" t="s">
        <v>613</v>
      </c>
      <c r="F2696" s="16" t="str">
        <f>"2170675103 "</f>
        <v xml:space="preserve">2170675103 </v>
      </c>
      <c r="G2696" s="16" t="str">
        <f t="shared" si="78"/>
        <v>ON1</v>
      </c>
      <c r="H2696" s="16" t="s">
        <v>20</v>
      </c>
      <c r="I2696" s="16" t="s">
        <v>533</v>
      </c>
      <c r="J2696" s="16" t="str">
        <f>""</f>
        <v/>
      </c>
      <c r="K2696" s="16" t="str">
        <f>"PFES1162674033_0001"</f>
        <v>PFES1162674033_0001</v>
      </c>
      <c r="L2696" s="16">
        <v>1</v>
      </c>
      <c r="M2696" s="16">
        <v>1</v>
      </c>
    </row>
    <row r="2697" spans="1:13">
      <c r="A2697" s="6">
        <v>43515</v>
      </c>
      <c r="B2697" s="7">
        <v>0.59652777777777777</v>
      </c>
      <c r="C2697" s="16" t="str">
        <f>"FES1162674031"</f>
        <v>FES1162674031</v>
      </c>
      <c r="D2697" s="16" t="s">
        <v>18</v>
      </c>
      <c r="E2697" s="16" t="s">
        <v>253</v>
      </c>
      <c r="F2697" s="16" t="str">
        <f>"2170675101 "</f>
        <v xml:space="preserve">2170675101 </v>
      </c>
      <c r="G2697" s="16" t="str">
        <f t="shared" si="78"/>
        <v>ON1</v>
      </c>
      <c r="H2697" s="16" t="s">
        <v>20</v>
      </c>
      <c r="I2697" s="16" t="s">
        <v>226</v>
      </c>
      <c r="J2697" s="16" t="str">
        <f>""</f>
        <v/>
      </c>
      <c r="K2697" s="16" t="str">
        <f>"PFES1162674031_0001"</f>
        <v>PFES1162674031_0001</v>
      </c>
      <c r="L2697" s="16">
        <v>1</v>
      </c>
      <c r="M2697" s="16">
        <v>1</v>
      </c>
    </row>
    <row r="2698" spans="1:13">
      <c r="A2698" s="6">
        <v>43515</v>
      </c>
      <c r="B2698" s="7">
        <v>0.59513888888888888</v>
      </c>
      <c r="C2698" s="16" t="str">
        <f>"FES1162673913"</f>
        <v>FES1162673913</v>
      </c>
      <c r="D2698" s="16" t="s">
        <v>18</v>
      </c>
      <c r="E2698" s="16" t="s">
        <v>19</v>
      </c>
      <c r="F2698" s="16" t="str">
        <f>"2170675007 "</f>
        <v xml:space="preserve">2170675007 </v>
      </c>
      <c r="G2698" s="16" t="str">
        <f t="shared" si="78"/>
        <v>ON1</v>
      </c>
      <c r="H2698" s="16" t="s">
        <v>20</v>
      </c>
      <c r="I2698" s="16" t="s">
        <v>21</v>
      </c>
      <c r="J2698" s="16" t="str">
        <f>""</f>
        <v/>
      </c>
      <c r="K2698" s="16" t="str">
        <f>"PFES1162673913_0001"</f>
        <v>PFES1162673913_0001</v>
      </c>
      <c r="L2698" s="16">
        <v>1</v>
      </c>
      <c r="M2698" s="16">
        <v>9</v>
      </c>
    </row>
    <row r="2699" spans="1:13">
      <c r="A2699" s="6">
        <v>43515</v>
      </c>
      <c r="B2699" s="7">
        <v>0.59444444444444444</v>
      </c>
      <c r="C2699" s="16" t="str">
        <f>"FES1162673850"</f>
        <v>FES1162673850</v>
      </c>
      <c r="D2699" s="16" t="s">
        <v>18</v>
      </c>
      <c r="E2699" s="16" t="s">
        <v>852</v>
      </c>
      <c r="F2699" s="16" t="str">
        <f>"2170669903 "</f>
        <v xml:space="preserve">2170669903 </v>
      </c>
      <c r="G2699" s="16" t="str">
        <f t="shared" si="78"/>
        <v>ON1</v>
      </c>
      <c r="H2699" s="16" t="s">
        <v>20</v>
      </c>
      <c r="I2699" s="16" t="s">
        <v>853</v>
      </c>
      <c r="J2699" s="16" t="str">
        <f>""</f>
        <v/>
      </c>
      <c r="K2699" s="16" t="str">
        <f>"PFES1162673850_0001"</f>
        <v>PFES1162673850_0001</v>
      </c>
      <c r="L2699" s="16">
        <v>1</v>
      </c>
      <c r="M2699" s="16">
        <v>9</v>
      </c>
    </row>
    <row r="2700" spans="1:13">
      <c r="A2700" s="6">
        <v>43515</v>
      </c>
      <c r="B2700" s="7">
        <v>0.59375</v>
      </c>
      <c r="C2700" s="16" t="str">
        <f>"FES1162673849"</f>
        <v>FES1162673849</v>
      </c>
      <c r="D2700" s="16" t="s">
        <v>18</v>
      </c>
      <c r="E2700" s="16" t="s">
        <v>178</v>
      </c>
      <c r="F2700" s="16" t="str">
        <f>"2170669822 "</f>
        <v xml:space="preserve">2170669822 </v>
      </c>
      <c r="G2700" s="16" t="str">
        <f t="shared" si="78"/>
        <v>ON1</v>
      </c>
      <c r="H2700" s="16" t="s">
        <v>20</v>
      </c>
      <c r="I2700" s="16" t="s">
        <v>29</v>
      </c>
      <c r="J2700" s="16" t="str">
        <f>""</f>
        <v/>
      </c>
      <c r="K2700" s="16" t="str">
        <f>"PFES1162673849_0001"</f>
        <v>PFES1162673849_0001</v>
      </c>
      <c r="L2700" s="16">
        <v>1</v>
      </c>
      <c r="M2700" s="16">
        <v>5</v>
      </c>
    </row>
    <row r="2701" spans="1:13">
      <c r="A2701" s="6">
        <v>43515</v>
      </c>
      <c r="B2701" s="7">
        <v>0.59305555555555556</v>
      </c>
      <c r="C2701" s="16" t="str">
        <f>"FES1162673853"</f>
        <v>FES1162673853</v>
      </c>
      <c r="D2701" s="16" t="s">
        <v>18</v>
      </c>
      <c r="E2701" s="16" t="s">
        <v>623</v>
      </c>
      <c r="F2701" s="16" t="str">
        <f>"2170670611 "</f>
        <v xml:space="preserve">2170670611 </v>
      </c>
      <c r="G2701" s="16" t="str">
        <f t="shared" si="78"/>
        <v>ON1</v>
      </c>
      <c r="H2701" s="16" t="s">
        <v>20</v>
      </c>
      <c r="I2701" s="16" t="s">
        <v>429</v>
      </c>
      <c r="J2701" s="16" t="str">
        <f>""</f>
        <v/>
      </c>
      <c r="K2701" s="16" t="str">
        <f>"PFES1162673853_0001"</f>
        <v>PFES1162673853_0001</v>
      </c>
      <c r="L2701" s="16">
        <v>1</v>
      </c>
      <c r="M2701" s="16">
        <v>10</v>
      </c>
    </row>
    <row r="2702" spans="1:13">
      <c r="A2702" s="6">
        <v>43515</v>
      </c>
      <c r="B2702" s="7">
        <v>0.59236111111111112</v>
      </c>
      <c r="C2702" s="16" t="str">
        <f>"FES1162673867"</f>
        <v>FES1162673867</v>
      </c>
      <c r="D2702" s="16" t="s">
        <v>18</v>
      </c>
      <c r="E2702" s="16" t="s">
        <v>840</v>
      </c>
      <c r="F2702" s="16" t="str">
        <f>"2170673685 "</f>
        <v xml:space="preserve">2170673685 </v>
      </c>
      <c r="G2702" s="16" t="str">
        <f t="shared" si="78"/>
        <v>ON1</v>
      </c>
      <c r="H2702" s="16" t="s">
        <v>20</v>
      </c>
      <c r="I2702" s="16" t="s">
        <v>412</v>
      </c>
      <c r="J2702" s="16" t="str">
        <f>""</f>
        <v/>
      </c>
      <c r="K2702" s="16" t="str">
        <f>"PFES1162673867_0001"</f>
        <v>PFES1162673867_0001</v>
      </c>
      <c r="L2702" s="16">
        <v>1</v>
      </c>
      <c r="M2702" s="16">
        <v>5</v>
      </c>
    </row>
    <row r="2703" spans="1:13">
      <c r="A2703" s="6">
        <v>43515</v>
      </c>
      <c r="B2703" s="7">
        <v>0.59166666666666667</v>
      </c>
      <c r="C2703" s="16" t="str">
        <f>"FES1162674006"</f>
        <v>FES1162674006</v>
      </c>
      <c r="D2703" s="16" t="s">
        <v>18</v>
      </c>
      <c r="E2703" s="16" t="s">
        <v>1039</v>
      </c>
      <c r="F2703" s="16" t="str">
        <f>"2170675068 "</f>
        <v xml:space="preserve">2170675068 </v>
      </c>
      <c r="G2703" s="16" t="str">
        <f t="shared" si="78"/>
        <v>ON1</v>
      </c>
      <c r="H2703" s="16" t="s">
        <v>20</v>
      </c>
      <c r="I2703" s="16" t="s">
        <v>153</v>
      </c>
      <c r="J2703" s="16" t="str">
        <f>""</f>
        <v/>
      </c>
      <c r="K2703" s="16" t="str">
        <f>"PFES1162674006_0001"</f>
        <v>PFES1162674006_0001</v>
      </c>
      <c r="L2703" s="16">
        <v>1</v>
      </c>
      <c r="M2703" s="16">
        <v>3</v>
      </c>
    </row>
    <row r="2704" spans="1:13">
      <c r="A2704" s="6">
        <v>43515</v>
      </c>
      <c r="B2704" s="7">
        <v>0.59097222222222223</v>
      </c>
      <c r="C2704" s="16" t="str">
        <f>"FES1162673903"</f>
        <v>FES1162673903</v>
      </c>
      <c r="D2704" s="16" t="s">
        <v>18</v>
      </c>
      <c r="E2704" s="16" t="s">
        <v>943</v>
      </c>
      <c r="F2704" s="16" t="str">
        <f>"2170674338 "</f>
        <v xml:space="preserve">2170674338 </v>
      </c>
      <c r="G2704" s="16" t="str">
        <f t="shared" si="78"/>
        <v>ON1</v>
      </c>
      <c r="H2704" s="16" t="s">
        <v>20</v>
      </c>
      <c r="I2704" s="16" t="s">
        <v>43</v>
      </c>
      <c r="J2704" s="16" t="str">
        <f>""</f>
        <v/>
      </c>
      <c r="K2704" s="16" t="str">
        <f>"PFES1162673903_0001"</f>
        <v>PFES1162673903_0001</v>
      </c>
      <c r="L2704" s="16">
        <v>1</v>
      </c>
      <c r="M2704" s="16">
        <v>5</v>
      </c>
    </row>
    <row r="2705" spans="1:13">
      <c r="A2705" s="6">
        <v>43515</v>
      </c>
      <c r="B2705" s="7">
        <v>0.59027777777777779</v>
      </c>
      <c r="C2705" s="16" t="str">
        <f>"FES1162673989"</f>
        <v>FES1162673989</v>
      </c>
      <c r="D2705" s="16" t="s">
        <v>18</v>
      </c>
      <c r="E2705" s="16" t="s">
        <v>1049</v>
      </c>
      <c r="F2705" s="16" t="str">
        <f>"2170675040 "</f>
        <v xml:space="preserve">2170675040 </v>
      </c>
      <c r="G2705" s="16" t="str">
        <f t="shared" si="78"/>
        <v>ON1</v>
      </c>
      <c r="H2705" s="16" t="s">
        <v>20</v>
      </c>
      <c r="I2705" s="16" t="s">
        <v>1050</v>
      </c>
      <c r="J2705" s="16" t="str">
        <f>""</f>
        <v/>
      </c>
      <c r="K2705" s="16" t="str">
        <f>"PFES1162673989_0001"</f>
        <v>PFES1162673989_0001</v>
      </c>
      <c r="L2705" s="16">
        <v>1</v>
      </c>
      <c r="M2705" s="16">
        <v>2</v>
      </c>
    </row>
    <row r="2706" spans="1:13">
      <c r="A2706" s="6">
        <v>43515</v>
      </c>
      <c r="B2706" s="7">
        <v>0.58958333333333335</v>
      </c>
      <c r="C2706" s="16" t="str">
        <f>"FES1162673933"</f>
        <v>FES1162673933</v>
      </c>
      <c r="D2706" s="16" t="s">
        <v>18</v>
      </c>
      <c r="E2706" s="16" t="s">
        <v>71</v>
      </c>
      <c r="F2706" s="16" t="str">
        <f>"2170671998 "</f>
        <v xml:space="preserve">2170671998 </v>
      </c>
      <c r="G2706" s="16" t="str">
        <f t="shared" si="78"/>
        <v>ON1</v>
      </c>
      <c r="H2706" s="16" t="s">
        <v>20</v>
      </c>
      <c r="I2706" s="16" t="s">
        <v>72</v>
      </c>
      <c r="J2706" s="16" t="str">
        <f>""</f>
        <v/>
      </c>
      <c r="K2706" s="16" t="str">
        <f>"PFES1162673933_0001"</f>
        <v>PFES1162673933_0001</v>
      </c>
      <c r="L2706" s="16">
        <v>1</v>
      </c>
      <c r="M2706" s="16">
        <v>5</v>
      </c>
    </row>
    <row r="2707" spans="1:13">
      <c r="A2707" s="6">
        <v>43515</v>
      </c>
      <c r="B2707" s="7">
        <v>0.58888888888888891</v>
      </c>
      <c r="C2707" s="16" t="str">
        <f>"FES1162673985"</f>
        <v>FES1162673985</v>
      </c>
      <c r="D2707" s="16" t="s">
        <v>18</v>
      </c>
      <c r="E2707" s="16" t="s">
        <v>209</v>
      </c>
      <c r="F2707" s="16" t="str">
        <f>"2170675015 "</f>
        <v xml:space="preserve">2170675015 </v>
      </c>
      <c r="G2707" s="16" t="str">
        <f t="shared" si="78"/>
        <v>ON1</v>
      </c>
      <c r="H2707" s="16" t="s">
        <v>20</v>
      </c>
      <c r="I2707" s="16" t="s">
        <v>210</v>
      </c>
      <c r="J2707" s="16" t="str">
        <f>""</f>
        <v/>
      </c>
      <c r="K2707" s="16" t="str">
        <f>"PFES1162673985_0001"</f>
        <v>PFES1162673985_0001</v>
      </c>
      <c r="L2707" s="16">
        <v>1</v>
      </c>
      <c r="M2707" s="16">
        <v>3</v>
      </c>
    </row>
    <row r="2708" spans="1:13">
      <c r="A2708" s="6">
        <v>43515</v>
      </c>
      <c r="B2708" s="7">
        <v>0.58819444444444446</v>
      </c>
      <c r="C2708" s="16" t="str">
        <f>"FES1162673950"</f>
        <v>FES1162673950</v>
      </c>
      <c r="D2708" s="16" t="s">
        <v>18</v>
      </c>
      <c r="E2708" s="16" t="s">
        <v>403</v>
      </c>
      <c r="F2708" s="16" t="str">
        <f>"2170673115 "</f>
        <v xml:space="preserve">2170673115 </v>
      </c>
      <c r="G2708" s="16" t="str">
        <f t="shared" si="78"/>
        <v>ON1</v>
      </c>
      <c r="H2708" s="16" t="s">
        <v>20</v>
      </c>
      <c r="I2708" s="16" t="s">
        <v>404</v>
      </c>
      <c r="J2708" s="16" t="str">
        <f>""</f>
        <v/>
      </c>
      <c r="K2708" s="16" t="str">
        <f>"PFES1162673950_0001"</f>
        <v>PFES1162673950_0001</v>
      </c>
      <c r="L2708" s="16">
        <v>1</v>
      </c>
      <c r="M2708" s="16">
        <v>10</v>
      </c>
    </row>
    <row r="2709" spans="1:13">
      <c r="A2709" s="6">
        <v>43515</v>
      </c>
      <c r="B2709" s="7">
        <v>0.58750000000000002</v>
      </c>
      <c r="C2709" s="16" t="str">
        <f>"FES1162673965"</f>
        <v>FES1162673965</v>
      </c>
      <c r="D2709" s="16" t="s">
        <v>18</v>
      </c>
      <c r="E2709" s="16" t="s">
        <v>328</v>
      </c>
      <c r="F2709" s="16" t="str">
        <f>"2170673280 "</f>
        <v xml:space="preserve">2170673280 </v>
      </c>
      <c r="G2709" s="16" t="str">
        <f t="shared" si="78"/>
        <v>ON1</v>
      </c>
      <c r="H2709" s="16" t="s">
        <v>20</v>
      </c>
      <c r="I2709" s="16" t="s">
        <v>29</v>
      </c>
      <c r="J2709" s="16" t="str">
        <f>""</f>
        <v/>
      </c>
      <c r="K2709" s="16" t="str">
        <f>"PFES1162673965_0001"</f>
        <v>PFES1162673965_0001</v>
      </c>
      <c r="L2709" s="16">
        <v>1</v>
      </c>
      <c r="M2709" s="16">
        <v>6</v>
      </c>
    </row>
    <row r="2710" spans="1:13">
      <c r="A2710" s="6">
        <v>43515</v>
      </c>
      <c r="B2710" s="7">
        <v>0.58611111111111114</v>
      </c>
      <c r="C2710" s="16" t="str">
        <f>"FES1162673860"</f>
        <v>FES1162673860</v>
      </c>
      <c r="D2710" s="16" t="s">
        <v>18</v>
      </c>
      <c r="E2710" s="16" t="s">
        <v>375</v>
      </c>
      <c r="F2710" s="16" t="str">
        <f>"2170673084 "</f>
        <v xml:space="preserve">2170673084 </v>
      </c>
      <c r="G2710" s="16" t="str">
        <f t="shared" si="78"/>
        <v>ON1</v>
      </c>
      <c r="H2710" s="16" t="s">
        <v>20</v>
      </c>
      <c r="I2710" s="16" t="s">
        <v>99</v>
      </c>
      <c r="J2710" s="16" t="str">
        <f>""</f>
        <v/>
      </c>
      <c r="K2710" s="16" t="str">
        <f>"PFES1162673860_0001"</f>
        <v>PFES1162673860_0001</v>
      </c>
      <c r="L2710" s="16">
        <v>1</v>
      </c>
      <c r="M2710" s="16">
        <v>4</v>
      </c>
    </row>
    <row r="2711" spans="1:13">
      <c r="A2711" s="6">
        <v>43515</v>
      </c>
      <c r="B2711" s="7">
        <v>0.5854166666666667</v>
      </c>
      <c r="C2711" s="16" t="str">
        <f>"FES1162673930"</f>
        <v>FES1162673930</v>
      </c>
      <c r="D2711" s="16" t="s">
        <v>18</v>
      </c>
      <c r="E2711" s="16" t="s">
        <v>47</v>
      </c>
      <c r="F2711" s="16" t="str">
        <f>"2170671833 "</f>
        <v xml:space="preserve">2170671833 </v>
      </c>
      <c r="G2711" s="16" t="str">
        <f t="shared" si="78"/>
        <v>ON1</v>
      </c>
      <c r="H2711" s="16" t="s">
        <v>20</v>
      </c>
      <c r="I2711" s="16" t="s">
        <v>48</v>
      </c>
      <c r="J2711" s="16" t="str">
        <f>""</f>
        <v/>
      </c>
      <c r="K2711" s="16" t="str">
        <f>"PFES1162673930_0001"</f>
        <v>PFES1162673930_0001</v>
      </c>
      <c r="L2711" s="16">
        <v>1</v>
      </c>
      <c r="M2711" s="16">
        <v>3</v>
      </c>
    </row>
    <row r="2712" spans="1:13">
      <c r="A2712" s="6">
        <v>43515</v>
      </c>
      <c r="B2712" s="7">
        <v>0.58472222222222225</v>
      </c>
      <c r="C2712" s="16" t="str">
        <f>"FES1162673988"</f>
        <v>FES1162673988</v>
      </c>
      <c r="D2712" s="16" t="s">
        <v>18</v>
      </c>
      <c r="E2712" s="16" t="s">
        <v>129</v>
      </c>
      <c r="F2712" s="16" t="str">
        <f>"2170675039 "</f>
        <v xml:space="preserve">2170675039 </v>
      </c>
      <c r="G2712" s="16" t="str">
        <f t="shared" si="78"/>
        <v>ON1</v>
      </c>
      <c r="H2712" s="16" t="s">
        <v>20</v>
      </c>
      <c r="I2712" s="16" t="s">
        <v>130</v>
      </c>
      <c r="J2712" s="16" t="str">
        <f>""</f>
        <v/>
      </c>
      <c r="K2712" s="16" t="str">
        <f>"PFES1162673988_0001"</f>
        <v>PFES1162673988_0001</v>
      </c>
      <c r="L2712" s="16">
        <v>1</v>
      </c>
      <c r="M2712" s="16">
        <v>10</v>
      </c>
    </row>
    <row r="2713" spans="1:13">
      <c r="A2713" s="6">
        <v>43515</v>
      </c>
      <c r="B2713" s="7">
        <v>0.58402777777777781</v>
      </c>
      <c r="C2713" s="16" t="str">
        <f>"FES1162673866"</f>
        <v>FES1162673866</v>
      </c>
      <c r="D2713" s="16" t="s">
        <v>18</v>
      </c>
      <c r="E2713" s="16" t="s">
        <v>840</v>
      </c>
      <c r="F2713" s="16" t="str">
        <f>"2170673683 "</f>
        <v xml:space="preserve">2170673683 </v>
      </c>
      <c r="G2713" s="16" t="str">
        <f t="shared" si="78"/>
        <v>ON1</v>
      </c>
      <c r="H2713" s="16" t="s">
        <v>20</v>
      </c>
      <c r="I2713" s="16" t="s">
        <v>412</v>
      </c>
      <c r="J2713" s="16" t="str">
        <f>""</f>
        <v/>
      </c>
      <c r="K2713" s="16" t="str">
        <f>"PFES1162673866_0001"</f>
        <v>PFES1162673866_0001</v>
      </c>
      <c r="L2713" s="16">
        <v>1</v>
      </c>
      <c r="M2713" s="16">
        <v>3</v>
      </c>
    </row>
    <row r="2714" spans="1:13">
      <c r="A2714" s="6">
        <v>43515</v>
      </c>
      <c r="B2714" s="7">
        <v>0.55486111111111114</v>
      </c>
      <c r="C2714" s="16" t="str">
        <f>"FES1162674026"</f>
        <v>FES1162674026</v>
      </c>
      <c r="D2714" s="16" t="s">
        <v>18</v>
      </c>
      <c r="E2714" s="16" t="s">
        <v>882</v>
      </c>
      <c r="F2714" s="16" t="str">
        <f>"217067977 "</f>
        <v xml:space="preserve">217067977 </v>
      </c>
      <c r="G2714" s="16" t="str">
        <f t="shared" si="78"/>
        <v>ON1</v>
      </c>
      <c r="H2714" s="16" t="s">
        <v>20</v>
      </c>
      <c r="I2714" s="16" t="s">
        <v>883</v>
      </c>
      <c r="J2714" s="16" t="str">
        <f>""</f>
        <v/>
      </c>
      <c r="K2714" s="16" t="str">
        <f>"PFES1162674026_0001"</f>
        <v>PFES1162674026_0001</v>
      </c>
      <c r="L2714" s="16">
        <v>1</v>
      </c>
      <c r="M2714" s="16">
        <v>1</v>
      </c>
    </row>
    <row r="2715" spans="1:13">
      <c r="A2715" s="6">
        <v>43515</v>
      </c>
      <c r="B2715" s="7">
        <v>0.5541666666666667</v>
      </c>
      <c r="C2715" s="16" t="str">
        <f>"FES1162673919"</f>
        <v>FES1162673919</v>
      </c>
      <c r="D2715" s="16" t="s">
        <v>18</v>
      </c>
      <c r="E2715" s="16" t="s">
        <v>1051</v>
      </c>
      <c r="F2715" s="16" t="str">
        <f>"2170675013 "</f>
        <v xml:space="preserve">2170675013 </v>
      </c>
      <c r="G2715" s="16" t="str">
        <f t="shared" si="78"/>
        <v>ON1</v>
      </c>
      <c r="H2715" s="16" t="s">
        <v>20</v>
      </c>
      <c r="I2715" s="16" t="s">
        <v>280</v>
      </c>
      <c r="J2715" s="16" t="str">
        <f>""</f>
        <v/>
      </c>
      <c r="K2715" s="16" t="str">
        <f>"PFES1162673919_0001"</f>
        <v>PFES1162673919_0001</v>
      </c>
      <c r="L2715" s="16">
        <v>1</v>
      </c>
      <c r="M2715" s="16">
        <v>1</v>
      </c>
    </row>
    <row r="2716" spans="1:13">
      <c r="A2716" s="6">
        <v>43515</v>
      </c>
      <c r="B2716" s="7">
        <v>0.5541666666666667</v>
      </c>
      <c r="C2716" s="16" t="str">
        <f>"FES1162673959"</f>
        <v>FES1162673959</v>
      </c>
      <c r="D2716" s="16" t="s">
        <v>18</v>
      </c>
      <c r="E2716" s="16" t="s">
        <v>620</v>
      </c>
      <c r="F2716" s="16" t="str">
        <f>"2170673210 "</f>
        <v xml:space="preserve">2170673210 </v>
      </c>
      <c r="G2716" s="16" t="str">
        <f t="shared" si="78"/>
        <v>ON1</v>
      </c>
      <c r="H2716" s="16" t="s">
        <v>20</v>
      </c>
      <c r="I2716" s="16" t="s">
        <v>573</v>
      </c>
      <c r="J2716" s="16" t="str">
        <f>""</f>
        <v/>
      </c>
      <c r="K2716" s="16" t="str">
        <f>"PFES1162673959_0001"</f>
        <v>PFES1162673959_0001</v>
      </c>
      <c r="L2716" s="16">
        <v>1</v>
      </c>
      <c r="M2716" s="16">
        <v>1</v>
      </c>
    </row>
    <row r="2717" spans="1:13">
      <c r="A2717" s="6">
        <v>43515</v>
      </c>
      <c r="B2717" s="7">
        <v>0.55347222222222225</v>
      </c>
      <c r="C2717" s="16" t="str">
        <f>"FES1162674001"</f>
        <v>FES1162674001</v>
      </c>
      <c r="D2717" s="16" t="s">
        <v>18</v>
      </c>
      <c r="E2717" s="16" t="s">
        <v>19</v>
      </c>
      <c r="F2717" s="16" t="str">
        <f>"2170675063 "</f>
        <v xml:space="preserve">2170675063 </v>
      </c>
      <c r="G2717" s="16" t="str">
        <f t="shared" si="78"/>
        <v>ON1</v>
      </c>
      <c r="H2717" s="16" t="s">
        <v>20</v>
      </c>
      <c r="I2717" s="16" t="s">
        <v>21</v>
      </c>
      <c r="J2717" s="16" t="str">
        <f>""</f>
        <v/>
      </c>
      <c r="K2717" s="16" t="str">
        <f>"PFES1162674001_0001"</f>
        <v>PFES1162674001_0001</v>
      </c>
      <c r="L2717" s="16">
        <v>1</v>
      </c>
      <c r="M2717" s="16">
        <v>1</v>
      </c>
    </row>
    <row r="2718" spans="1:13">
      <c r="A2718" s="6">
        <v>43515</v>
      </c>
      <c r="B2718" s="7">
        <v>0.55347222222222225</v>
      </c>
      <c r="C2718" s="16" t="str">
        <f>"FES1162673958"</f>
        <v>FES1162673958</v>
      </c>
      <c r="D2718" s="16" t="s">
        <v>18</v>
      </c>
      <c r="E2718" s="16" t="s">
        <v>1052</v>
      </c>
      <c r="F2718" s="16" t="str">
        <f>"2170673192 "</f>
        <v xml:space="preserve">2170673192 </v>
      </c>
      <c r="G2718" s="16" t="str">
        <f t="shared" si="78"/>
        <v>ON1</v>
      </c>
      <c r="H2718" s="16" t="s">
        <v>20</v>
      </c>
      <c r="I2718" s="16" t="s">
        <v>1053</v>
      </c>
      <c r="J2718" s="16" t="str">
        <f>""</f>
        <v/>
      </c>
      <c r="K2718" s="16" t="str">
        <f>"PFES1162673958_0001"</f>
        <v>PFES1162673958_0001</v>
      </c>
      <c r="L2718" s="16">
        <v>1</v>
      </c>
      <c r="M2718" s="16">
        <v>1</v>
      </c>
    </row>
    <row r="2719" spans="1:13">
      <c r="A2719" s="6">
        <v>43515</v>
      </c>
      <c r="B2719" s="7">
        <v>0.55347222222222225</v>
      </c>
      <c r="C2719" s="16" t="str">
        <f>"FES1162673991"</f>
        <v>FES1162673991</v>
      </c>
      <c r="D2719" s="16" t="s">
        <v>18</v>
      </c>
      <c r="E2719" s="16" t="s">
        <v>1054</v>
      </c>
      <c r="F2719" s="16" t="str">
        <f>"2170675045 "</f>
        <v xml:space="preserve">2170675045 </v>
      </c>
      <c r="G2719" s="16" t="str">
        <f t="shared" si="78"/>
        <v>ON1</v>
      </c>
      <c r="H2719" s="16" t="s">
        <v>20</v>
      </c>
      <c r="I2719" s="16" t="s">
        <v>674</v>
      </c>
      <c r="J2719" s="16" t="str">
        <f>""</f>
        <v/>
      </c>
      <c r="K2719" s="16" t="str">
        <f>"PFES1162673991_0001"</f>
        <v>PFES1162673991_0001</v>
      </c>
      <c r="L2719" s="16">
        <v>1</v>
      </c>
      <c r="M2719" s="16">
        <v>1</v>
      </c>
    </row>
    <row r="2720" spans="1:13">
      <c r="A2720" s="6">
        <v>43515</v>
      </c>
      <c r="B2720" s="7">
        <v>0.55277777777777781</v>
      </c>
      <c r="C2720" s="16" t="str">
        <f>"FES1162673863"</f>
        <v>FES1162673863</v>
      </c>
      <c r="D2720" s="16" t="s">
        <v>18</v>
      </c>
      <c r="E2720" s="16" t="s">
        <v>19</v>
      </c>
      <c r="F2720" s="16" t="str">
        <f>"2170673378 "</f>
        <v xml:space="preserve">2170673378 </v>
      </c>
      <c r="G2720" s="16" t="str">
        <f t="shared" si="78"/>
        <v>ON1</v>
      </c>
      <c r="H2720" s="16" t="s">
        <v>20</v>
      </c>
      <c r="I2720" s="16" t="s">
        <v>21</v>
      </c>
      <c r="J2720" s="16" t="str">
        <f>""</f>
        <v/>
      </c>
      <c r="K2720" s="16" t="str">
        <f>"PFES1162673863_0001"</f>
        <v>PFES1162673863_0001</v>
      </c>
      <c r="L2720" s="16">
        <v>1</v>
      </c>
      <c r="M2720" s="16">
        <v>1</v>
      </c>
    </row>
    <row r="2721" spans="1:13">
      <c r="A2721" s="6">
        <v>43515</v>
      </c>
      <c r="B2721" s="7">
        <v>0.55277777777777781</v>
      </c>
      <c r="C2721" s="16" t="str">
        <f>"FES1162673851"</f>
        <v>FES1162673851</v>
      </c>
      <c r="D2721" s="16" t="s">
        <v>18</v>
      </c>
      <c r="E2721" s="16" t="s">
        <v>132</v>
      </c>
      <c r="F2721" s="16" t="str">
        <f>"2170670591 "</f>
        <v xml:space="preserve">2170670591 </v>
      </c>
      <c r="G2721" s="16" t="str">
        <f t="shared" si="78"/>
        <v>ON1</v>
      </c>
      <c r="H2721" s="16" t="s">
        <v>20</v>
      </c>
      <c r="I2721" s="16" t="s">
        <v>133</v>
      </c>
      <c r="J2721" s="16" t="str">
        <f>""</f>
        <v/>
      </c>
      <c r="K2721" s="16" t="str">
        <f>"PFES1162673851_0001"</f>
        <v>PFES1162673851_0001</v>
      </c>
      <c r="L2721" s="16">
        <v>1</v>
      </c>
      <c r="M2721" s="16">
        <v>1</v>
      </c>
    </row>
    <row r="2722" spans="1:13">
      <c r="A2722" s="6">
        <v>43515</v>
      </c>
      <c r="B2722" s="7">
        <v>0.55208333333333337</v>
      </c>
      <c r="C2722" s="16" t="str">
        <f>"FES1162673877"</f>
        <v>FES1162673877</v>
      </c>
      <c r="D2722" s="16" t="s">
        <v>18</v>
      </c>
      <c r="E2722" s="16" t="s">
        <v>393</v>
      </c>
      <c r="F2722" s="16" t="str">
        <f>"2170674811 "</f>
        <v xml:space="preserve">2170674811 </v>
      </c>
      <c r="G2722" s="16" t="str">
        <f t="shared" si="78"/>
        <v>ON1</v>
      </c>
      <c r="H2722" s="16" t="s">
        <v>20</v>
      </c>
      <c r="I2722" s="16" t="s">
        <v>242</v>
      </c>
      <c r="J2722" s="16" t="str">
        <f>""</f>
        <v/>
      </c>
      <c r="K2722" s="16" t="str">
        <f>"PFES1162673877_0001"</f>
        <v>PFES1162673877_0001</v>
      </c>
      <c r="L2722" s="16">
        <v>1</v>
      </c>
      <c r="M2722" s="16">
        <v>1</v>
      </c>
    </row>
    <row r="2723" spans="1:13">
      <c r="A2723" s="6">
        <v>43515</v>
      </c>
      <c r="B2723" s="7">
        <v>0.55208333333333337</v>
      </c>
      <c r="C2723" s="16" t="str">
        <f>"FES1162673921"</f>
        <v>FES1162673921</v>
      </c>
      <c r="D2723" s="16" t="s">
        <v>18</v>
      </c>
      <c r="E2723" s="16" t="s">
        <v>88</v>
      </c>
      <c r="F2723" s="16" t="str">
        <f>"2170675018 "</f>
        <v xml:space="preserve">2170675018 </v>
      </c>
      <c r="G2723" s="16" t="str">
        <f t="shared" si="78"/>
        <v>ON1</v>
      </c>
      <c r="H2723" s="16" t="s">
        <v>20</v>
      </c>
      <c r="I2723" s="16" t="s">
        <v>53</v>
      </c>
      <c r="J2723" s="16" t="str">
        <f>""</f>
        <v/>
      </c>
      <c r="K2723" s="16" t="str">
        <f>"PFES1162673921_0001"</f>
        <v>PFES1162673921_0001</v>
      </c>
      <c r="L2723" s="16">
        <v>1</v>
      </c>
      <c r="M2723" s="16">
        <v>1</v>
      </c>
    </row>
    <row r="2724" spans="1:13">
      <c r="A2724" s="6">
        <v>43515</v>
      </c>
      <c r="B2724" s="7">
        <v>0.55138888888888882</v>
      </c>
      <c r="C2724" s="16" t="str">
        <f>"FES1162673869"</f>
        <v>FES1162673869</v>
      </c>
      <c r="D2724" s="16" t="s">
        <v>18</v>
      </c>
      <c r="E2724" s="16" t="s">
        <v>776</v>
      </c>
      <c r="F2724" s="16" t="str">
        <f>"2170674105 "</f>
        <v xml:space="preserve">2170674105 </v>
      </c>
      <c r="G2724" s="16" t="str">
        <f t="shared" si="78"/>
        <v>ON1</v>
      </c>
      <c r="H2724" s="16" t="s">
        <v>20</v>
      </c>
      <c r="I2724" s="16" t="s">
        <v>103</v>
      </c>
      <c r="J2724" s="16" t="str">
        <f>""</f>
        <v/>
      </c>
      <c r="K2724" s="16" t="str">
        <f>"PFES1162673869_0001"</f>
        <v>PFES1162673869_0001</v>
      </c>
      <c r="L2724" s="16">
        <v>1</v>
      </c>
      <c r="M2724" s="16">
        <v>1</v>
      </c>
    </row>
    <row r="2725" spans="1:13">
      <c r="A2725" s="6">
        <v>43515</v>
      </c>
      <c r="B2725" s="7">
        <v>0.55138888888888882</v>
      </c>
      <c r="C2725" s="16" t="str">
        <f>"FES1162673861"</f>
        <v>FES1162673861</v>
      </c>
      <c r="D2725" s="16" t="s">
        <v>18</v>
      </c>
      <c r="E2725" s="16" t="s">
        <v>375</v>
      </c>
      <c r="F2725" s="16" t="str">
        <f>"2170673085 "</f>
        <v xml:space="preserve">2170673085 </v>
      </c>
      <c r="G2725" s="16" t="str">
        <f t="shared" si="78"/>
        <v>ON1</v>
      </c>
      <c r="H2725" s="16" t="s">
        <v>20</v>
      </c>
      <c r="I2725" s="16" t="s">
        <v>99</v>
      </c>
      <c r="J2725" s="16" t="str">
        <f>""</f>
        <v/>
      </c>
      <c r="K2725" s="16" t="str">
        <f>"PFES1162673861_0001"</f>
        <v>PFES1162673861_0001</v>
      </c>
      <c r="L2725" s="16">
        <v>1</v>
      </c>
      <c r="M2725" s="16">
        <v>1</v>
      </c>
    </row>
    <row r="2726" spans="1:13">
      <c r="A2726" s="6">
        <v>43515</v>
      </c>
      <c r="B2726" s="7">
        <v>0.55138888888888882</v>
      </c>
      <c r="C2726" s="16" t="str">
        <f>"FES1162673900"</f>
        <v>FES1162673900</v>
      </c>
      <c r="D2726" s="16" t="s">
        <v>18</v>
      </c>
      <c r="E2726" s="16" t="s">
        <v>160</v>
      </c>
      <c r="F2726" s="16" t="str">
        <f>"2170674987 "</f>
        <v xml:space="preserve">2170674987 </v>
      </c>
      <c r="G2726" s="16" t="str">
        <f t="shared" ref="G2726:G2789" si="79">"ON1"</f>
        <v>ON1</v>
      </c>
      <c r="H2726" s="16" t="s">
        <v>20</v>
      </c>
      <c r="I2726" s="16" t="s">
        <v>161</v>
      </c>
      <c r="J2726" s="16" t="str">
        <f>""</f>
        <v/>
      </c>
      <c r="K2726" s="16" t="str">
        <f>"PFES1162673900_0001"</f>
        <v>PFES1162673900_0001</v>
      </c>
      <c r="L2726" s="16">
        <v>1</v>
      </c>
      <c r="M2726" s="16">
        <v>1</v>
      </c>
    </row>
    <row r="2727" spans="1:13">
      <c r="A2727" s="6">
        <v>43515</v>
      </c>
      <c r="B2727" s="7">
        <v>0.55069444444444449</v>
      </c>
      <c r="C2727" s="16" t="str">
        <f>"FES1162673865"</f>
        <v>FES1162673865</v>
      </c>
      <c r="D2727" s="16" t="s">
        <v>18</v>
      </c>
      <c r="E2727" s="16" t="s">
        <v>1055</v>
      </c>
      <c r="F2727" s="16" t="str">
        <f>"2170673462 "</f>
        <v xml:space="preserve">2170673462 </v>
      </c>
      <c r="G2727" s="16" t="str">
        <f t="shared" si="79"/>
        <v>ON1</v>
      </c>
      <c r="H2727" s="16" t="s">
        <v>20</v>
      </c>
      <c r="I2727" s="16" t="s">
        <v>103</v>
      </c>
      <c r="J2727" s="16" t="str">
        <f>""</f>
        <v/>
      </c>
      <c r="K2727" s="16" t="str">
        <f>"PFES1162673865_0001"</f>
        <v>PFES1162673865_0001</v>
      </c>
      <c r="L2727" s="16">
        <v>1</v>
      </c>
      <c r="M2727" s="16">
        <v>1</v>
      </c>
    </row>
    <row r="2728" spans="1:13">
      <c r="A2728" s="6">
        <v>43515</v>
      </c>
      <c r="B2728" s="7">
        <v>0.54999999999999993</v>
      </c>
      <c r="C2728" s="16" t="str">
        <f>"FES1162673859"</f>
        <v>FES1162673859</v>
      </c>
      <c r="D2728" s="16" t="s">
        <v>18</v>
      </c>
      <c r="E2728" s="16" t="s">
        <v>1056</v>
      </c>
      <c r="F2728" s="16" t="str">
        <f>"217072778 "</f>
        <v xml:space="preserve">217072778 </v>
      </c>
      <c r="G2728" s="16" t="str">
        <f t="shared" si="79"/>
        <v>ON1</v>
      </c>
      <c r="H2728" s="16" t="s">
        <v>20</v>
      </c>
      <c r="I2728" s="16" t="s">
        <v>93</v>
      </c>
      <c r="J2728" s="16" t="str">
        <f>""</f>
        <v/>
      </c>
      <c r="K2728" s="16" t="str">
        <f>"PFES1162673859_0001"</f>
        <v>PFES1162673859_0001</v>
      </c>
      <c r="L2728" s="16">
        <v>1</v>
      </c>
      <c r="M2728" s="16">
        <v>1</v>
      </c>
    </row>
    <row r="2729" spans="1:13">
      <c r="A2729" s="6">
        <v>43515</v>
      </c>
      <c r="B2729" s="7">
        <v>0.5493055555555556</v>
      </c>
      <c r="C2729" s="16" t="str">
        <f>"FES1162673887"</f>
        <v>FES1162673887</v>
      </c>
      <c r="D2729" s="16" t="s">
        <v>18</v>
      </c>
      <c r="E2729" s="16" t="s">
        <v>1056</v>
      </c>
      <c r="F2729" s="16" t="str">
        <f>"2170674970 "</f>
        <v xml:space="preserve">2170674970 </v>
      </c>
      <c r="G2729" s="16" t="str">
        <f t="shared" si="79"/>
        <v>ON1</v>
      </c>
      <c r="H2729" s="16" t="s">
        <v>20</v>
      </c>
      <c r="I2729" s="16" t="s">
        <v>93</v>
      </c>
      <c r="J2729" s="16" t="str">
        <f>""</f>
        <v/>
      </c>
      <c r="K2729" s="16" t="str">
        <f>"PFES1162673887_0001"</f>
        <v>PFES1162673887_0001</v>
      </c>
      <c r="L2729" s="16">
        <v>1</v>
      </c>
      <c r="M2729" s="16">
        <v>1</v>
      </c>
    </row>
    <row r="2730" spans="1:13">
      <c r="A2730" s="6">
        <v>43515</v>
      </c>
      <c r="B2730" s="7">
        <v>0.54861111111111105</v>
      </c>
      <c r="C2730" s="16" t="str">
        <f>"FES1162673935"</f>
        <v>FES1162673935</v>
      </c>
      <c r="D2730" s="16" t="s">
        <v>18</v>
      </c>
      <c r="E2730" s="16" t="s">
        <v>234</v>
      </c>
      <c r="F2730" s="16" t="str">
        <f>"2170672315 "</f>
        <v xml:space="preserve">2170672315 </v>
      </c>
      <c r="G2730" s="16" t="str">
        <f t="shared" si="79"/>
        <v>ON1</v>
      </c>
      <c r="H2730" s="16" t="s">
        <v>20</v>
      </c>
      <c r="I2730" s="16" t="s">
        <v>233</v>
      </c>
      <c r="J2730" s="16" t="str">
        <f>""</f>
        <v/>
      </c>
      <c r="K2730" s="16" t="str">
        <f>"PFES1162673935_0001"</f>
        <v>PFES1162673935_0001</v>
      </c>
      <c r="L2730" s="16">
        <v>1</v>
      </c>
      <c r="M2730" s="16">
        <v>1</v>
      </c>
    </row>
    <row r="2731" spans="1:13">
      <c r="A2731" s="6">
        <v>43515</v>
      </c>
      <c r="B2731" s="7">
        <v>0.54861111111111105</v>
      </c>
      <c r="C2731" s="16" t="str">
        <f>"FES1162673873"</f>
        <v>FES1162673873</v>
      </c>
      <c r="D2731" s="16" t="s">
        <v>18</v>
      </c>
      <c r="E2731" s="16" t="s">
        <v>393</v>
      </c>
      <c r="F2731" s="16" t="str">
        <f>"2170674281 "</f>
        <v xml:space="preserve">2170674281 </v>
      </c>
      <c r="G2731" s="16" t="str">
        <f t="shared" si="79"/>
        <v>ON1</v>
      </c>
      <c r="H2731" s="16" t="s">
        <v>20</v>
      </c>
      <c r="I2731" s="16" t="s">
        <v>242</v>
      </c>
      <c r="J2731" s="16" t="str">
        <f>""</f>
        <v/>
      </c>
      <c r="K2731" s="16" t="str">
        <f>"PFES1162673873_0001"</f>
        <v>PFES1162673873_0001</v>
      </c>
      <c r="L2731" s="16">
        <v>1</v>
      </c>
      <c r="M2731" s="16">
        <v>1</v>
      </c>
    </row>
    <row r="2732" spans="1:13">
      <c r="A2732" s="6">
        <v>43515</v>
      </c>
      <c r="B2732" s="7">
        <v>0.54236111111111118</v>
      </c>
      <c r="C2732" s="16" t="str">
        <f>"FES1162673962"</f>
        <v>FES1162673962</v>
      </c>
      <c r="D2732" s="16" t="s">
        <v>18</v>
      </c>
      <c r="E2732" s="16" t="s">
        <v>1027</v>
      </c>
      <c r="F2732" s="16" t="str">
        <f>"2170673250 "</f>
        <v xml:space="preserve">2170673250 </v>
      </c>
      <c r="G2732" s="16" t="str">
        <f t="shared" si="79"/>
        <v>ON1</v>
      </c>
      <c r="H2732" s="16" t="s">
        <v>20</v>
      </c>
      <c r="I2732" s="16" t="s">
        <v>130</v>
      </c>
      <c r="J2732" s="16" t="str">
        <f>""</f>
        <v/>
      </c>
      <c r="K2732" s="16" t="str">
        <f>"PFES1162673962_0001"</f>
        <v>PFES1162673962_0001</v>
      </c>
      <c r="L2732" s="16">
        <v>1</v>
      </c>
      <c r="M2732" s="16">
        <v>4</v>
      </c>
    </row>
    <row r="2733" spans="1:13">
      <c r="A2733" s="6">
        <v>43515</v>
      </c>
      <c r="B2733" s="7">
        <v>0.54097222222222219</v>
      </c>
      <c r="C2733" s="16" t="str">
        <f>"FES1162672346"</f>
        <v>FES1162672346</v>
      </c>
      <c r="D2733" s="16" t="s">
        <v>18</v>
      </c>
      <c r="E2733" s="16" t="s">
        <v>1057</v>
      </c>
      <c r="F2733" s="16" t="str">
        <f>"2170669532 "</f>
        <v xml:space="preserve">2170669532 </v>
      </c>
      <c r="G2733" s="16" t="str">
        <f t="shared" si="79"/>
        <v>ON1</v>
      </c>
      <c r="H2733" s="16" t="s">
        <v>20</v>
      </c>
      <c r="I2733" s="16" t="s">
        <v>226</v>
      </c>
      <c r="J2733" s="16" t="str">
        <f>""</f>
        <v/>
      </c>
      <c r="K2733" s="16" t="str">
        <f>"PFES1162672346_0001"</f>
        <v>PFES1162672346_0001</v>
      </c>
      <c r="L2733" s="16">
        <v>1</v>
      </c>
      <c r="M2733" s="16">
        <v>4</v>
      </c>
    </row>
    <row r="2734" spans="1:13">
      <c r="A2734" s="6">
        <v>43515</v>
      </c>
      <c r="B2734" s="7">
        <v>0.53819444444444442</v>
      </c>
      <c r="C2734" s="16" t="str">
        <f>"FES1162673843"</f>
        <v>FES1162673843</v>
      </c>
      <c r="D2734" s="16" t="s">
        <v>18</v>
      </c>
      <c r="E2734" s="16" t="s">
        <v>385</v>
      </c>
      <c r="F2734" s="16" t="str">
        <f>"2170674723 "</f>
        <v xml:space="preserve">2170674723 </v>
      </c>
      <c r="G2734" s="16" t="str">
        <f t="shared" si="79"/>
        <v>ON1</v>
      </c>
      <c r="H2734" s="16" t="s">
        <v>20</v>
      </c>
      <c r="I2734" s="16" t="s">
        <v>158</v>
      </c>
      <c r="J2734" s="16" t="str">
        <f>""</f>
        <v/>
      </c>
      <c r="K2734" s="16" t="str">
        <f>"PFES1162673843_0001"</f>
        <v>PFES1162673843_0001</v>
      </c>
      <c r="L2734" s="16">
        <v>1</v>
      </c>
      <c r="M2734" s="16">
        <v>1</v>
      </c>
    </row>
    <row r="2735" spans="1:13">
      <c r="A2735" s="6">
        <v>43515</v>
      </c>
      <c r="B2735" s="7">
        <v>0.53749999999999998</v>
      </c>
      <c r="C2735" s="16" t="str">
        <f>"FES1162673841"</f>
        <v>FES1162673841</v>
      </c>
      <c r="D2735" s="16" t="s">
        <v>18</v>
      </c>
      <c r="E2735" s="16" t="s">
        <v>385</v>
      </c>
      <c r="F2735" s="16" t="str">
        <f>"2170673566 "</f>
        <v xml:space="preserve">2170673566 </v>
      </c>
      <c r="G2735" s="16" t="str">
        <f t="shared" si="79"/>
        <v>ON1</v>
      </c>
      <c r="H2735" s="16" t="s">
        <v>20</v>
      </c>
      <c r="I2735" s="16" t="s">
        <v>158</v>
      </c>
      <c r="J2735" s="16" t="str">
        <f>""</f>
        <v/>
      </c>
      <c r="K2735" s="16" t="str">
        <f>"PFES1162673841_0001"</f>
        <v>PFES1162673841_0001</v>
      </c>
      <c r="L2735" s="16">
        <v>1</v>
      </c>
      <c r="M2735" s="16">
        <v>1</v>
      </c>
    </row>
    <row r="2736" spans="1:13">
      <c r="A2736" s="6">
        <v>43515</v>
      </c>
      <c r="B2736" s="7">
        <v>0.53749999999999998</v>
      </c>
      <c r="C2736" s="16" t="str">
        <f>"FES1162673889"</f>
        <v>FES1162673889</v>
      </c>
      <c r="D2736" s="16" t="s">
        <v>18</v>
      </c>
      <c r="E2736" s="16" t="s">
        <v>936</v>
      </c>
      <c r="F2736" s="16" t="str">
        <f>"2170674974 "</f>
        <v xml:space="preserve">2170674974 </v>
      </c>
      <c r="G2736" s="16" t="str">
        <f t="shared" si="79"/>
        <v>ON1</v>
      </c>
      <c r="H2736" s="16" t="s">
        <v>20</v>
      </c>
      <c r="I2736" s="16" t="s">
        <v>937</v>
      </c>
      <c r="J2736" s="16" t="str">
        <f>""</f>
        <v/>
      </c>
      <c r="K2736" s="16" t="str">
        <f>"PFES1162673889_0001"</f>
        <v>PFES1162673889_0001</v>
      </c>
      <c r="L2736" s="16">
        <v>1</v>
      </c>
      <c r="M2736" s="16">
        <v>1</v>
      </c>
    </row>
    <row r="2737" spans="1:13">
      <c r="A2737" s="6">
        <v>43515</v>
      </c>
      <c r="B2737" s="7">
        <v>0.53749999999999998</v>
      </c>
      <c r="C2737" s="16" t="str">
        <f>"FES1162673963"</f>
        <v>FES1162673963</v>
      </c>
      <c r="D2737" s="16" t="s">
        <v>18</v>
      </c>
      <c r="E2737" s="16" t="s">
        <v>19</v>
      </c>
      <c r="F2737" s="16" t="str">
        <f>"2170673273 "</f>
        <v xml:space="preserve">2170673273 </v>
      </c>
      <c r="G2737" s="16" t="str">
        <f t="shared" si="79"/>
        <v>ON1</v>
      </c>
      <c r="H2737" s="16" t="s">
        <v>20</v>
      </c>
      <c r="I2737" s="16" t="s">
        <v>21</v>
      </c>
      <c r="J2737" s="16" t="str">
        <f>""</f>
        <v/>
      </c>
      <c r="K2737" s="16" t="str">
        <f>"PFES1162673963_0001"</f>
        <v>PFES1162673963_0001</v>
      </c>
      <c r="L2737" s="16">
        <v>1</v>
      </c>
      <c r="M2737" s="16">
        <v>3</v>
      </c>
    </row>
    <row r="2738" spans="1:13">
      <c r="A2738" s="6">
        <v>43515</v>
      </c>
      <c r="B2738" s="7">
        <v>0.53749999999999998</v>
      </c>
      <c r="C2738" s="16" t="str">
        <f>"FES1162673880"</f>
        <v>FES1162673880</v>
      </c>
      <c r="D2738" s="16" t="s">
        <v>18</v>
      </c>
      <c r="E2738" s="16" t="s">
        <v>44</v>
      </c>
      <c r="F2738" s="16" t="str">
        <f>"2170674878 "</f>
        <v xml:space="preserve">2170674878 </v>
      </c>
      <c r="G2738" s="16" t="str">
        <f t="shared" si="79"/>
        <v>ON1</v>
      </c>
      <c r="H2738" s="16" t="s">
        <v>20</v>
      </c>
      <c r="I2738" s="16" t="s">
        <v>39</v>
      </c>
      <c r="J2738" s="16" t="str">
        <f>""</f>
        <v/>
      </c>
      <c r="K2738" s="16" t="str">
        <f>"PFES1162673880_0001"</f>
        <v>PFES1162673880_0001</v>
      </c>
      <c r="L2738" s="16">
        <v>1</v>
      </c>
      <c r="M2738" s="16">
        <v>1</v>
      </c>
    </row>
    <row r="2739" spans="1:13">
      <c r="A2739" s="6">
        <v>43515</v>
      </c>
      <c r="B2739" s="7">
        <v>0.53680555555555554</v>
      </c>
      <c r="C2739" s="16" t="str">
        <f>"FES1162673960"</f>
        <v>FES1162673960</v>
      </c>
      <c r="D2739" s="16" t="s">
        <v>18</v>
      </c>
      <c r="E2739" s="16" t="s">
        <v>150</v>
      </c>
      <c r="F2739" s="16" t="str">
        <f>"217067320 "</f>
        <v xml:space="preserve">217067320 </v>
      </c>
      <c r="G2739" s="16" t="str">
        <f t="shared" si="79"/>
        <v>ON1</v>
      </c>
      <c r="H2739" s="16" t="s">
        <v>20</v>
      </c>
      <c r="I2739" s="16" t="s">
        <v>137</v>
      </c>
      <c r="J2739" s="16" t="str">
        <f>""</f>
        <v/>
      </c>
      <c r="K2739" s="16" t="str">
        <f>"PFES1162673960_0001"</f>
        <v>PFES1162673960_0001</v>
      </c>
      <c r="L2739" s="16">
        <v>1</v>
      </c>
      <c r="M2739" s="16">
        <v>1</v>
      </c>
    </row>
    <row r="2740" spans="1:13">
      <c r="A2740" s="6">
        <v>43515</v>
      </c>
      <c r="B2740" s="7">
        <v>0.53680555555555554</v>
      </c>
      <c r="C2740" s="16" t="str">
        <f>"FES1162673890"</f>
        <v>FES1162673890</v>
      </c>
      <c r="D2740" s="16" t="s">
        <v>18</v>
      </c>
      <c r="E2740" s="16" t="s">
        <v>97</v>
      </c>
      <c r="F2740" s="16" t="str">
        <f>"2170674975 "</f>
        <v xml:space="preserve">2170674975 </v>
      </c>
      <c r="G2740" s="16" t="str">
        <f t="shared" si="79"/>
        <v>ON1</v>
      </c>
      <c r="H2740" s="16" t="s">
        <v>20</v>
      </c>
      <c r="I2740" s="16" t="s">
        <v>70</v>
      </c>
      <c r="J2740" s="16" t="str">
        <f>""</f>
        <v/>
      </c>
      <c r="K2740" s="16" t="str">
        <f>"PFES1162673890_0001"</f>
        <v>PFES1162673890_0001</v>
      </c>
      <c r="L2740" s="16">
        <v>1</v>
      </c>
      <c r="M2740" s="16">
        <v>1</v>
      </c>
    </row>
    <row r="2741" spans="1:13">
      <c r="A2741" s="6">
        <v>43515</v>
      </c>
      <c r="B2741" s="7">
        <v>0.53680555555555554</v>
      </c>
      <c r="C2741" s="16" t="str">
        <f>"FES1162673878"</f>
        <v>FES1162673878</v>
      </c>
      <c r="D2741" s="16" t="s">
        <v>18</v>
      </c>
      <c r="E2741" s="16" t="s">
        <v>1058</v>
      </c>
      <c r="F2741" s="16" t="str">
        <f>"2170674822 "</f>
        <v xml:space="preserve">2170674822 </v>
      </c>
      <c r="G2741" s="16" t="str">
        <f t="shared" si="79"/>
        <v>ON1</v>
      </c>
      <c r="H2741" s="16" t="s">
        <v>20</v>
      </c>
      <c r="I2741" s="16" t="s">
        <v>435</v>
      </c>
      <c r="J2741" s="16" t="str">
        <f>""</f>
        <v/>
      </c>
      <c r="K2741" s="16" t="str">
        <f>"PFES1162673878_0001"</f>
        <v>PFES1162673878_0001</v>
      </c>
      <c r="L2741" s="16">
        <v>1</v>
      </c>
      <c r="M2741" s="16">
        <v>1</v>
      </c>
    </row>
    <row r="2742" spans="1:13">
      <c r="A2742" s="6">
        <v>43515</v>
      </c>
      <c r="B2742" s="7">
        <v>0.53611111111111109</v>
      </c>
      <c r="C2742" s="16" t="str">
        <f>"FES1162673957"</f>
        <v>FES1162673957</v>
      </c>
      <c r="D2742" s="16" t="s">
        <v>18</v>
      </c>
      <c r="E2742" s="16" t="s">
        <v>214</v>
      </c>
      <c r="F2742" s="16" t="str">
        <f>"2170673179 "</f>
        <v xml:space="preserve">2170673179 </v>
      </c>
      <c r="G2742" s="16" t="str">
        <f t="shared" si="79"/>
        <v>ON1</v>
      </c>
      <c r="H2742" s="16" t="s">
        <v>20</v>
      </c>
      <c r="I2742" s="16" t="s">
        <v>215</v>
      </c>
      <c r="J2742" s="16" t="str">
        <f>""</f>
        <v/>
      </c>
      <c r="K2742" s="16" t="str">
        <f>"PFES1162673957_0001"</f>
        <v>PFES1162673957_0001</v>
      </c>
      <c r="L2742" s="16">
        <v>1</v>
      </c>
      <c r="M2742" s="16">
        <v>1</v>
      </c>
    </row>
    <row r="2743" spans="1:13">
      <c r="A2743" s="6">
        <v>43515</v>
      </c>
      <c r="B2743" s="7">
        <v>0.53611111111111109</v>
      </c>
      <c r="C2743" s="16" t="str">
        <f>"FES1162673952"</f>
        <v>FES1162673952</v>
      </c>
      <c r="D2743" s="16" t="s">
        <v>18</v>
      </c>
      <c r="E2743" s="16" t="s">
        <v>960</v>
      </c>
      <c r="F2743" s="16" t="str">
        <f>"2170673138 "</f>
        <v xml:space="preserve">2170673138 </v>
      </c>
      <c r="G2743" s="16" t="str">
        <f t="shared" si="79"/>
        <v>ON1</v>
      </c>
      <c r="H2743" s="16" t="s">
        <v>20</v>
      </c>
      <c r="I2743" s="16" t="s">
        <v>256</v>
      </c>
      <c r="J2743" s="16" t="str">
        <f>""</f>
        <v/>
      </c>
      <c r="K2743" s="16" t="str">
        <f>"PFES1162673952_0001"</f>
        <v>PFES1162673952_0001</v>
      </c>
      <c r="L2743" s="16">
        <v>1</v>
      </c>
      <c r="M2743" s="16">
        <v>1</v>
      </c>
    </row>
    <row r="2744" spans="1:13">
      <c r="A2744" s="6">
        <v>43515</v>
      </c>
      <c r="B2744" s="7">
        <v>0.53541666666666665</v>
      </c>
      <c r="C2744" s="16" t="str">
        <f>"FES1162673875"</f>
        <v>FES1162673875</v>
      </c>
      <c r="D2744" s="16" t="s">
        <v>18</v>
      </c>
      <c r="E2744" s="16" t="s">
        <v>361</v>
      </c>
      <c r="F2744" s="16" t="str">
        <f>"2170674679 "</f>
        <v xml:space="preserve">2170674679 </v>
      </c>
      <c r="G2744" s="16" t="str">
        <f t="shared" si="79"/>
        <v>ON1</v>
      </c>
      <c r="H2744" s="16" t="s">
        <v>20</v>
      </c>
      <c r="I2744" s="16" t="s">
        <v>362</v>
      </c>
      <c r="J2744" s="16" t="str">
        <f>""</f>
        <v/>
      </c>
      <c r="K2744" s="16" t="str">
        <f>"PFES1162673875_0001"</f>
        <v>PFES1162673875_0001</v>
      </c>
      <c r="L2744" s="16">
        <v>1</v>
      </c>
      <c r="M2744" s="16">
        <v>1</v>
      </c>
    </row>
    <row r="2745" spans="1:13">
      <c r="A2745" s="6">
        <v>43515</v>
      </c>
      <c r="B2745" s="7">
        <v>0.53541666666666665</v>
      </c>
      <c r="C2745" s="16" t="str">
        <f>"FES1162673938"</f>
        <v>FES1162673938</v>
      </c>
      <c r="D2745" s="16" t="s">
        <v>18</v>
      </c>
      <c r="E2745" s="16" t="s">
        <v>501</v>
      </c>
      <c r="F2745" s="16" t="str">
        <f>"2170672583 "</f>
        <v xml:space="preserve">2170672583 </v>
      </c>
      <c r="G2745" s="16" t="str">
        <f t="shared" si="79"/>
        <v>ON1</v>
      </c>
      <c r="H2745" s="16" t="s">
        <v>20</v>
      </c>
      <c r="I2745" s="16" t="s">
        <v>286</v>
      </c>
      <c r="J2745" s="16" t="str">
        <f>""</f>
        <v/>
      </c>
      <c r="K2745" s="16" t="str">
        <f>"PFES1162673938_0001"</f>
        <v>PFES1162673938_0001</v>
      </c>
      <c r="L2745" s="16">
        <v>1</v>
      </c>
      <c r="M2745" s="16">
        <v>1</v>
      </c>
    </row>
    <row r="2746" spans="1:13">
      <c r="A2746" s="6">
        <v>43515</v>
      </c>
      <c r="B2746" s="7">
        <v>0.53402777777777777</v>
      </c>
      <c r="C2746" s="16" t="str">
        <f>"FES1162673929"</f>
        <v>FES1162673929</v>
      </c>
      <c r="D2746" s="16" t="s">
        <v>18</v>
      </c>
      <c r="E2746" s="16" t="s">
        <v>140</v>
      </c>
      <c r="F2746" s="16" t="str">
        <f>"2170671583 "</f>
        <v xml:space="preserve">2170671583 </v>
      </c>
      <c r="G2746" s="16" t="str">
        <f t="shared" si="79"/>
        <v>ON1</v>
      </c>
      <c r="H2746" s="16" t="s">
        <v>20</v>
      </c>
      <c r="I2746" s="16" t="s">
        <v>141</v>
      </c>
      <c r="J2746" s="16" t="str">
        <f>""</f>
        <v/>
      </c>
      <c r="K2746" s="16" t="str">
        <f>"PFES1162673929_0001"</f>
        <v>PFES1162673929_0001</v>
      </c>
      <c r="L2746" s="16">
        <v>1</v>
      </c>
      <c r="M2746" s="16">
        <v>1</v>
      </c>
    </row>
    <row r="2747" spans="1:13">
      <c r="A2747" s="6">
        <v>43515</v>
      </c>
      <c r="B2747" s="7">
        <v>0.53402777777777777</v>
      </c>
      <c r="C2747" s="16" t="str">
        <f>"FES1162673990"</f>
        <v>FES1162673990</v>
      </c>
      <c r="D2747" s="16" t="s">
        <v>18</v>
      </c>
      <c r="E2747" s="16" t="s">
        <v>485</v>
      </c>
      <c r="F2747" s="16" t="str">
        <f>"2170375043 "</f>
        <v xml:space="preserve">2170375043 </v>
      </c>
      <c r="G2747" s="16" t="str">
        <f t="shared" si="79"/>
        <v>ON1</v>
      </c>
      <c r="H2747" s="16" t="s">
        <v>20</v>
      </c>
      <c r="I2747" s="16" t="s">
        <v>282</v>
      </c>
      <c r="J2747" s="16" t="str">
        <f>""</f>
        <v/>
      </c>
      <c r="K2747" s="16" t="str">
        <f>"PFES1162673990_0001"</f>
        <v>PFES1162673990_0001</v>
      </c>
      <c r="L2747" s="16">
        <v>1</v>
      </c>
      <c r="M2747" s="16">
        <v>1</v>
      </c>
    </row>
    <row r="2748" spans="1:13">
      <c r="A2748" s="6">
        <v>43515</v>
      </c>
      <c r="B2748" s="7">
        <v>0.53333333333333333</v>
      </c>
      <c r="C2748" s="16" t="str">
        <f>"FES1162673956"</f>
        <v>FES1162673956</v>
      </c>
      <c r="D2748" s="16" t="s">
        <v>18</v>
      </c>
      <c r="E2748" s="16" t="s">
        <v>159</v>
      </c>
      <c r="F2748" s="16" t="str">
        <f>"2170673170 "</f>
        <v xml:space="preserve">2170673170 </v>
      </c>
      <c r="G2748" s="16" t="str">
        <f t="shared" si="79"/>
        <v>ON1</v>
      </c>
      <c r="H2748" s="16" t="s">
        <v>20</v>
      </c>
      <c r="I2748" s="16" t="s">
        <v>137</v>
      </c>
      <c r="J2748" s="16" t="str">
        <f>""</f>
        <v/>
      </c>
      <c r="K2748" s="16" t="str">
        <f>"PFES1162673956_0001"</f>
        <v>PFES1162673956_0001</v>
      </c>
      <c r="L2748" s="16">
        <v>1</v>
      </c>
      <c r="M2748" s="16">
        <v>1</v>
      </c>
    </row>
    <row r="2749" spans="1:13">
      <c r="A2749" s="6">
        <v>43515</v>
      </c>
      <c r="B2749" s="7">
        <v>0.53333333333333333</v>
      </c>
      <c r="C2749" s="16" t="str">
        <f>"FES1162673936"</f>
        <v>FES1162673936</v>
      </c>
      <c r="D2749" s="16" t="s">
        <v>18</v>
      </c>
      <c r="E2749" s="16" t="s">
        <v>517</v>
      </c>
      <c r="F2749" s="16" t="str">
        <f>"2170674546 "</f>
        <v xml:space="preserve">2170674546 </v>
      </c>
      <c r="G2749" s="16" t="str">
        <f t="shared" si="79"/>
        <v>ON1</v>
      </c>
      <c r="H2749" s="16" t="s">
        <v>20</v>
      </c>
      <c r="I2749" s="16" t="s">
        <v>518</v>
      </c>
      <c r="J2749" s="16" t="str">
        <f>""</f>
        <v/>
      </c>
      <c r="K2749" s="16" t="str">
        <f>"PFES1162673936_0001"</f>
        <v>PFES1162673936_0001</v>
      </c>
      <c r="L2749" s="16">
        <v>1</v>
      </c>
      <c r="M2749" s="16">
        <v>1</v>
      </c>
    </row>
    <row r="2750" spans="1:13">
      <c r="A2750" s="6">
        <v>43515</v>
      </c>
      <c r="B2750" s="7">
        <v>0.53333333333333333</v>
      </c>
      <c r="C2750" s="16" t="str">
        <f>"FES1162673881"</f>
        <v>FES1162673881</v>
      </c>
      <c r="D2750" s="16" t="s">
        <v>18</v>
      </c>
      <c r="E2750" s="16" t="s">
        <v>380</v>
      </c>
      <c r="F2750" s="16" t="str">
        <f>"2170674947 "</f>
        <v xml:space="preserve">2170674947 </v>
      </c>
      <c r="G2750" s="16" t="str">
        <f t="shared" si="79"/>
        <v>ON1</v>
      </c>
      <c r="H2750" s="16" t="s">
        <v>20</v>
      </c>
      <c r="I2750" s="16" t="s">
        <v>213</v>
      </c>
      <c r="J2750" s="16" t="str">
        <f>""</f>
        <v/>
      </c>
      <c r="K2750" s="16" t="str">
        <f>"PFES1162673881_0001"</f>
        <v>PFES1162673881_0001</v>
      </c>
      <c r="L2750" s="16">
        <v>1</v>
      </c>
      <c r="M2750" s="16">
        <v>1</v>
      </c>
    </row>
    <row r="2751" spans="1:13">
      <c r="A2751" s="6">
        <v>43515</v>
      </c>
      <c r="B2751" s="7">
        <v>0.53263888888888888</v>
      </c>
      <c r="C2751" s="16" t="str">
        <f>"FES1162673888"</f>
        <v>FES1162673888</v>
      </c>
      <c r="D2751" s="16" t="s">
        <v>18</v>
      </c>
      <c r="E2751" s="16" t="s">
        <v>672</v>
      </c>
      <c r="F2751" s="16" t="str">
        <f>"2170674972 "</f>
        <v xml:space="preserve">2170674972 </v>
      </c>
      <c r="G2751" s="16" t="str">
        <f t="shared" si="79"/>
        <v>ON1</v>
      </c>
      <c r="H2751" s="16" t="s">
        <v>20</v>
      </c>
      <c r="I2751" s="16" t="s">
        <v>31</v>
      </c>
      <c r="J2751" s="16" t="str">
        <f>""</f>
        <v/>
      </c>
      <c r="K2751" s="16" t="str">
        <f>"PFES1162673888_0001"</f>
        <v>PFES1162673888_0001</v>
      </c>
      <c r="L2751" s="16">
        <v>1</v>
      </c>
      <c r="M2751" s="16">
        <v>1</v>
      </c>
    </row>
    <row r="2752" spans="1:13">
      <c r="A2752" s="6">
        <v>43515</v>
      </c>
      <c r="B2752" s="7">
        <v>0.53263888888888888</v>
      </c>
      <c r="C2752" s="16" t="str">
        <f>"FES1162673882"</f>
        <v>FES1162673882</v>
      </c>
      <c r="D2752" s="16" t="s">
        <v>18</v>
      </c>
      <c r="E2752" s="16" t="s">
        <v>380</v>
      </c>
      <c r="F2752" s="16" t="str">
        <f>"2170674953 "</f>
        <v xml:space="preserve">2170674953 </v>
      </c>
      <c r="G2752" s="16" t="str">
        <f t="shared" si="79"/>
        <v>ON1</v>
      </c>
      <c r="H2752" s="16" t="s">
        <v>20</v>
      </c>
      <c r="I2752" s="16" t="s">
        <v>213</v>
      </c>
      <c r="J2752" s="16" t="str">
        <f>""</f>
        <v/>
      </c>
      <c r="K2752" s="16" t="str">
        <f>"PFES1162673882_0001"</f>
        <v>PFES1162673882_0001</v>
      </c>
      <c r="L2752" s="16">
        <v>1</v>
      </c>
      <c r="M2752" s="16">
        <v>1</v>
      </c>
    </row>
    <row r="2753" spans="1:13">
      <c r="A2753" s="6">
        <v>43515</v>
      </c>
      <c r="B2753" s="7">
        <v>0.53263888888888888</v>
      </c>
      <c r="C2753" s="16" t="str">
        <f>"FES1162673893"</f>
        <v>FES1162673893</v>
      </c>
      <c r="D2753" s="16" t="s">
        <v>18</v>
      </c>
      <c r="E2753" s="16" t="s">
        <v>337</v>
      </c>
      <c r="F2753" s="16" t="str">
        <f>"2170674943 "</f>
        <v xml:space="preserve">2170674943 </v>
      </c>
      <c r="G2753" s="16" t="str">
        <f t="shared" si="79"/>
        <v>ON1</v>
      </c>
      <c r="H2753" s="16" t="s">
        <v>20</v>
      </c>
      <c r="I2753" s="16" t="s">
        <v>338</v>
      </c>
      <c r="J2753" s="16" t="str">
        <f>""</f>
        <v/>
      </c>
      <c r="K2753" s="16" t="str">
        <f>"PFES1162673893_0001"</f>
        <v>PFES1162673893_0001</v>
      </c>
      <c r="L2753" s="16">
        <v>1</v>
      </c>
      <c r="M2753" s="16">
        <v>1</v>
      </c>
    </row>
    <row r="2754" spans="1:13">
      <c r="A2754" s="6">
        <v>43515</v>
      </c>
      <c r="B2754" s="7">
        <v>0.53194444444444444</v>
      </c>
      <c r="C2754" s="16" t="str">
        <f>"FES1162673891"</f>
        <v>FES1162673891</v>
      </c>
      <c r="D2754" s="16" t="s">
        <v>18</v>
      </c>
      <c r="E2754" s="16" t="s">
        <v>823</v>
      </c>
      <c r="F2754" s="16" t="str">
        <f>"2170674789 "</f>
        <v xml:space="preserve">2170674789 </v>
      </c>
      <c r="G2754" s="16" t="str">
        <f t="shared" si="79"/>
        <v>ON1</v>
      </c>
      <c r="H2754" s="16" t="s">
        <v>20</v>
      </c>
      <c r="I2754" s="16" t="s">
        <v>99</v>
      </c>
      <c r="J2754" s="16" t="str">
        <f>""</f>
        <v/>
      </c>
      <c r="K2754" s="16" t="str">
        <f>"PFES1162673891_0001"</f>
        <v>PFES1162673891_0001</v>
      </c>
      <c r="L2754" s="16">
        <v>1</v>
      </c>
      <c r="M2754" s="16">
        <v>1</v>
      </c>
    </row>
    <row r="2755" spans="1:13">
      <c r="A2755" s="6">
        <v>43515</v>
      </c>
      <c r="B2755" s="7">
        <v>0.53125</v>
      </c>
      <c r="C2755" s="16" t="str">
        <f>"FES1162673907"</f>
        <v>FES1162673907</v>
      </c>
      <c r="D2755" s="16" t="s">
        <v>18</v>
      </c>
      <c r="E2755" s="16" t="s">
        <v>372</v>
      </c>
      <c r="F2755" s="16" t="str">
        <f>"2170674976 "</f>
        <v xml:space="preserve">2170674976 </v>
      </c>
      <c r="G2755" s="16" t="str">
        <f t="shared" si="79"/>
        <v>ON1</v>
      </c>
      <c r="H2755" s="16" t="s">
        <v>20</v>
      </c>
      <c r="I2755" s="16" t="s">
        <v>143</v>
      </c>
      <c r="J2755" s="16" t="str">
        <f>""</f>
        <v/>
      </c>
      <c r="K2755" s="16" t="str">
        <f>"PFES1162673907_0001"</f>
        <v>PFES1162673907_0001</v>
      </c>
      <c r="L2755" s="16">
        <v>1</v>
      </c>
      <c r="M2755" s="16">
        <v>1</v>
      </c>
    </row>
    <row r="2756" spans="1:13">
      <c r="A2756" s="6">
        <v>43515</v>
      </c>
      <c r="B2756" s="7">
        <v>0.53125</v>
      </c>
      <c r="C2756" s="16" t="str">
        <f>"FES1162673905"</f>
        <v>FES1162673905</v>
      </c>
      <c r="D2756" s="16" t="s">
        <v>18</v>
      </c>
      <c r="E2756" s="16" t="s">
        <v>160</v>
      </c>
      <c r="F2756" s="16" t="str">
        <f>"2170674989 "</f>
        <v xml:space="preserve">2170674989 </v>
      </c>
      <c r="G2756" s="16" t="str">
        <f t="shared" si="79"/>
        <v>ON1</v>
      </c>
      <c r="H2756" s="16" t="s">
        <v>20</v>
      </c>
      <c r="I2756" s="16" t="s">
        <v>161</v>
      </c>
      <c r="J2756" s="16" t="str">
        <f>""</f>
        <v/>
      </c>
      <c r="K2756" s="16" t="str">
        <f>"PFES1162673905_0001"</f>
        <v>PFES1162673905_0001</v>
      </c>
      <c r="L2756" s="16">
        <v>1</v>
      </c>
      <c r="M2756" s="16">
        <v>1</v>
      </c>
    </row>
    <row r="2757" spans="1:13">
      <c r="A2757" s="6">
        <v>43515</v>
      </c>
      <c r="B2757" s="7">
        <v>0.53125</v>
      </c>
      <c r="C2757" s="16" t="str">
        <f>"FES1162673976"</f>
        <v>FES1162673976</v>
      </c>
      <c r="D2757" s="16" t="s">
        <v>18</v>
      </c>
      <c r="E2757" s="16" t="s">
        <v>936</v>
      </c>
      <c r="F2757" s="16" t="str">
        <f>"2170675026 "</f>
        <v xml:space="preserve">2170675026 </v>
      </c>
      <c r="G2757" s="16" t="str">
        <f t="shared" si="79"/>
        <v>ON1</v>
      </c>
      <c r="H2757" s="16" t="s">
        <v>20</v>
      </c>
      <c r="I2757" s="16" t="s">
        <v>937</v>
      </c>
      <c r="J2757" s="16" t="str">
        <f>""</f>
        <v/>
      </c>
      <c r="K2757" s="16" t="str">
        <f>"PFES1162673976_0001"</f>
        <v>PFES1162673976_0001</v>
      </c>
      <c r="L2757" s="16">
        <v>1</v>
      </c>
      <c r="M2757" s="16">
        <v>1</v>
      </c>
    </row>
    <row r="2758" spans="1:13">
      <c r="A2758" s="6">
        <v>43515</v>
      </c>
      <c r="B2758" s="7">
        <v>0.53055555555555556</v>
      </c>
      <c r="C2758" s="16" t="str">
        <f>"FES1162673915"</f>
        <v>FES1162673915</v>
      </c>
      <c r="D2758" s="16" t="s">
        <v>18</v>
      </c>
      <c r="E2758" s="16" t="s">
        <v>19</v>
      </c>
      <c r="F2758" s="16" t="str">
        <f>"2170675009 "</f>
        <v xml:space="preserve">2170675009 </v>
      </c>
      <c r="G2758" s="16" t="str">
        <f t="shared" si="79"/>
        <v>ON1</v>
      </c>
      <c r="H2758" s="16" t="s">
        <v>20</v>
      </c>
      <c r="I2758" s="16" t="s">
        <v>21</v>
      </c>
      <c r="J2758" s="16" t="str">
        <f>""</f>
        <v/>
      </c>
      <c r="K2758" s="16" t="str">
        <f>"PFES1162673915_0001"</f>
        <v>PFES1162673915_0001</v>
      </c>
      <c r="L2758" s="16">
        <v>1</v>
      </c>
      <c r="M2758" s="16">
        <v>1</v>
      </c>
    </row>
    <row r="2759" spans="1:13">
      <c r="A2759" s="6">
        <v>43515</v>
      </c>
      <c r="B2759" s="7">
        <v>0.53055555555555556</v>
      </c>
      <c r="C2759" s="16" t="str">
        <f>"FES1162673987"</f>
        <v>FES1162673987</v>
      </c>
      <c r="D2759" s="16" t="s">
        <v>18</v>
      </c>
      <c r="E2759" s="16" t="s">
        <v>510</v>
      </c>
      <c r="F2759" s="16" t="str">
        <f>"2170675038 "</f>
        <v xml:space="preserve">2170675038 </v>
      </c>
      <c r="G2759" s="16" t="str">
        <f t="shared" si="79"/>
        <v>ON1</v>
      </c>
      <c r="H2759" s="16" t="s">
        <v>20</v>
      </c>
      <c r="I2759" s="16" t="s">
        <v>137</v>
      </c>
      <c r="J2759" s="16" t="str">
        <f>""</f>
        <v/>
      </c>
      <c r="K2759" s="16" t="str">
        <f>"PFES1162673987_0001"</f>
        <v>PFES1162673987_0001</v>
      </c>
      <c r="L2759" s="16">
        <v>1</v>
      </c>
      <c r="M2759" s="16">
        <v>1</v>
      </c>
    </row>
    <row r="2760" spans="1:13">
      <c r="A2760" s="6">
        <v>43515</v>
      </c>
      <c r="B2760" s="7">
        <v>0.53055555555555556</v>
      </c>
      <c r="C2760" s="16" t="str">
        <f>"FES1162673931"</f>
        <v>FES1162673931</v>
      </c>
      <c r="D2760" s="16" t="s">
        <v>18</v>
      </c>
      <c r="E2760" s="16" t="s">
        <v>811</v>
      </c>
      <c r="F2760" s="16" t="str">
        <f>"2170671886 "</f>
        <v xml:space="preserve">2170671886 </v>
      </c>
      <c r="G2760" s="16" t="str">
        <f t="shared" si="79"/>
        <v>ON1</v>
      </c>
      <c r="H2760" s="16" t="s">
        <v>20</v>
      </c>
      <c r="I2760" s="16" t="s">
        <v>239</v>
      </c>
      <c r="J2760" s="16" t="str">
        <f>""</f>
        <v/>
      </c>
      <c r="K2760" s="16" t="str">
        <f>"PFES1162673931_0001"</f>
        <v>PFES1162673931_0001</v>
      </c>
      <c r="L2760" s="16">
        <v>1</v>
      </c>
      <c r="M2760" s="16">
        <v>1</v>
      </c>
    </row>
    <row r="2761" spans="1:13">
      <c r="A2761" s="6">
        <v>43515</v>
      </c>
      <c r="B2761" s="7">
        <v>0.53055555555555556</v>
      </c>
      <c r="C2761" s="16" t="str">
        <f>"FES1162673899"</f>
        <v>FES1162673899</v>
      </c>
      <c r="D2761" s="16" t="s">
        <v>18</v>
      </c>
      <c r="E2761" s="16" t="s">
        <v>19</v>
      </c>
      <c r="F2761" s="16" t="str">
        <f>"2170674986 "</f>
        <v xml:space="preserve">2170674986 </v>
      </c>
      <c r="G2761" s="16" t="str">
        <f t="shared" si="79"/>
        <v>ON1</v>
      </c>
      <c r="H2761" s="16" t="s">
        <v>20</v>
      </c>
      <c r="I2761" s="16" t="s">
        <v>21</v>
      </c>
      <c r="J2761" s="16" t="str">
        <f>""</f>
        <v/>
      </c>
      <c r="K2761" s="16" t="str">
        <f>"PFES1162673899_0001"</f>
        <v>PFES1162673899_0001</v>
      </c>
      <c r="L2761" s="16">
        <v>1</v>
      </c>
      <c r="M2761" s="16">
        <v>1</v>
      </c>
    </row>
    <row r="2762" spans="1:13">
      <c r="A2762" s="6">
        <v>43515</v>
      </c>
      <c r="B2762" s="7">
        <v>0.52986111111111112</v>
      </c>
      <c r="C2762" s="16" t="str">
        <f>"FES1162673895"</f>
        <v>FES1162673895</v>
      </c>
      <c r="D2762" s="16" t="s">
        <v>18</v>
      </c>
      <c r="E2762" s="16" t="s">
        <v>19</v>
      </c>
      <c r="F2762" s="16" t="str">
        <f>"2170674980 "</f>
        <v xml:space="preserve">2170674980 </v>
      </c>
      <c r="G2762" s="16" t="str">
        <f t="shared" si="79"/>
        <v>ON1</v>
      </c>
      <c r="H2762" s="16" t="s">
        <v>20</v>
      </c>
      <c r="I2762" s="16" t="s">
        <v>21</v>
      </c>
      <c r="J2762" s="16" t="str">
        <f>""</f>
        <v/>
      </c>
      <c r="K2762" s="16" t="str">
        <f>"PFES1162673895_0001"</f>
        <v>PFES1162673895_0001</v>
      </c>
      <c r="L2762" s="16">
        <v>1</v>
      </c>
      <c r="M2762" s="16">
        <v>1</v>
      </c>
    </row>
    <row r="2763" spans="1:13">
      <c r="A2763" s="6">
        <v>43515</v>
      </c>
      <c r="B2763" s="7">
        <v>0.52986111111111112</v>
      </c>
      <c r="C2763" s="16" t="str">
        <f>"FES1162673846"</f>
        <v>FES1162673846</v>
      </c>
      <c r="D2763" s="16" t="s">
        <v>18</v>
      </c>
      <c r="E2763" s="16" t="s">
        <v>120</v>
      </c>
      <c r="F2763" s="16" t="str">
        <f>"2170674965 "</f>
        <v xml:space="preserve">2170674965 </v>
      </c>
      <c r="G2763" s="16" t="str">
        <f t="shared" si="79"/>
        <v>ON1</v>
      </c>
      <c r="H2763" s="16" t="s">
        <v>20</v>
      </c>
      <c r="I2763" s="16" t="s">
        <v>121</v>
      </c>
      <c r="J2763" s="16" t="str">
        <f>""</f>
        <v/>
      </c>
      <c r="K2763" s="16" t="str">
        <f>"PFES1162673846_0001"</f>
        <v>PFES1162673846_0001</v>
      </c>
      <c r="L2763" s="16">
        <v>1</v>
      </c>
      <c r="M2763" s="16">
        <v>2</v>
      </c>
    </row>
    <row r="2764" spans="1:13">
      <c r="A2764" s="6">
        <v>43515</v>
      </c>
      <c r="B2764" s="7">
        <v>0.52986111111111112</v>
      </c>
      <c r="C2764" s="16" t="str">
        <f>"FES1162673972"</f>
        <v>FES1162673972</v>
      </c>
      <c r="D2764" s="16" t="s">
        <v>18</v>
      </c>
      <c r="E2764" s="16" t="s">
        <v>733</v>
      </c>
      <c r="F2764" s="16" t="str">
        <f>"2170673604 "</f>
        <v xml:space="preserve">2170673604 </v>
      </c>
      <c r="G2764" s="16" t="str">
        <f t="shared" si="79"/>
        <v>ON1</v>
      </c>
      <c r="H2764" s="16" t="s">
        <v>20</v>
      </c>
      <c r="I2764" s="16" t="s">
        <v>143</v>
      </c>
      <c r="J2764" s="16" t="str">
        <f>""</f>
        <v/>
      </c>
      <c r="K2764" s="16" t="str">
        <f>"PFES1162673972_0001"</f>
        <v>PFES1162673972_0001</v>
      </c>
      <c r="L2764" s="16">
        <v>1</v>
      </c>
      <c r="M2764" s="16">
        <v>1</v>
      </c>
    </row>
    <row r="2765" spans="1:13">
      <c r="A2765" s="6">
        <v>43515</v>
      </c>
      <c r="B2765" s="7">
        <v>0.52916666666666667</v>
      </c>
      <c r="C2765" s="16" t="str">
        <f>"FES1162674005"</f>
        <v>FES1162674005</v>
      </c>
      <c r="D2765" s="16" t="s">
        <v>18</v>
      </c>
      <c r="E2765" s="16" t="s">
        <v>58</v>
      </c>
      <c r="F2765" s="16" t="str">
        <f>"2170675067 "</f>
        <v xml:space="preserve">2170675067 </v>
      </c>
      <c r="G2765" s="16" t="str">
        <f t="shared" si="79"/>
        <v>ON1</v>
      </c>
      <c r="H2765" s="16" t="s">
        <v>20</v>
      </c>
      <c r="I2765" s="16" t="s">
        <v>59</v>
      </c>
      <c r="J2765" s="16" t="str">
        <f>""</f>
        <v/>
      </c>
      <c r="K2765" s="16" t="str">
        <f>"PFES1162674005_0001"</f>
        <v>PFES1162674005_0001</v>
      </c>
      <c r="L2765" s="16">
        <v>1</v>
      </c>
      <c r="M2765" s="16">
        <v>1</v>
      </c>
    </row>
    <row r="2766" spans="1:13">
      <c r="A2766" s="6">
        <v>43515</v>
      </c>
      <c r="B2766" s="7">
        <v>0.52916666666666667</v>
      </c>
      <c r="C2766" s="16" t="str">
        <f>"FES1162673870"</f>
        <v>FES1162673870</v>
      </c>
      <c r="D2766" s="16" t="s">
        <v>18</v>
      </c>
      <c r="E2766" s="16" t="s">
        <v>544</v>
      </c>
      <c r="F2766" s="16" t="str">
        <f>"2170674125 "</f>
        <v xml:space="preserve">2170674125 </v>
      </c>
      <c r="G2766" s="16" t="str">
        <f t="shared" si="79"/>
        <v>ON1</v>
      </c>
      <c r="H2766" s="16" t="s">
        <v>20</v>
      </c>
      <c r="I2766" s="16" t="s">
        <v>35</v>
      </c>
      <c r="J2766" s="16" t="str">
        <f>""</f>
        <v/>
      </c>
      <c r="K2766" s="16" t="str">
        <f>"PFES1162673870_0001"</f>
        <v>PFES1162673870_0001</v>
      </c>
      <c r="L2766" s="16">
        <v>1</v>
      </c>
      <c r="M2766" s="16">
        <v>1</v>
      </c>
    </row>
    <row r="2767" spans="1:13">
      <c r="A2767" s="6">
        <v>43515</v>
      </c>
      <c r="B2767" s="7">
        <v>0.52916666666666667</v>
      </c>
      <c r="C2767" s="16" t="str">
        <f>"FES1162673876"</f>
        <v>FES1162673876</v>
      </c>
      <c r="D2767" s="16" t="s">
        <v>18</v>
      </c>
      <c r="E2767" s="16" t="s">
        <v>38</v>
      </c>
      <c r="F2767" s="16" t="str">
        <f>"2170674730 "</f>
        <v xml:space="preserve">2170674730 </v>
      </c>
      <c r="G2767" s="16" t="str">
        <f t="shared" si="79"/>
        <v>ON1</v>
      </c>
      <c r="H2767" s="16" t="s">
        <v>20</v>
      </c>
      <c r="I2767" s="16" t="s">
        <v>39</v>
      </c>
      <c r="J2767" s="16" t="str">
        <f>""</f>
        <v/>
      </c>
      <c r="K2767" s="16" t="str">
        <f>"PFES1162673876_0001"</f>
        <v>PFES1162673876_0001</v>
      </c>
      <c r="L2767" s="16">
        <v>1</v>
      </c>
      <c r="M2767" s="16">
        <v>2</v>
      </c>
    </row>
    <row r="2768" spans="1:13">
      <c r="A2768" s="6">
        <v>43515</v>
      </c>
      <c r="B2768" s="7">
        <v>0.52916666666666667</v>
      </c>
      <c r="C2768" s="16" t="str">
        <f>"FES1162673961"</f>
        <v>FES1162673961</v>
      </c>
      <c r="D2768" s="16" t="s">
        <v>18</v>
      </c>
      <c r="E2768" s="16" t="s">
        <v>450</v>
      </c>
      <c r="F2768" s="16" t="str">
        <f>"2170673231 "</f>
        <v xml:space="preserve">2170673231 </v>
      </c>
      <c r="G2768" s="16" t="str">
        <f t="shared" si="79"/>
        <v>ON1</v>
      </c>
      <c r="H2768" s="16" t="s">
        <v>20</v>
      </c>
      <c r="I2768" s="16" t="s">
        <v>75</v>
      </c>
      <c r="J2768" s="16" t="str">
        <f>""</f>
        <v/>
      </c>
      <c r="K2768" s="16" t="str">
        <f>"PFES1162673961_0001"</f>
        <v>PFES1162673961_0001</v>
      </c>
      <c r="L2768" s="16">
        <v>1</v>
      </c>
      <c r="M2768" s="16">
        <v>1</v>
      </c>
    </row>
    <row r="2769" spans="1:13">
      <c r="A2769" s="6">
        <v>43515</v>
      </c>
      <c r="B2769" s="7">
        <v>0.52847222222222223</v>
      </c>
      <c r="C2769" s="16" t="str">
        <f>"FES1162673862"</f>
        <v>FES1162673862</v>
      </c>
      <c r="D2769" s="16" t="s">
        <v>18</v>
      </c>
      <c r="E2769" s="16" t="s">
        <v>1052</v>
      </c>
      <c r="F2769" s="16" t="str">
        <f>"2170673192 "</f>
        <v xml:space="preserve">2170673192 </v>
      </c>
      <c r="G2769" s="16" t="str">
        <f t="shared" si="79"/>
        <v>ON1</v>
      </c>
      <c r="H2769" s="16" t="s">
        <v>20</v>
      </c>
      <c r="I2769" s="16" t="s">
        <v>1053</v>
      </c>
      <c r="J2769" s="16" t="str">
        <f>""</f>
        <v/>
      </c>
      <c r="K2769" s="16" t="str">
        <f>"PFES1162673862_0001"</f>
        <v>PFES1162673862_0001</v>
      </c>
      <c r="L2769" s="16">
        <v>1</v>
      </c>
      <c r="M2769" s="16">
        <v>1</v>
      </c>
    </row>
    <row r="2770" spans="1:13">
      <c r="A2770" s="6">
        <v>43515</v>
      </c>
      <c r="B2770" s="7">
        <v>0.52847222222222223</v>
      </c>
      <c r="C2770" s="16" t="str">
        <f>"FES1162673979"</f>
        <v>FES1162673979</v>
      </c>
      <c r="D2770" s="16" t="s">
        <v>18</v>
      </c>
      <c r="E2770" s="16" t="s">
        <v>534</v>
      </c>
      <c r="F2770" s="16" t="str">
        <f>"217065034 "</f>
        <v xml:space="preserve">217065034 </v>
      </c>
      <c r="G2770" s="16" t="str">
        <f t="shared" si="79"/>
        <v>ON1</v>
      </c>
      <c r="H2770" s="16" t="s">
        <v>20</v>
      </c>
      <c r="I2770" s="16" t="s">
        <v>535</v>
      </c>
      <c r="J2770" s="16" t="str">
        <f>""</f>
        <v/>
      </c>
      <c r="K2770" s="16" t="str">
        <f>"PFES1162673979_0001"</f>
        <v>PFES1162673979_0001</v>
      </c>
      <c r="L2770" s="16">
        <v>1</v>
      </c>
      <c r="M2770" s="16">
        <v>1</v>
      </c>
    </row>
    <row r="2771" spans="1:13">
      <c r="A2771" s="6">
        <v>43515</v>
      </c>
      <c r="B2771" s="7">
        <v>0.52847222222222223</v>
      </c>
      <c r="C2771" s="16" t="str">
        <f>"FES1162673904"</f>
        <v>FES1162673904</v>
      </c>
      <c r="D2771" s="16" t="s">
        <v>18</v>
      </c>
      <c r="E2771" s="16" t="s">
        <v>1032</v>
      </c>
      <c r="F2771" s="16" t="str">
        <f>"2170674971 "</f>
        <v xml:space="preserve">2170674971 </v>
      </c>
      <c r="G2771" s="16" t="str">
        <f t="shared" si="79"/>
        <v>ON1</v>
      </c>
      <c r="H2771" s="16" t="s">
        <v>20</v>
      </c>
      <c r="I2771" s="16" t="s">
        <v>327</v>
      </c>
      <c r="J2771" s="16" t="str">
        <f>""</f>
        <v/>
      </c>
      <c r="K2771" s="16" t="str">
        <f>"PFES1162673904_0001"</f>
        <v>PFES1162673904_0001</v>
      </c>
      <c r="L2771" s="16">
        <v>1</v>
      </c>
      <c r="M2771" s="16">
        <v>3</v>
      </c>
    </row>
    <row r="2772" spans="1:13">
      <c r="A2772" s="6">
        <v>43515</v>
      </c>
      <c r="B2772" s="7">
        <v>0.52847222222222223</v>
      </c>
      <c r="C2772" s="16" t="str">
        <f>"FES1162673844"</f>
        <v>FES1162673844</v>
      </c>
      <c r="D2772" s="16" t="s">
        <v>18</v>
      </c>
      <c r="E2772" s="16" t="s">
        <v>299</v>
      </c>
      <c r="F2772" s="16" t="str">
        <f>"2170674365 "</f>
        <v xml:space="preserve">2170674365 </v>
      </c>
      <c r="G2772" s="16" t="str">
        <f t="shared" si="79"/>
        <v>ON1</v>
      </c>
      <c r="H2772" s="16" t="s">
        <v>20</v>
      </c>
      <c r="I2772" s="16" t="s">
        <v>43</v>
      </c>
      <c r="J2772" s="16" t="str">
        <f>""</f>
        <v/>
      </c>
      <c r="K2772" s="16" t="str">
        <f>"PFES1162673844_0001"</f>
        <v>PFES1162673844_0001</v>
      </c>
      <c r="L2772" s="16">
        <v>1</v>
      </c>
      <c r="M2772" s="16">
        <v>1</v>
      </c>
    </row>
    <row r="2773" spans="1:13">
      <c r="A2773" s="6">
        <v>43515</v>
      </c>
      <c r="B2773" s="7">
        <v>0.52777777777777779</v>
      </c>
      <c r="C2773" s="16" t="str">
        <f>"FES1162673852"</f>
        <v>FES1162673852</v>
      </c>
      <c r="D2773" s="16" t="s">
        <v>18</v>
      </c>
      <c r="E2773" s="16" t="s">
        <v>299</v>
      </c>
      <c r="F2773" s="16" t="str">
        <f>"2170670605 "</f>
        <v xml:space="preserve">2170670605 </v>
      </c>
      <c r="G2773" s="16" t="str">
        <f t="shared" si="79"/>
        <v>ON1</v>
      </c>
      <c r="H2773" s="16" t="s">
        <v>20</v>
      </c>
      <c r="I2773" s="16" t="s">
        <v>43</v>
      </c>
      <c r="J2773" s="16" t="str">
        <f>""</f>
        <v/>
      </c>
      <c r="K2773" s="16" t="str">
        <f>"PFES1162673852_0001"</f>
        <v>PFES1162673852_0001</v>
      </c>
      <c r="L2773" s="16">
        <v>1</v>
      </c>
      <c r="M2773" s="16">
        <v>1</v>
      </c>
    </row>
    <row r="2774" spans="1:13">
      <c r="A2774" s="6">
        <v>43515</v>
      </c>
      <c r="B2774" s="7">
        <v>0.52777777777777779</v>
      </c>
      <c r="C2774" s="16" t="str">
        <f>"FES1162673916"</f>
        <v>FES1162673916</v>
      </c>
      <c r="D2774" s="16" t="s">
        <v>18</v>
      </c>
      <c r="E2774" s="16" t="s">
        <v>19</v>
      </c>
      <c r="F2774" s="16" t="str">
        <f>"2170675010 "</f>
        <v xml:space="preserve">2170675010 </v>
      </c>
      <c r="G2774" s="16" t="str">
        <f t="shared" si="79"/>
        <v>ON1</v>
      </c>
      <c r="H2774" s="16" t="s">
        <v>20</v>
      </c>
      <c r="I2774" s="16" t="s">
        <v>21</v>
      </c>
      <c r="J2774" s="16" t="str">
        <f>""</f>
        <v/>
      </c>
      <c r="K2774" s="16" t="str">
        <f>"PFES1162673916_0001"</f>
        <v>PFES1162673916_0001</v>
      </c>
      <c r="L2774" s="16">
        <v>1</v>
      </c>
      <c r="M2774" s="16">
        <v>1</v>
      </c>
    </row>
    <row r="2775" spans="1:13">
      <c r="A2775" s="6">
        <v>43515</v>
      </c>
      <c r="B2775" s="7">
        <v>0.52777777777777779</v>
      </c>
      <c r="C2775" s="16" t="str">
        <f>"FES1162673828"</f>
        <v>FES1162673828</v>
      </c>
      <c r="D2775" s="16" t="s">
        <v>18</v>
      </c>
      <c r="E2775" s="16" t="s">
        <v>913</v>
      </c>
      <c r="F2775" s="16" t="str">
        <f>"2170674780 "</f>
        <v xml:space="preserve">2170674780 </v>
      </c>
      <c r="G2775" s="16" t="str">
        <f t="shared" si="79"/>
        <v>ON1</v>
      </c>
      <c r="H2775" s="16" t="s">
        <v>20</v>
      </c>
      <c r="I2775" s="16" t="s">
        <v>635</v>
      </c>
      <c r="J2775" s="16" t="str">
        <f>""</f>
        <v/>
      </c>
      <c r="K2775" s="16" t="str">
        <f>"PFES1162673828_0001"</f>
        <v>PFES1162673828_0001</v>
      </c>
      <c r="L2775" s="16">
        <v>1</v>
      </c>
      <c r="M2775" s="16">
        <v>6</v>
      </c>
    </row>
    <row r="2776" spans="1:13">
      <c r="A2776" s="6">
        <v>43515</v>
      </c>
      <c r="B2776" s="7">
        <v>0.52708333333333335</v>
      </c>
      <c r="C2776" s="16" t="str">
        <f>"FES1162673966"</f>
        <v>FES1162673966</v>
      </c>
      <c r="D2776" s="16" t="s">
        <v>18</v>
      </c>
      <c r="E2776" s="16" t="s">
        <v>681</v>
      </c>
      <c r="F2776" s="16" t="str">
        <f>"2170673296 "</f>
        <v xml:space="preserve">2170673296 </v>
      </c>
      <c r="G2776" s="16" t="str">
        <f t="shared" si="79"/>
        <v>ON1</v>
      </c>
      <c r="H2776" s="16" t="s">
        <v>20</v>
      </c>
      <c r="I2776" s="16" t="s">
        <v>682</v>
      </c>
      <c r="J2776" s="16" t="str">
        <f>""</f>
        <v/>
      </c>
      <c r="K2776" s="16" t="str">
        <f>"PFES1162673966_0001"</f>
        <v>PFES1162673966_0001</v>
      </c>
      <c r="L2776" s="16">
        <v>1</v>
      </c>
      <c r="M2776" s="16">
        <v>1</v>
      </c>
    </row>
    <row r="2777" spans="1:13">
      <c r="A2777" s="6">
        <v>43515</v>
      </c>
      <c r="B2777" s="7">
        <v>0.52569444444444446</v>
      </c>
      <c r="C2777" s="16" t="str">
        <f>"FES1162673980"</f>
        <v>FES1162673980</v>
      </c>
      <c r="D2777" s="16" t="s">
        <v>18</v>
      </c>
      <c r="E2777" s="16" t="s">
        <v>1059</v>
      </c>
      <c r="F2777" s="16" t="str">
        <f>"2170675035 "</f>
        <v xml:space="preserve">2170675035 </v>
      </c>
      <c r="G2777" s="16" t="str">
        <f t="shared" si="79"/>
        <v>ON1</v>
      </c>
      <c r="H2777" s="16" t="s">
        <v>20</v>
      </c>
      <c r="I2777" s="16" t="s">
        <v>435</v>
      </c>
      <c r="J2777" s="16" t="str">
        <f>""</f>
        <v/>
      </c>
      <c r="K2777" s="16" t="str">
        <f>"PFES1162673980_0001"</f>
        <v>PFES1162673980_0001</v>
      </c>
      <c r="L2777" s="16">
        <v>1</v>
      </c>
      <c r="M2777" s="16">
        <v>1</v>
      </c>
    </row>
    <row r="2778" spans="1:13">
      <c r="A2778" s="6">
        <v>43515</v>
      </c>
      <c r="B2778" s="7">
        <v>0.61597222222222225</v>
      </c>
      <c r="C2778" s="16" t="str">
        <f>"FES1162674022"</f>
        <v>FES1162674022</v>
      </c>
      <c r="D2778" s="16" t="s">
        <v>18</v>
      </c>
      <c r="E2778" s="16" t="s">
        <v>1060</v>
      </c>
      <c r="F2778" s="16" t="str">
        <f>"2170675086 "</f>
        <v xml:space="preserve">2170675086 </v>
      </c>
      <c r="G2778" s="16" t="str">
        <f t="shared" si="79"/>
        <v>ON1</v>
      </c>
      <c r="H2778" s="16" t="s">
        <v>20</v>
      </c>
      <c r="I2778" s="16" t="s">
        <v>1061</v>
      </c>
      <c r="J2778" s="16" t="str">
        <f>""</f>
        <v/>
      </c>
      <c r="K2778" s="16" t="str">
        <f>"PFES1162674022_0001"</f>
        <v>PFES1162674022_0001</v>
      </c>
      <c r="L2778" s="16">
        <v>1</v>
      </c>
      <c r="M2778" s="16">
        <v>2</v>
      </c>
    </row>
    <row r="2779" spans="1:13">
      <c r="A2779" s="6">
        <v>43515</v>
      </c>
      <c r="B2779" s="7">
        <v>0.61597222222222225</v>
      </c>
      <c r="C2779" s="16" t="str">
        <f>"FES1162674038"</f>
        <v>FES1162674038</v>
      </c>
      <c r="D2779" s="16" t="s">
        <v>18</v>
      </c>
      <c r="E2779" s="16" t="s">
        <v>1062</v>
      </c>
      <c r="F2779" s="16" t="str">
        <f>"2170675114 "</f>
        <v xml:space="preserve">2170675114 </v>
      </c>
      <c r="G2779" s="16" t="str">
        <f t="shared" si="79"/>
        <v>ON1</v>
      </c>
      <c r="H2779" s="16" t="s">
        <v>20</v>
      </c>
      <c r="I2779" s="16" t="s">
        <v>111</v>
      </c>
      <c r="J2779" s="16" t="str">
        <f>""</f>
        <v/>
      </c>
      <c r="K2779" s="16" t="str">
        <f>"PFES1162674038_0001"</f>
        <v>PFES1162674038_0001</v>
      </c>
      <c r="L2779" s="16">
        <v>1</v>
      </c>
      <c r="M2779" s="16">
        <v>1</v>
      </c>
    </row>
    <row r="2780" spans="1:13">
      <c r="A2780" s="6">
        <v>43515</v>
      </c>
      <c r="B2780" s="7">
        <v>0.61527777777777781</v>
      </c>
      <c r="C2780" s="16" t="str">
        <f>"FES1162674041"</f>
        <v>FES1162674041</v>
      </c>
      <c r="D2780" s="16" t="s">
        <v>18</v>
      </c>
      <c r="E2780" s="16" t="s">
        <v>92</v>
      </c>
      <c r="F2780" s="16" t="str">
        <f>"2170675107 "</f>
        <v xml:space="preserve">2170675107 </v>
      </c>
      <c r="G2780" s="16" t="str">
        <f t="shared" si="79"/>
        <v>ON1</v>
      </c>
      <c r="H2780" s="16" t="s">
        <v>20</v>
      </c>
      <c r="I2780" s="16" t="s">
        <v>93</v>
      </c>
      <c r="J2780" s="16" t="str">
        <f>""</f>
        <v/>
      </c>
      <c r="K2780" s="16" t="str">
        <f>"PFES1162674041_0001"</f>
        <v>PFES1162674041_0001</v>
      </c>
      <c r="L2780" s="16">
        <v>1</v>
      </c>
      <c r="M2780" s="16">
        <v>1</v>
      </c>
    </row>
    <row r="2781" spans="1:13">
      <c r="A2781" s="6">
        <v>43515</v>
      </c>
      <c r="B2781" s="7">
        <v>0.52500000000000002</v>
      </c>
      <c r="C2781" s="16" t="str">
        <f>"FES1162673874"</f>
        <v>FES1162673874</v>
      </c>
      <c r="D2781" s="16" t="s">
        <v>18</v>
      </c>
      <c r="E2781" s="16" t="s">
        <v>1063</v>
      </c>
      <c r="F2781" s="16" t="str">
        <f>"2170674652 "</f>
        <v xml:space="preserve">2170674652 </v>
      </c>
      <c r="G2781" s="16" t="str">
        <f t="shared" si="79"/>
        <v>ON1</v>
      </c>
      <c r="H2781" s="16" t="s">
        <v>20</v>
      </c>
      <c r="I2781" s="16" t="s">
        <v>396</v>
      </c>
      <c r="J2781" s="16" t="str">
        <f>""</f>
        <v/>
      </c>
      <c r="K2781" s="16" t="str">
        <f>"PFES1162673874_0001"</f>
        <v>PFES1162673874_0001</v>
      </c>
      <c r="L2781" s="16">
        <v>1</v>
      </c>
      <c r="M2781" s="16">
        <v>3</v>
      </c>
    </row>
    <row r="2782" spans="1:13">
      <c r="A2782" s="6">
        <v>43515</v>
      </c>
      <c r="B2782" s="7">
        <v>0.52361111111111114</v>
      </c>
      <c r="C2782" s="16" t="str">
        <f>"FES1162673912"</f>
        <v>FES1162673912</v>
      </c>
      <c r="D2782" s="16" t="s">
        <v>18</v>
      </c>
      <c r="E2782" s="16" t="s">
        <v>1064</v>
      </c>
      <c r="F2782" s="16" t="str">
        <f>"2170675005 "</f>
        <v xml:space="preserve">2170675005 </v>
      </c>
      <c r="G2782" s="16" t="str">
        <f t="shared" si="79"/>
        <v>ON1</v>
      </c>
      <c r="H2782" s="16" t="s">
        <v>20</v>
      </c>
      <c r="I2782" s="16" t="s">
        <v>43</v>
      </c>
      <c r="J2782" s="16" t="str">
        <f>""</f>
        <v/>
      </c>
      <c r="K2782" s="16" t="str">
        <f>"PFES1162673912_0001"</f>
        <v>PFES1162673912_0001</v>
      </c>
      <c r="L2782" s="16">
        <v>1</v>
      </c>
      <c r="M2782" s="16">
        <v>6</v>
      </c>
    </row>
    <row r="2783" spans="1:13">
      <c r="A2783" s="6">
        <v>43515</v>
      </c>
      <c r="B2783" s="7">
        <v>0.52361111111111114</v>
      </c>
      <c r="C2783" s="16" t="str">
        <f>"FES1162673840"</f>
        <v>FES1162673840</v>
      </c>
      <c r="D2783" s="16" t="s">
        <v>18</v>
      </c>
      <c r="E2783" s="16" t="s">
        <v>186</v>
      </c>
      <c r="F2783" s="16" t="str">
        <f>"2170674958 "</f>
        <v xml:space="preserve">2170674958 </v>
      </c>
      <c r="G2783" s="16" t="str">
        <f t="shared" si="79"/>
        <v>ON1</v>
      </c>
      <c r="H2783" s="16" t="s">
        <v>20</v>
      </c>
      <c r="I2783" s="16" t="s">
        <v>48</v>
      </c>
      <c r="J2783" s="16" t="str">
        <f>""</f>
        <v/>
      </c>
      <c r="K2783" s="16" t="str">
        <f>"PFES1162673840_0001"</f>
        <v>PFES1162673840_0001</v>
      </c>
      <c r="L2783" s="16">
        <v>1</v>
      </c>
      <c r="M2783" s="16">
        <v>3</v>
      </c>
    </row>
    <row r="2784" spans="1:13">
      <c r="A2784" s="6">
        <v>43515</v>
      </c>
      <c r="B2784" s="7">
        <v>0.5229166666666667</v>
      </c>
      <c r="C2784" s="16" t="str">
        <f>"FES1162673927"</f>
        <v>FES1162673927</v>
      </c>
      <c r="D2784" s="16" t="s">
        <v>18</v>
      </c>
      <c r="E2784" s="16" t="s">
        <v>907</v>
      </c>
      <c r="F2784" s="16" t="str">
        <f>"2170666773 "</f>
        <v xml:space="preserve">2170666773 </v>
      </c>
      <c r="G2784" s="16" t="str">
        <f t="shared" si="79"/>
        <v>ON1</v>
      </c>
      <c r="H2784" s="16" t="s">
        <v>20</v>
      </c>
      <c r="I2784" s="16" t="s">
        <v>635</v>
      </c>
      <c r="J2784" s="16" t="str">
        <f>""</f>
        <v/>
      </c>
      <c r="K2784" s="16" t="str">
        <f>"PFES1162673927_0001"</f>
        <v>PFES1162673927_0001</v>
      </c>
      <c r="L2784" s="16">
        <v>1</v>
      </c>
      <c r="M2784" s="16">
        <v>1</v>
      </c>
    </row>
    <row r="2785" spans="1:13">
      <c r="A2785" s="6">
        <v>43515</v>
      </c>
      <c r="B2785" s="7">
        <v>0.52222222222222225</v>
      </c>
      <c r="C2785" s="16" t="str">
        <f>"FES1162673814"</f>
        <v>FES1162673814</v>
      </c>
      <c r="D2785" s="16" t="s">
        <v>18</v>
      </c>
      <c r="E2785" s="16" t="s">
        <v>998</v>
      </c>
      <c r="F2785" s="16" t="str">
        <f>"2170674907 "</f>
        <v xml:space="preserve">2170674907 </v>
      </c>
      <c r="G2785" s="16" t="str">
        <f t="shared" si="79"/>
        <v>ON1</v>
      </c>
      <c r="H2785" s="16" t="s">
        <v>20</v>
      </c>
      <c r="I2785" s="16" t="s">
        <v>341</v>
      </c>
      <c r="J2785" s="16" t="str">
        <f>""</f>
        <v/>
      </c>
      <c r="K2785" s="16" t="str">
        <f>"PFES1162673814_0001"</f>
        <v>PFES1162673814_0001</v>
      </c>
      <c r="L2785" s="16">
        <v>1</v>
      </c>
      <c r="M2785" s="16">
        <v>3</v>
      </c>
    </row>
    <row r="2786" spans="1:13">
      <c r="A2786" s="6">
        <v>43515</v>
      </c>
      <c r="B2786" s="7">
        <v>0.52222222222222225</v>
      </c>
      <c r="C2786" s="16" t="str">
        <f>"FES1162673918"</f>
        <v>FES1162673918</v>
      </c>
      <c r="D2786" s="16" t="s">
        <v>18</v>
      </c>
      <c r="E2786" s="16" t="s">
        <v>19</v>
      </c>
      <c r="F2786" s="16" t="str">
        <f>"2170675012 "</f>
        <v xml:space="preserve">2170675012 </v>
      </c>
      <c r="G2786" s="16" t="str">
        <f t="shared" si="79"/>
        <v>ON1</v>
      </c>
      <c r="H2786" s="16" t="s">
        <v>20</v>
      </c>
      <c r="I2786" s="16" t="s">
        <v>21</v>
      </c>
      <c r="J2786" s="16" t="str">
        <f>""</f>
        <v/>
      </c>
      <c r="K2786" s="16" t="str">
        <f>"PFES1162673918_0001"</f>
        <v>PFES1162673918_0001</v>
      </c>
      <c r="L2786" s="16">
        <v>1</v>
      </c>
      <c r="M2786" s="16">
        <v>1</v>
      </c>
    </row>
    <row r="2787" spans="1:13">
      <c r="A2787" s="6">
        <v>43515</v>
      </c>
      <c r="B2787" s="7">
        <v>0.52222222222222225</v>
      </c>
      <c r="C2787" s="16" t="str">
        <f>"FES1162673914"</f>
        <v>FES1162673914</v>
      </c>
      <c r="D2787" s="16" t="s">
        <v>18</v>
      </c>
      <c r="E2787" s="16" t="s">
        <v>19</v>
      </c>
      <c r="F2787" s="16" t="str">
        <f>"2170675008 "</f>
        <v xml:space="preserve">2170675008 </v>
      </c>
      <c r="G2787" s="16" t="str">
        <f t="shared" si="79"/>
        <v>ON1</v>
      </c>
      <c r="H2787" s="16" t="s">
        <v>20</v>
      </c>
      <c r="I2787" s="16" t="s">
        <v>21</v>
      </c>
      <c r="J2787" s="16" t="str">
        <f>""</f>
        <v/>
      </c>
      <c r="K2787" s="16" t="str">
        <f>"PFES1162673914_0001"</f>
        <v>PFES1162673914_0001</v>
      </c>
      <c r="L2787" s="16">
        <v>1</v>
      </c>
      <c r="M2787" s="16">
        <v>1</v>
      </c>
    </row>
    <row r="2788" spans="1:13">
      <c r="A2788" s="6">
        <v>43515</v>
      </c>
      <c r="B2788" s="7">
        <v>0.52222222222222225</v>
      </c>
      <c r="C2788" s="16" t="str">
        <f>"FES1162673969"</f>
        <v>FES1162673969</v>
      </c>
      <c r="D2788" s="16" t="s">
        <v>18</v>
      </c>
      <c r="E2788" s="16" t="s">
        <v>698</v>
      </c>
      <c r="F2788" s="16" t="str">
        <f>"2170673316 "</f>
        <v xml:space="preserve">2170673316 </v>
      </c>
      <c r="G2788" s="16" t="str">
        <f t="shared" si="79"/>
        <v>ON1</v>
      </c>
      <c r="H2788" s="16" t="s">
        <v>20</v>
      </c>
      <c r="I2788" s="16" t="s">
        <v>226</v>
      </c>
      <c r="J2788" s="16" t="str">
        <f>""</f>
        <v/>
      </c>
      <c r="K2788" s="16" t="str">
        <f>"PFES1162673969_0001"</f>
        <v>PFES1162673969_0001</v>
      </c>
      <c r="L2788" s="16">
        <v>1</v>
      </c>
      <c r="M2788" s="16">
        <v>1</v>
      </c>
    </row>
    <row r="2789" spans="1:13">
      <c r="A2789" s="6">
        <v>43515</v>
      </c>
      <c r="B2789" s="7">
        <v>0.52152777777777781</v>
      </c>
      <c r="C2789" s="16" t="str">
        <f>"FES1162673842"</f>
        <v>FES1162673842</v>
      </c>
      <c r="D2789" s="16" t="s">
        <v>18</v>
      </c>
      <c r="E2789" s="16" t="s">
        <v>385</v>
      </c>
      <c r="F2789" s="16" t="str">
        <f>"2170674534 "</f>
        <v xml:space="preserve">2170674534 </v>
      </c>
      <c r="G2789" s="16" t="str">
        <f t="shared" si="79"/>
        <v>ON1</v>
      </c>
      <c r="H2789" s="16" t="s">
        <v>20</v>
      </c>
      <c r="I2789" s="16" t="s">
        <v>158</v>
      </c>
      <c r="J2789" s="16" t="str">
        <f>""</f>
        <v/>
      </c>
      <c r="K2789" s="16" t="str">
        <f>"PFES1162673842_0001"</f>
        <v>PFES1162673842_0001</v>
      </c>
      <c r="L2789" s="16">
        <v>1</v>
      </c>
      <c r="M2789" s="16">
        <v>4</v>
      </c>
    </row>
    <row r="2790" spans="1:13">
      <c r="A2790" s="6">
        <v>43515</v>
      </c>
      <c r="B2790" s="7">
        <v>0.52152777777777781</v>
      </c>
      <c r="C2790" s="16" t="str">
        <f>"FES1162673855"</f>
        <v>FES1162673855</v>
      </c>
      <c r="D2790" s="16" t="s">
        <v>18</v>
      </c>
      <c r="E2790" s="16" t="s">
        <v>623</v>
      </c>
      <c r="F2790" s="16" t="str">
        <f>"2170671288 "</f>
        <v xml:space="preserve">2170671288 </v>
      </c>
      <c r="G2790" s="16" t="str">
        <f t="shared" ref="G2790:G2836" si="80">"ON1"</f>
        <v>ON1</v>
      </c>
      <c r="H2790" s="16" t="s">
        <v>20</v>
      </c>
      <c r="I2790" s="16" t="s">
        <v>429</v>
      </c>
      <c r="J2790" s="16" t="str">
        <f>""</f>
        <v/>
      </c>
      <c r="K2790" s="16" t="str">
        <f>"PFES1162673855_0001"</f>
        <v>PFES1162673855_0001</v>
      </c>
      <c r="L2790" s="16">
        <v>1</v>
      </c>
      <c r="M2790" s="16">
        <v>1</v>
      </c>
    </row>
    <row r="2791" spans="1:13">
      <c r="A2791" s="6">
        <v>43515</v>
      </c>
      <c r="B2791" s="7">
        <v>0.52152777777777781</v>
      </c>
      <c r="C2791" s="16" t="str">
        <f>"FES1162673932"</f>
        <v>FES1162673932</v>
      </c>
      <c r="D2791" s="16" t="s">
        <v>18</v>
      </c>
      <c r="E2791" s="16" t="s">
        <v>398</v>
      </c>
      <c r="F2791" s="16" t="str">
        <f>"2170671887 "</f>
        <v xml:space="preserve">2170671887 </v>
      </c>
      <c r="G2791" s="16" t="str">
        <f t="shared" si="80"/>
        <v>ON1</v>
      </c>
      <c r="H2791" s="16" t="s">
        <v>20</v>
      </c>
      <c r="I2791" s="16" t="s">
        <v>226</v>
      </c>
      <c r="J2791" s="16" t="str">
        <f>""</f>
        <v/>
      </c>
      <c r="K2791" s="16" t="str">
        <f>"PFES1162673932_0001"</f>
        <v>PFES1162673932_0001</v>
      </c>
      <c r="L2791" s="16">
        <v>1</v>
      </c>
      <c r="M2791" s="16">
        <v>1</v>
      </c>
    </row>
    <row r="2792" spans="1:13">
      <c r="A2792" s="6">
        <v>43515</v>
      </c>
      <c r="B2792" s="7">
        <v>0.52083333333333337</v>
      </c>
      <c r="C2792" s="16" t="str">
        <f>"FES1162674009"</f>
        <v>FES1162674009</v>
      </c>
      <c r="D2792" s="16" t="s">
        <v>18</v>
      </c>
      <c r="E2792" s="16" t="s">
        <v>967</v>
      </c>
      <c r="F2792" s="16" t="str">
        <f>"2170675074 "</f>
        <v xml:space="preserve">2170675074 </v>
      </c>
      <c r="G2792" s="16" t="str">
        <f t="shared" si="80"/>
        <v>ON1</v>
      </c>
      <c r="H2792" s="16" t="s">
        <v>20</v>
      </c>
      <c r="I2792" s="16" t="s">
        <v>117</v>
      </c>
      <c r="J2792" s="16" t="str">
        <f>""</f>
        <v/>
      </c>
      <c r="K2792" s="16" t="str">
        <f>"PFES1162674009_0001"</f>
        <v>PFES1162674009_0001</v>
      </c>
      <c r="L2792" s="16">
        <v>1</v>
      </c>
      <c r="M2792" s="16">
        <v>1</v>
      </c>
    </row>
    <row r="2793" spans="1:13">
      <c r="A2793" s="6">
        <v>43515</v>
      </c>
      <c r="B2793" s="7">
        <v>0.52083333333333337</v>
      </c>
      <c r="C2793" s="16" t="str">
        <f>"FES1162673872"</f>
        <v>FES1162673872</v>
      </c>
      <c r="D2793" s="16" t="s">
        <v>18</v>
      </c>
      <c r="E2793" s="16" t="s">
        <v>623</v>
      </c>
      <c r="F2793" s="16" t="str">
        <f>"2170674208 "</f>
        <v xml:space="preserve">2170674208 </v>
      </c>
      <c r="G2793" s="16" t="str">
        <f t="shared" si="80"/>
        <v>ON1</v>
      </c>
      <c r="H2793" s="16" t="s">
        <v>20</v>
      </c>
      <c r="I2793" s="16" t="s">
        <v>429</v>
      </c>
      <c r="J2793" s="16" t="str">
        <f>""</f>
        <v/>
      </c>
      <c r="K2793" s="16" t="str">
        <f>"PFES1162673872_0001"</f>
        <v>PFES1162673872_0001</v>
      </c>
      <c r="L2793" s="16">
        <v>1</v>
      </c>
      <c r="M2793" s="16">
        <v>13</v>
      </c>
    </row>
    <row r="2794" spans="1:13">
      <c r="A2794" s="6">
        <v>43515</v>
      </c>
      <c r="B2794" s="7">
        <v>0.52083333333333337</v>
      </c>
      <c r="C2794" s="16" t="str">
        <f>"FES1162673871"</f>
        <v>FES1162673871</v>
      </c>
      <c r="D2794" s="16" t="s">
        <v>18</v>
      </c>
      <c r="E2794" s="16" t="s">
        <v>22</v>
      </c>
      <c r="F2794" s="16" t="str">
        <f>"2170674155 "</f>
        <v xml:space="preserve">2170674155 </v>
      </c>
      <c r="G2794" s="16" t="str">
        <f t="shared" si="80"/>
        <v>ON1</v>
      </c>
      <c r="H2794" s="16" t="s">
        <v>20</v>
      </c>
      <c r="I2794" s="16" t="s">
        <v>23</v>
      </c>
      <c r="J2794" s="16" t="str">
        <f>""</f>
        <v/>
      </c>
      <c r="K2794" s="16" t="str">
        <f>"PFES1162673871_0001"</f>
        <v>PFES1162673871_0001</v>
      </c>
      <c r="L2794" s="16">
        <v>1</v>
      </c>
      <c r="M2794" s="16">
        <v>1</v>
      </c>
    </row>
    <row r="2795" spans="1:13">
      <c r="A2795" s="6">
        <v>43515</v>
      </c>
      <c r="B2795" s="7">
        <v>0.52013888888888882</v>
      </c>
      <c r="C2795" s="16" t="str">
        <f>"FES1162673892"</f>
        <v>FES1162673892</v>
      </c>
      <c r="D2795" s="16" t="s">
        <v>18</v>
      </c>
      <c r="E2795" s="16" t="s">
        <v>625</v>
      </c>
      <c r="F2795" s="16" t="str">
        <f>"2170674941 "</f>
        <v xml:space="preserve">2170674941 </v>
      </c>
      <c r="G2795" s="16" t="str">
        <f t="shared" si="80"/>
        <v>ON1</v>
      </c>
      <c r="H2795" s="16" t="s">
        <v>20</v>
      </c>
      <c r="I2795" s="16" t="s">
        <v>29</v>
      </c>
      <c r="J2795" s="16" t="str">
        <f>""</f>
        <v/>
      </c>
      <c r="K2795" s="16" t="str">
        <f>"PFES1162673892_0001"</f>
        <v>PFES1162673892_0001</v>
      </c>
      <c r="L2795" s="16">
        <v>1</v>
      </c>
      <c r="M2795" s="16">
        <v>1</v>
      </c>
    </row>
    <row r="2796" spans="1:13">
      <c r="A2796" s="6">
        <v>43515</v>
      </c>
      <c r="B2796" s="7">
        <v>0.52013888888888882</v>
      </c>
      <c r="C2796" s="16" t="str">
        <f>"FES1162673968"</f>
        <v>FES1162673968</v>
      </c>
      <c r="D2796" s="16" t="s">
        <v>18</v>
      </c>
      <c r="E2796" s="16" t="s">
        <v>178</v>
      </c>
      <c r="F2796" s="16" t="str">
        <f>"2170673311 "</f>
        <v xml:space="preserve">2170673311 </v>
      </c>
      <c r="G2796" s="16" t="str">
        <f t="shared" si="80"/>
        <v>ON1</v>
      </c>
      <c r="H2796" s="16" t="s">
        <v>20</v>
      </c>
      <c r="I2796" s="16" t="s">
        <v>29</v>
      </c>
      <c r="J2796" s="16" t="str">
        <f>""</f>
        <v/>
      </c>
      <c r="K2796" s="16" t="str">
        <f>"PFES1162673968_0001"</f>
        <v>PFES1162673968_0001</v>
      </c>
      <c r="L2796" s="16">
        <v>1</v>
      </c>
      <c r="M2796" s="16">
        <v>1</v>
      </c>
    </row>
    <row r="2797" spans="1:13">
      <c r="A2797" s="6">
        <v>43515</v>
      </c>
      <c r="B2797" s="7">
        <v>0.51944444444444449</v>
      </c>
      <c r="C2797" s="16" t="str">
        <f>"FES1162673942"</f>
        <v>FES1162673942</v>
      </c>
      <c r="D2797" s="16" t="s">
        <v>18</v>
      </c>
      <c r="E2797" s="16" t="s">
        <v>1065</v>
      </c>
      <c r="F2797" s="16" t="str">
        <f>"2170672814 "</f>
        <v xml:space="preserve">2170672814 </v>
      </c>
      <c r="G2797" s="16" t="str">
        <f t="shared" si="80"/>
        <v>ON1</v>
      </c>
      <c r="H2797" s="16" t="s">
        <v>20</v>
      </c>
      <c r="I2797" s="16" t="s">
        <v>369</v>
      </c>
      <c r="J2797" s="16" t="str">
        <f>""</f>
        <v/>
      </c>
      <c r="K2797" s="16" t="str">
        <f>"PFES1162673942_0001"</f>
        <v>PFES1162673942_0001</v>
      </c>
      <c r="L2797" s="16">
        <v>1</v>
      </c>
      <c r="M2797" s="16">
        <v>1</v>
      </c>
    </row>
    <row r="2798" spans="1:13">
      <c r="A2798" s="6">
        <v>43515</v>
      </c>
      <c r="B2798" s="7">
        <v>0.51944444444444449</v>
      </c>
      <c r="C2798" s="16" t="str">
        <f>"FES1162673994"</f>
        <v>FES1162673994</v>
      </c>
      <c r="D2798" s="16" t="s">
        <v>18</v>
      </c>
      <c r="E2798" s="16" t="s">
        <v>58</v>
      </c>
      <c r="F2798" s="16" t="str">
        <f>"2170675049 "</f>
        <v xml:space="preserve">2170675049 </v>
      </c>
      <c r="G2798" s="16" t="str">
        <f t="shared" si="80"/>
        <v>ON1</v>
      </c>
      <c r="H2798" s="16" t="s">
        <v>20</v>
      </c>
      <c r="I2798" s="16" t="s">
        <v>59</v>
      </c>
      <c r="J2798" s="16" t="str">
        <f>""</f>
        <v/>
      </c>
      <c r="K2798" s="16" t="str">
        <f>"PFES1162673994_0001"</f>
        <v>PFES1162673994_0001</v>
      </c>
      <c r="L2798" s="16">
        <v>1</v>
      </c>
      <c r="M2798" s="16">
        <v>4</v>
      </c>
    </row>
    <row r="2799" spans="1:13">
      <c r="A2799" s="6">
        <v>43515</v>
      </c>
      <c r="B2799" s="7">
        <v>0.51944444444444449</v>
      </c>
      <c r="C2799" s="16" t="str">
        <f>"FES1162673856"</f>
        <v>FES1162673856</v>
      </c>
      <c r="D2799" s="16" t="s">
        <v>18</v>
      </c>
      <c r="E2799" s="16" t="s">
        <v>398</v>
      </c>
      <c r="F2799" s="16" t="str">
        <f>"2170671887 "</f>
        <v xml:space="preserve">2170671887 </v>
      </c>
      <c r="G2799" s="16" t="str">
        <f t="shared" si="80"/>
        <v>ON1</v>
      </c>
      <c r="H2799" s="16" t="s">
        <v>20</v>
      </c>
      <c r="I2799" s="16" t="s">
        <v>226</v>
      </c>
      <c r="J2799" s="16" t="str">
        <f>""</f>
        <v/>
      </c>
      <c r="K2799" s="16" t="str">
        <f>"PFES1162673856_0001"</f>
        <v>PFES1162673856_0001</v>
      </c>
      <c r="L2799" s="16">
        <v>1</v>
      </c>
      <c r="M2799" s="16">
        <v>1</v>
      </c>
    </row>
    <row r="2800" spans="1:13">
      <c r="A2800" s="6">
        <v>43515</v>
      </c>
      <c r="B2800" s="7">
        <v>0.51944444444444449</v>
      </c>
      <c r="C2800" s="16" t="str">
        <f>"FES1162674023"</f>
        <v>FES1162674023</v>
      </c>
      <c r="D2800" s="16" t="s">
        <v>18</v>
      </c>
      <c r="E2800" s="16" t="s">
        <v>44</v>
      </c>
      <c r="F2800" s="16" t="str">
        <f>"2170675087 "</f>
        <v xml:space="preserve">2170675087 </v>
      </c>
      <c r="G2800" s="16" t="str">
        <f t="shared" si="80"/>
        <v>ON1</v>
      </c>
      <c r="H2800" s="16" t="s">
        <v>20</v>
      </c>
      <c r="I2800" s="16" t="s">
        <v>39</v>
      </c>
      <c r="J2800" s="16" t="str">
        <f>""</f>
        <v/>
      </c>
      <c r="K2800" s="16" t="str">
        <f>"PFES1162674023_0001"</f>
        <v>PFES1162674023_0001</v>
      </c>
      <c r="L2800" s="16">
        <v>1</v>
      </c>
      <c r="M2800" s="16">
        <v>1</v>
      </c>
    </row>
    <row r="2801" spans="1:13">
      <c r="A2801" s="6">
        <v>43515</v>
      </c>
      <c r="B2801" s="7">
        <v>0.51874999999999993</v>
      </c>
      <c r="C2801" s="16" t="str">
        <f>"FES1162673857"</f>
        <v>FES1162673857</v>
      </c>
      <c r="D2801" s="16" t="s">
        <v>18</v>
      </c>
      <c r="E2801" s="16" t="s">
        <v>623</v>
      </c>
      <c r="F2801" s="16" t="str">
        <f>"2170671946 "</f>
        <v xml:space="preserve">2170671946 </v>
      </c>
      <c r="G2801" s="16" t="str">
        <f t="shared" si="80"/>
        <v>ON1</v>
      </c>
      <c r="H2801" s="16" t="s">
        <v>20</v>
      </c>
      <c r="I2801" s="16" t="s">
        <v>429</v>
      </c>
      <c r="J2801" s="16" t="str">
        <f>""</f>
        <v/>
      </c>
      <c r="K2801" s="16" t="str">
        <f>"PFES1162673857_0001"</f>
        <v>PFES1162673857_0001</v>
      </c>
      <c r="L2801" s="16">
        <v>1</v>
      </c>
      <c r="M2801" s="16">
        <v>1</v>
      </c>
    </row>
    <row r="2802" spans="1:13">
      <c r="A2802" s="6">
        <v>43515</v>
      </c>
      <c r="B2802" s="7">
        <v>0.51874999999999993</v>
      </c>
      <c r="C2802" s="16" t="str">
        <f>"FES1162673948"</f>
        <v>FES1162673948</v>
      </c>
      <c r="D2802" s="16" t="s">
        <v>18</v>
      </c>
      <c r="E2802" s="16" t="s">
        <v>612</v>
      </c>
      <c r="F2802" s="16" t="str">
        <f>"2170673079 "</f>
        <v xml:space="preserve">2170673079 </v>
      </c>
      <c r="G2802" s="16" t="str">
        <f t="shared" si="80"/>
        <v>ON1</v>
      </c>
      <c r="H2802" s="16" t="s">
        <v>20</v>
      </c>
      <c r="I2802" s="16" t="s">
        <v>137</v>
      </c>
      <c r="J2802" s="16" t="str">
        <f>""</f>
        <v/>
      </c>
      <c r="K2802" s="16" t="str">
        <f>"PFES1162673948_0001"</f>
        <v>PFES1162673948_0001</v>
      </c>
      <c r="L2802" s="16">
        <v>1</v>
      </c>
      <c r="M2802" s="16">
        <v>3</v>
      </c>
    </row>
    <row r="2803" spans="1:13">
      <c r="A2803" s="6">
        <v>43515</v>
      </c>
      <c r="B2803" s="7">
        <v>0.51874999999999993</v>
      </c>
      <c r="C2803" s="16" t="str">
        <f>"FES1162673847"</f>
        <v>FES1162673847</v>
      </c>
      <c r="D2803" s="16" t="s">
        <v>18</v>
      </c>
      <c r="E2803" s="16" t="s">
        <v>305</v>
      </c>
      <c r="F2803" s="16" t="str">
        <f>"217067664594 "</f>
        <v xml:space="preserve">217067664594 </v>
      </c>
      <c r="G2803" s="16" t="str">
        <f t="shared" si="80"/>
        <v>ON1</v>
      </c>
      <c r="H2803" s="16" t="s">
        <v>20</v>
      </c>
      <c r="I2803" s="16" t="s">
        <v>197</v>
      </c>
      <c r="J2803" s="16" t="str">
        <f>""</f>
        <v/>
      </c>
      <c r="K2803" s="16" t="str">
        <f>"PFES1162673847_0001"</f>
        <v>PFES1162673847_0001</v>
      </c>
      <c r="L2803" s="16">
        <v>1</v>
      </c>
      <c r="M2803" s="16">
        <v>1</v>
      </c>
    </row>
    <row r="2804" spans="1:13">
      <c r="A2804" s="6">
        <v>43515</v>
      </c>
      <c r="B2804" s="7">
        <v>0.5180555555555556</v>
      </c>
      <c r="C2804" s="16" t="str">
        <f>"FES1162673945"</f>
        <v>FES1162673945</v>
      </c>
      <c r="D2804" s="16" t="s">
        <v>18</v>
      </c>
      <c r="E2804" s="16" t="s">
        <v>652</v>
      </c>
      <c r="F2804" s="16" t="str">
        <f>"2170673019 "</f>
        <v xml:space="preserve">2170673019 </v>
      </c>
      <c r="G2804" s="16" t="str">
        <f t="shared" si="80"/>
        <v>ON1</v>
      </c>
      <c r="H2804" s="16" t="s">
        <v>20</v>
      </c>
      <c r="I2804" s="16" t="s">
        <v>653</v>
      </c>
      <c r="J2804" s="16" t="str">
        <f>""</f>
        <v/>
      </c>
      <c r="K2804" s="16" t="str">
        <f>"PFES1162673945_0001"</f>
        <v>PFES1162673945_0001</v>
      </c>
      <c r="L2804" s="16">
        <v>1</v>
      </c>
      <c r="M2804" s="16">
        <v>1</v>
      </c>
    </row>
    <row r="2805" spans="1:13">
      <c r="A2805" s="6">
        <v>43515</v>
      </c>
      <c r="B2805" s="7">
        <v>0.5180555555555556</v>
      </c>
      <c r="C2805" s="16" t="str">
        <f>"FES1162673955"</f>
        <v>FES1162673955</v>
      </c>
      <c r="D2805" s="16" t="s">
        <v>18</v>
      </c>
      <c r="E2805" s="16" t="s">
        <v>939</v>
      </c>
      <c r="F2805" s="16" t="str">
        <f>"2170673167 "</f>
        <v xml:space="preserve">2170673167 </v>
      </c>
      <c r="G2805" s="16" t="str">
        <f t="shared" si="80"/>
        <v>ON1</v>
      </c>
      <c r="H2805" s="16" t="s">
        <v>20</v>
      </c>
      <c r="I2805" s="16" t="s">
        <v>940</v>
      </c>
      <c r="J2805" s="16" t="str">
        <f>""</f>
        <v/>
      </c>
      <c r="K2805" s="16" t="str">
        <f>"PFES1162673955_0001"</f>
        <v>PFES1162673955_0001</v>
      </c>
      <c r="L2805" s="16">
        <v>1</v>
      </c>
      <c r="M2805" s="16">
        <v>1</v>
      </c>
    </row>
    <row r="2806" spans="1:13">
      <c r="A2806" s="6">
        <v>43515</v>
      </c>
      <c r="B2806" s="7">
        <v>0.5180555555555556</v>
      </c>
      <c r="C2806" s="16" t="str">
        <f>"FES1162673911"</f>
        <v>FES1162673911</v>
      </c>
      <c r="D2806" s="16" t="s">
        <v>18</v>
      </c>
      <c r="E2806" s="16" t="s">
        <v>562</v>
      </c>
      <c r="F2806" s="16" t="str">
        <f>"2170675003 "</f>
        <v xml:space="preserve">2170675003 </v>
      </c>
      <c r="G2806" s="16" t="str">
        <f t="shared" si="80"/>
        <v>ON1</v>
      </c>
      <c r="H2806" s="16" t="s">
        <v>20</v>
      </c>
      <c r="I2806" s="16" t="s">
        <v>563</v>
      </c>
      <c r="J2806" s="16" t="str">
        <f>""</f>
        <v/>
      </c>
      <c r="K2806" s="16" t="str">
        <f>"PFES1162673911_0001"</f>
        <v>PFES1162673911_0001</v>
      </c>
      <c r="L2806" s="16">
        <v>1</v>
      </c>
      <c r="M2806" s="16">
        <v>3</v>
      </c>
    </row>
    <row r="2807" spans="1:13">
      <c r="A2807" s="6">
        <v>43515</v>
      </c>
      <c r="B2807" s="7">
        <v>0.5180555555555556</v>
      </c>
      <c r="C2807" s="16" t="str">
        <f>"FES1162673879"</f>
        <v>FES1162673879</v>
      </c>
      <c r="D2807" s="16" t="s">
        <v>18</v>
      </c>
      <c r="E2807" s="16" t="s">
        <v>323</v>
      </c>
      <c r="F2807" s="16" t="str">
        <f>"2170674872 "</f>
        <v xml:space="preserve">2170674872 </v>
      </c>
      <c r="G2807" s="16" t="str">
        <f t="shared" si="80"/>
        <v>ON1</v>
      </c>
      <c r="H2807" s="16" t="s">
        <v>20</v>
      </c>
      <c r="I2807" s="16" t="s">
        <v>324</v>
      </c>
      <c r="J2807" s="16" t="str">
        <f>""</f>
        <v/>
      </c>
      <c r="K2807" s="16" t="str">
        <f>"PFES1162673879_0001"</f>
        <v>PFES1162673879_0001</v>
      </c>
      <c r="L2807" s="16">
        <v>1</v>
      </c>
      <c r="M2807" s="16">
        <v>1</v>
      </c>
    </row>
    <row r="2808" spans="1:13">
      <c r="A2808" s="6">
        <v>43515</v>
      </c>
      <c r="B2808" s="7">
        <v>0.51736111111111105</v>
      </c>
      <c r="C2808" s="16" t="str">
        <f>"FES1162673924"</f>
        <v>FES1162673924</v>
      </c>
      <c r="D2808" s="16" t="s">
        <v>18</v>
      </c>
      <c r="E2808" s="16" t="s">
        <v>452</v>
      </c>
      <c r="F2808" s="16" t="str">
        <f>"2170668664 "</f>
        <v xml:space="preserve">2170668664 </v>
      </c>
      <c r="G2808" s="16" t="str">
        <f t="shared" si="80"/>
        <v>ON1</v>
      </c>
      <c r="H2808" s="16" t="s">
        <v>20</v>
      </c>
      <c r="I2808" s="16" t="s">
        <v>453</v>
      </c>
      <c r="J2808" s="16" t="str">
        <f>""</f>
        <v/>
      </c>
      <c r="K2808" s="16" t="str">
        <f>"PFES1162673924_0001"</f>
        <v>PFES1162673924_0001</v>
      </c>
      <c r="L2808" s="16">
        <v>1</v>
      </c>
      <c r="M2808" s="16">
        <v>1</v>
      </c>
    </row>
    <row r="2809" spans="1:13">
      <c r="A2809" s="6">
        <v>43515</v>
      </c>
      <c r="B2809" s="7">
        <v>0.51736111111111105</v>
      </c>
      <c r="C2809" s="16" t="str">
        <f>"FES1162673997"</f>
        <v>FES1162673997</v>
      </c>
      <c r="D2809" s="16" t="s">
        <v>18</v>
      </c>
      <c r="E2809" s="16" t="s">
        <v>393</v>
      </c>
      <c r="F2809" s="16" t="str">
        <f>"2170675058 "</f>
        <v xml:space="preserve">2170675058 </v>
      </c>
      <c r="G2809" s="16" t="str">
        <f t="shared" si="80"/>
        <v>ON1</v>
      </c>
      <c r="H2809" s="16" t="s">
        <v>20</v>
      </c>
      <c r="I2809" s="16" t="s">
        <v>242</v>
      </c>
      <c r="J2809" s="16" t="str">
        <f>""</f>
        <v/>
      </c>
      <c r="K2809" s="16" t="str">
        <f>"PFES1162673997_0001"</f>
        <v>PFES1162673997_0001</v>
      </c>
      <c r="L2809" s="16">
        <v>1</v>
      </c>
      <c r="M2809" s="16">
        <v>1</v>
      </c>
    </row>
    <row r="2810" spans="1:13">
      <c r="A2810" s="6">
        <v>43515</v>
      </c>
      <c r="B2810" s="7">
        <v>0.51666666666666672</v>
      </c>
      <c r="C2810" s="16" t="str">
        <f>"FES1162673974"</f>
        <v>FES1162673974</v>
      </c>
      <c r="D2810" s="16" t="s">
        <v>18</v>
      </c>
      <c r="E2810" s="16" t="s">
        <v>393</v>
      </c>
      <c r="F2810" s="16" t="str">
        <f>"2170673971 "</f>
        <v xml:space="preserve">2170673971 </v>
      </c>
      <c r="G2810" s="16" t="str">
        <f t="shared" si="80"/>
        <v>ON1</v>
      </c>
      <c r="H2810" s="16" t="s">
        <v>20</v>
      </c>
      <c r="I2810" s="16" t="s">
        <v>242</v>
      </c>
      <c r="J2810" s="16" t="str">
        <f>""</f>
        <v/>
      </c>
      <c r="K2810" s="16" t="str">
        <f>"PFES1162673974_0001"</f>
        <v>PFES1162673974_0001</v>
      </c>
      <c r="L2810" s="16">
        <v>1</v>
      </c>
      <c r="M2810" s="16">
        <v>1</v>
      </c>
    </row>
    <row r="2811" spans="1:13">
      <c r="A2811" s="6">
        <v>43515</v>
      </c>
      <c r="B2811" s="7">
        <v>0.51666666666666672</v>
      </c>
      <c r="C2811" s="16" t="str">
        <f>"FES1162673894"</f>
        <v>FES1162673894</v>
      </c>
      <c r="D2811" s="16" t="s">
        <v>18</v>
      </c>
      <c r="E2811" s="16" t="s">
        <v>1032</v>
      </c>
      <c r="F2811" s="16" t="str">
        <f>"2170674973 "</f>
        <v xml:space="preserve">2170674973 </v>
      </c>
      <c r="G2811" s="16" t="str">
        <f t="shared" si="80"/>
        <v>ON1</v>
      </c>
      <c r="H2811" s="16" t="s">
        <v>20</v>
      </c>
      <c r="I2811" s="16" t="s">
        <v>327</v>
      </c>
      <c r="J2811" s="16" t="str">
        <f>""</f>
        <v/>
      </c>
      <c r="K2811" s="16" t="str">
        <f>"PFES1162673894_0001"</f>
        <v>PFES1162673894_0001</v>
      </c>
      <c r="L2811" s="16">
        <v>1</v>
      </c>
      <c r="M2811" s="16">
        <v>3</v>
      </c>
    </row>
    <row r="2812" spans="1:13">
      <c r="A2812" s="6">
        <v>43515</v>
      </c>
      <c r="B2812" s="7">
        <v>0.51666666666666672</v>
      </c>
      <c r="C2812" s="16" t="str">
        <f>"FES1162673951"</f>
        <v>FES1162673951</v>
      </c>
      <c r="D2812" s="16" t="s">
        <v>18</v>
      </c>
      <c r="E2812" s="16" t="s">
        <v>777</v>
      </c>
      <c r="F2812" s="16" t="str">
        <f>"2170673124 "</f>
        <v xml:space="preserve">2170673124 </v>
      </c>
      <c r="G2812" s="16" t="str">
        <f t="shared" si="80"/>
        <v>ON1</v>
      </c>
      <c r="H2812" s="16" t="s">
        <v>20</v>
      </c>
      <c r="I2812" s="16" t="s">
        <v>111</v>
      </c>
      <c r="J2812" s="16" t="str">
        <f>""</f>
        <v/>
      </c>
      <c r="K2812" s="16" t="str">
        <f>"PFES1162673951_0001"</f>
        <v>PFES1162673951_0001</v>
      </c>
      <c r="L2812" s="16">
        <v>1</v>
      </c>
      <c r="M2812" s="16">
        <v>1</v>
      </c>
    </row>
    <row r="2813" spans="1:13">
      <c r="A2813" s="6">
        <v>43515</v>
      </c>
      <c r="B2813" s="7">
        <v>0.51597222222222217</v>
      </c>
      <c r="C2813" s="16" t="str">
        <f>"FES1162673977"</f>
        <v>FES1162673977</v>
      </c>
      <c r="D2813" s="16" t="s">
        <v>18</v>
      </c>
      <c r="E2813" s="16" t="s">
        <v>88</v>
      </c>
      <c r="F2813" s="16" t="str">
        <f>"2170675031 "</f>
        <v xml:space="preserve">2170675031 </v>
      </c>
      <c r="G2813" s="16" t="str">
        <f t="shared" si="80"/>
        <v>ON1</v>
      </c>
      <c r="H2813" s="16" t="s">
        <v>20</v>
      </c>
      <c r="I2813" s="16" t="s">
        <v>53</v>
      </c>
      <c r="J2813" s="16" t="str">
        <f>""</f>
        <v/>
      </c>
      <c r="K2813" s="16" t="str">
        <f>"PFES1162673977_0001"</f>
        <v>PFES1162673977_0001</v>
      </c>
      <c r="L2813" s="16">
        <v>1</v>
      </c>
      <c r="M2813" s="16">
        <v>1</v>
      </c>
    </row>
    <row r="2814" spans="1:13">
      <c r="A2814" s="6">
        <v>43515</v>
      </c>
      <c r="B2814" s="7">
        <v>0.51597222222222217</v>
      </c>
      <c r="C2814" s="16" t="str">
        <f>"FES1162673937"</f>
        <v>FES1162673937</v>
      </c>
      <c r="D2814" s="16" t="s">
        <v>18</v>
      </c>
      <c r="E2814" s="16" t="s">
        <v>512</v>
      </c>
      <c r="F2814" s="16" t="str">
        <f>"2170672553 "</f>
        <v xml:space="preserve">2170672553 </v>
      </c>
      <c r="G2814" s="16" t="str">
        <f t="shared" si="80"/>
        <v>ON1</v>
      </c>
      <c r="H2814" s="16" t="s">
        <v>20</v>
      </c>
      <c r="I2814" s="16" t="s">
        <v>513</v>
      </c>
      <c r="J2814" s="16" t="str">
        <f>""</f>
        <v/>
      </c>
      <c r="K2814" s="16" t="str">
        <f>"PFES1162673937_0001"</f>
        <v>PFES1162673937_0001</v>
      </c>
      <c r="L2814" s="16">
        <v>1</v>
      </c>
      <c r="M2814" s="16">
        <v>1</v>
      </c>
    </row>
    <row r="2815" spans="1:13">
      <c r="A2815" s="6">
        <v>43515</v>
      </c>
      <c r="B2815" s="7">
        <v>0.51527777777777783</v>
      </c>
      <c r="C2815" s="16" t="str">
        <f>"FES1162673978"</f>
        <v>FES1162673978</v>
      </c>
      <c r="D2815" s="16" t="s">
        <v>18</v>
      </c>
      <c r="E2815" s="16" t="s">
        <v>780</v>
      </c>
      <c r="F2815" s="16" t="str">
        <f>"2170675033 "</f>
        <v xml:space="preserve">2170675033 </v>
      </c>
      <c r="G2815" s="16" t="str">
        <f t="shared" si="80"/>
        <v>ON1</v>
      </c>
      <c r="H2815" s="16" t="s">
        <v>20</v>
      </c>
      <c r="I2815" s="16" t="s">
        <v>781</v>
      </c>
      <c r="J2815" s="16" t="str">
        <f>""</f>
        <v/>
      </c>
      <c r="K2815" s="16" t="str">
        <f>"PFES1162673978_0001"</f>
        <v>PFES1162673978_0001</v>
      </c>
      <c r="L2815" s="16">
        <v>1</v>
      </c>
      <c r="M2815" s="16">
        <v>1</v>
      </c>
    </row>
    <row r="2816" spans="1:13">
      <c r="A2816" s="6">
        <v>43515</v>
      </c>
      <c r="B2816" s="7">
        <v>0.51527777777777783</v>
      </c>
      <c r="C2816" s="16" t="str">
        <f>"FES1162673999"</f>
        <v>FES1162673999</v>
      </c>
      <c r="D2816" s="16" t="s">
        <v>18</v>
      </c>
      <c r="E2816" s="16" t="s">
        <v>968</v>
      </c>
      <c r="F2816" s="16" t="str">
        <f>"2170675061 "</f>
        <v xml:space="preserve">2170675061 </v>
      </c>
      <c r="G2816" s="16" t="str">
        <f t="shared" si="80"/>
        <v>ON1</v>
      </c>
      <c r="H2816" s="16" t="s">
        <v>20</v>
      </c>
      <c r="I2816" s="16" t="s">
        <v>182</v>
      </c>
      <c r="J2816" s="16" t="str">
        <f>""</f>
        <v/>
      </c>
      <c r="K2816" s="16" t="str">
        <f>"PFES1162673999_0001"</f>
        <v>PFES1162673999_0001</v>
      </c>
      <c r="L2816" s="16">
        <v>1</v>
      </c>
      <c r="M2816" s="16">
        <v>1</v>
      </c>
    </row>
    <row r="2817" spans="1:13">
      <c r="A2817" s="6">
        <v>43515</v>
      </c>
      <c r="B2817" s="7">
        <v>0.51527777777777783</v>
      </c>
      <c r="C2817" s="16" t="str">
        <f>"FES1162674003"</f>
        <v>FES1162674003</v>
      </c>
      <c r="D2817" s="16" t="s">
        <v>18</v>
      </c>
      <c r="E2817" s="16" t="s">
        <v>522</v>
      </c>
      <c r="F2817" s="16" t="str">
        <f>"217067505 "</f>
        <v xml:space="preserve">217067505 </v>
      </c>
      <c r="G2817" s="16" t="str">
        <f t="shared" si="80"/>
        <v>ON1</v>
      </c>
      <c r="H2817" s="16" t="s">
        <v>20</v>
      </c>
      <c r="I2817" s="16" t="s">
        <v>388</v>
      </c>
      <c r="J2817" s="16" t="str">
        <f>""</f>
        <v/>
      </c>
      <c r="K2817" s="16" t="str">
        <f>"PFES1162674003_0001"</f>
        <v>PFES1162674003_0001</v>
      </c>
      <c r="L2817" s="16">
        <v>1</v>
      </c>
      <c r="M2817" s="16">
        <v>1</v>
      </c>
    </row>
    <row r="2818" spans="1:13">
      <c r="A2818" s="6">
        <v>43515</v>
      </c>
      <c r="B2818" s="7">
        <v>0.51458333333333328</v>
      </c>
      <c r="C2818" s="16" t="str">
        <f>"FES1162674036"</f>
        <v>FES1162674036</v>
      </c>
      <c r="D2818" s="16" t="s">
        <v>18</v>
      </c>
      <c r="E2818" s="16" t="s">
        <v>485</v>
      </c>
      <c r="F2818" s="16" t="str">
        <f>"2170675105 "</f>
        <v xml:space="preserve">2170675105 </v>
      </c>
      <c r="G2818" s="16" t="str">
        <f t="shared" si="80"/>
        <v>ON1</v>
      </c>
      <c r="H2818" s="16" t="s">
        <v>20</v>
      </c>
      <c r="I2818" s="16" t="s">
        <v>282</v>
      </c>
      <c r="J2818" s="16" t="str">
        <f>""</f>
        <v/>
      </c>
      <c r="K2818" s="16" t="str">
        <f>"PFES1162674036_0001"</f>
        <v>PFES1162674036_0001</v>
      </c>
      <c r="L2818" s="16">
        <v>1</v>
      </c>
      <c r="M2818" s="16">
        <v>1</v>
      </c>
    </row>
    <row r="2819" spans="1:13">
      <c r="A2819" s="6">
        <v>43515</v>
      </c>
      <c r="B2819" s="7">
        <v>0.51388888888888895</v>
      </c>
      <c r="C2819" s="16" t="str">
        <f>"FES1162673920"</f>
        <v>FES1162673920</v>
      </c>
      <c r="D2819" s="16" t="s">
        <v>18</v>
      </c>
      <c r="E2819" s="16" t="s">
        <v>447</v>
      </c>
      <c r="F2819" s="16" t="str">
        <f>"2170675017 "</f>
        <v xml:space="preserve">2170675017 </v>
      </c>
      <c r="G2819" s="16" t="str">
        <f t="shared" si="80"/>
        <v>ON1</v>
      </c>
      <c r="H2819" s="16" t="s">
        <v>20</v>
      </c>
      <c r="I2819" s="16" t="s">
        <v>182</v>
      </c>
      <c r="J2819" s="16" t="str">
        <f>""</f>
        <v/>
      </c>
      <c r="K2819" s="16" t="str">
        <f>"PFES1162673920_0001"</f>
        <v>PFES1162673920_0001</v>
      </c>
      <c r="L2819" s="16">
        <v>1</v>
      </c>
      <c r="M2819" s="16">
        <v>1</v>
      </c>
    </row>
    <row r="2820" spans="1:13">
      <c r="A2820" s="6">
        <v>43515</v>
      </c>
      <c r="B2820" s="7">
        <v>0.51180555555555551</v>
      </c>
      <c r="C2820" s="16" t="str">
        <f>"FES1162673947"</f>
        <v>FES1162673947</v>
      </c>
      <c r="D2820" s="16" t="s">
        <v>18</v>
      </c>
      <c r="E2820" s="16" t="s">
        <v>777</v>
      </c>
      <c r="F2820" s="16" t="str">
        <f>"2170673062 "</f>
        <v xml:space="preserve">2170673062 </v>
      </c>
      <c r="G2820" s="16" t="str">
        <f t="shared" si="80"/>
        <v>ON1</v>
      </c>
      <c r="H2820" s="16" t="s">
        <v>20</v>
      </c>
      <c r="I2820" s="16" t="s">
        <v>111</v>
      </c>
      <c r="J2820" s="16" t="str">
        <f>""</f>
        <v/>
      </c>
      <c r="K2820" s="16" t="str">
        <f>"PFES1162673947_0001"</f>
        <v>PFES1162673947_0001</v>
      </c>
      <c r="L2820" s="16">
        <v>1</v>
      </c>
      <c r="M2820" s="16">
        <v>1</v>
      </c>
    </row>
    <row r="2821" spans="1:13">
      <c r="A2821" s="6">
        <v>43515</v>
      </c>
      <c r="B2821" s="7">
        <v>0.51111111111111118</v>
      </c>
      <c r="C2821" s="16" t="str">
        <f>"FES1162673949"</f>
        <v>FES1162673949</v>
      </c>
      <c r="D2821" s="16" t="s">
        <v>18</v>
      </c>
      <c r="E2821" s="16" t="s">
        <v>110</v>
      </c>
      <c r="F2821" s="16" t="str">
        <f>"2170673109 "</f>
        <v xml:space="preserve">2170673109 </v>
      </c>
      <c r="G2821" s="16" t="str">
        <f t="shared" si="80"/>
        <v>ON1</v>
      </c>
      <c r="H2821" s="16" t="s">
        <v>20</v>
      </c>
      <c r="I2821" s="16" t="s">
        <v>111</v>
      </c>
      <c r="J2821" s="16" t="str">
        <f>""</f>
        <v/>
      </c>
      <c r="K2821" s="16" t="str">
        <f>"PFES1162673949_0001"</f>
        <v>PFES1162673949_0001</v>
      </c>
      <c r="L2821" s="16">
        <v>1</v>
      </c>
      <c r="M2821" s="16">
        <v>1</v>
      </c>
    </row>
    <row r="2822" spans="1:13">
      <c r="A2822" s="6">
        <v>43515</v>
      </c>
      <c r="B2822" s="7">
        <v>0.51111111111111118</v>
      </c>
      <c r="C2822" s="16" t="str">
        <f>"FES1162674017"</f>
        <v>FES1162674017</v>
      </c>
      <c r="D2822" s="16" t="s">
        <v>18</v>
      </c>
      <c r="E2822" s="16" t="s">
        <v>1066</v>
      </c>
      <c r="F2822" s="16" t="str">
        <f>"2170675083 "</f>
        <v xml:space="preserve">2170675083 </v>
      </c>
      <c r="G2822" s="16" t="str">
        <f t="shared" si="80"/>
        <v>ON1</v>
      </c>
      <c r="H2822" s="16" t="s">
        <v>20</v>
      </c>
      <c r="I2822" s="16" t="s">
        <v>302</v>
      </c>
      <c r="J2822" s="16" t="str">
        <f>""</f>
        <v/>
      </c>
      <c r="K2822" s="16" t="str">
        <f>"PFES1162674017_0001"</f>
        <v>PFES1162674017_0001</v>
      </c>
      <c r="L2822" s="16">
        <v>1</v>
      </c>
      <c r="M2822" s="16">
        <v>1</v>
      </c>
    </row>
    <row r="2823" spans="1:13">
      <c r="A2823" s="6">
        <v>43516</v>
      </c>
      <c r="B2823" s="7">
        <v>0.68958333333333333</v>
      </c>
      <c r="C2823" s="17" t="str">
        <f>"FES1162674415"</f>
        <v>FES1162674415</v>
      </c>
      <c r="D2823" s="17" t="s">
        <v>18</v>
      </c>
      <c r="E2823" s="17" t="s">
        <v>1067</v>
      </c>
      <c r="F2823" s="17" t="str">
        <f>"116267413,1162674414  1162674407 "</f>
        <v xml:space="preserve">116267413,1162674414  1162674407 </v>
      </c>
      <c r="G2823" s="17" t="str">
        <f t="shared" si="80"/>
        <v>ON1</v>
      </c>
      <c r="H2823" s="17" t="s">
        <v>20</v>
      </c>
      <c r="I2823" s="17" t="s">
        <v>141</v>
      </c>
      <c r="J2823" s="17"/>
      <c r="K2823" s="17" t="str">
        <f>"PFES1162674415_0001"</f>
        <v>PFES1162674415_0001</v>
      </c>
      <c r="L2823" s="17">
        <v>2</v>
      </c>
      <c r="M2823" s="17">
        <v>12</v>
      </c>
    </row>
    <row r="2824" spans="1:13">
      <c r="A2824" s="6">
        <v>43496</v>
      </c>
      <c r="B2824" s="7">
        <v>0.68611111111111101</v>
      </c>
      <c r="C2824" s="17" t="str">
        <f>"FES1162674415"</f>
        <v>FES1162674415</v>
      </c>
      <c r="D2824" s="17" t="s">
        <v>18</v>
      </c>
      <c r="E2824" s="17" t="s">
        <v>587</v>
      </c>
      <c r="F2824" s="17" t="str">
        <f>"2170671449 "</f>
        <v xml:space="preserve">2170671449 </v>
      </c>
      <c r="G2824" s="17" t="str">
        <f t="shared" si="80"/>
        <v>ON1</v>
      </c>
      <c r="H2824" s="17" t="s">
        <v>20</v>
      </c>
      <c r="I2824" s="17" t="s">
        <v>588</v>
      </c>
      <c r="J2824" s="17" t="str">
        <f>""</f>
        <v/>
      </c>
      <c r="K2824" s="17" t="str">
        <f>"PFES1162674415_0002"</f>
        <v>PFES1162674415_0002</v>
      </c>
      <c r="L2824" s="17">
        <v>1</v>
      </c>
      <c r="M2824" s="17">
        <v>1</v>
      </c>
    </row>
    <row r="2825" spans="1:13">
      <c r="A2825" s="6">
        <v>43516</v>
      </c>
      <c r="B2825" s="7">
        <v>0.68819444444444444</v>
      </c>
      <c r="C2825" s="17" t="str">
        <f>"FES1162674425"</f>
        <v>FES1162674425</v>
      </c>
      <c r="D2825" s="17" t="s">
        <v>18</v>
      </c>
      <c r="E2825" s="17" t="s">
        <v>209</v>
      </c>
      <c r="F2825" s="17" t="str">
        <f>"2170675434 "</f>
        <v xml:space="preserve">2170675434 </v>
      </c>
      <c r="G2825" s="17" t="str">
        <f t="shared" si="80"/>
        <v>ON1</v>
      </c>
      <c r="H2825" s="17" t="s">
        <v>20</v>
      </c>
      <c r="I2825" s="17" t="s">
        <v>210</v>
      </c>
      <c r="J2825" s="17" t="str">
        <f>""</f>
        <v/>
      </c>
      <c r="K2825" s="17" t="str">
        <f>"PFES1162674425_0001"</f>
        <v>PFES1162674425_0001</v>
      </c>
      <c r="L2825" s="17">
        <v>1</v>
      </c>
      <c r="M2825" s="17">
        <v>2</v>
      </c>
    </row>
    <row r="2826" spans="1:13">
      <c r="A2826" s="6">
        <v>43516</v>
      </c>
      <c r="B2826" s="7">
        <v>0.6875</v>
      </c>
      <c r="C2826" s="17" t="str">
        <f>"FES1162674417"</f>
        <v>FES1162674417</v>
      </c>
      <c r="D2826" s="17" t="s">
        <v>18</v>
      </c>
      <c r="E2826" s="17" t="s">
        <v>556</v>
      </c>
      <c r="F2826" s="17" t="str">
        <f>"2170671469 "</f>
        <v xml:space="preserve">2170671469 </v>
      </c>
      <c r="G2826" s="17" t="str">
        <f t="shared" si="80"/>
        <v>ON1</v>
      </c>
      <c r="H2826" s="17" t="s">
        <v>20</v>
      </c>
      <c r="I2826" s="17" t="s">
        <v>435</v>
      </c>
      <c r="J2826" s="17" t="str">
        <f>""</f>
        <v/>
      </c>
      <c r="K2826" s="17" t="str">
        <f>"PFES1162674417_0001"</f>
        <v>PFES1162674417_0001</v>
      </c>
      <c r="L2826" s="17">
        <v>1</v>
      </c>
      <c r="M2826" s="17">
        <v>1</v>
      </c>
    </row>
    <row r="2827" spans="1:13">
      <c r="A2827" s="6">
        <v>43516</v>
      </c>
      <c r="B2827" s="7">
        <v>0.68680555555555556</v>
      </c>
      <c r="C2827" s="17" t="str">
        <f>"FES1162674403"</f>
        <v>FES1162674403</v>
      </c>
      <c r="D2827" s="17" t="s">
        <v>18</v>
      </c>
      <c r="E2827" s="17" t="s">
        <v>309</v>
      </c>
      <c r="F2827" s="17" t="str">
        <f>"2170675647 "</f>
        <v xml:space="preserve">2170675647 </v>
      </c>
      <c r="G2827" s="17" t="str">
        <f t="shared" si="80"/>
        <v>ON1</v>
      </c>
      <c r="H2827" s="17" t="s">
        <v>20</v>
      </c>
      <c r="I2827" s="17" t="s">
        <v>310</v>
      </c>
      <c r="J2827" s="17" t="str">
        <f>""</f>
        <v/>
      </c>
      <c r="K2827" s="17" t="str">
        <f>"PFES1162674403_0001"</f>
        <v>PFES1162674403_0001</v>
      </c>
      <c r="L2827" s="17">
        <v>1</v>
      </c>
      <c r="M2827" s="17">
        <v>2</v>
      </c>
    </row>
    <row r="2828" spans="1:13">
      <c r="A2828" s="6">
        <v>43516</v>
      </c>
      <c r="B2828" s="7">
        <v>0.68680555555555556</v>
      </c>
      <c r="C2828" s="17" t="str">
        <f>"FES1162674420"</f>
        <v>FES1162674420</v>
      </c>
      <c r="D2828" s="17" t="s">
        <v>18</v>
      </c>
      <c r="E2828" s="17" t="s">
        <v>66</v>
      </c>
      <c r="F2828" s="17" t="str">
        <f>"2170675479 "</f>
        <v xml:space="preserve">2170675479 </v>
      </c>
      <c r="G2828" s="17" t="str">
        <f t="shared" si="80"/>
        <v>ON1</v>
      </c>
      <c r="H2828" s="17" t="s">
        <v>20</v>
      </c>
      <c r="I2828" s="17" t="s">
        <v>67</v>
      </c>
      <c r="J2828" s="17" t="str">
        <f>""</f>
        <v/>
      </c>
      <c r="K2828" s="17" t="str">
        <f>"PFES1162674420_0001"</f>
        <v>PFES1162674420_0001</v>
      </c>
      <c r="L2828" s="17">
        <v>1</v>
      </c>
      <c r="M2828" s="17">
        <v>4</v>
      </c>
    </row>
    <row r="2829" spans="1:13">
      <c r="A2829" s="6">
        <v>43516</v>
      </c>
      <c r="B2829" s="7">
        <v>0.68541666666666667</v>
      </c>
      <c r="C2829" s="17" t="str">
        <f>"FES1162674421"</f>
        <v>FES1162674421</v>
      </c>
      <c r="D2829" s="17" t="s">
        <v>18</v>
      </c>
      <c r="E2829" s="17" t="s">
        <v>645</v>
      </c>
      <c r="F2829" s="17" t="str">
        <f>"2170675483 "</f>
        <v xml:space="preserve">2170675483 </v>
      </c>
      <c r="G2829" s="17" t="str">
        <f t="shared" si="80"/>
        <v>ON1</v>
      </c>
      <c r="H2829" s="17" t="s">
        <v>20</v>
      </c>
      <c r="I2829" s="17" t="s">
        <v>215</v>
      </c>
      <c r="J2829" s="17" t="str">
        <f>""</f>
        <v/>
      </c>
      <c r="K2829" s="17" t="str">
        <f>"PFES1162674421_0001"</f>
        <v>PFES1162674421_0001</v>
      </c>
      <c r="L2829" s="17">
        <v>1</v>
      </c>
      <c r="M2829" s="17">
        <v>1</v>
      </c>
    </row>
    <row r="2830" spans="1:13">
      <c r="A2830" s="6">
        <v>43516</v>
      </c>
      <c r="B2830" s="7">
        <v>0.68402777777777779</v>
      </c>
      <c r="C2830" s="17" t="str">
        <f>"FES1162674409"</f>
        <v>FES1162674409</v>
      </c>
      <c r="D2830" s="17" t="s">
        <v>18</v>
      </c>
      <c r="E2830" s="17" t="s">
        <v>405</v>
      </c>
      <c r="F2830" s="17" t="str">
        <f>"2170675471 "</f>
        <v xml:space="preserve">2170675471 </v>
      </c>
      <c r="G2830" s="17" t="str">
        <f t="shared" si="80"/>
        <v>ON1</v>
      </c>
      <c r="H2830" s="17" t="s">
        <v>20</v>
      </c>
      <c r="I2830" s="17" t="s">
        <v>239</v>
      </c>
      <c r="J2830" s="17" t="str">
        <f>""</f>
        <v/>
      </c>
      <c r="K2830" s="17" t="str">
        <f>"PFES1162674409_0001"</f>
        <v>PFES1162674409_0001</v>
      </c>
      <c r="L2830" s="17">
        <v>1</v>
      </c>
      <c r="M2830" s="17">
        <v>4</v>
      </c>
    </row>
    <row r="2831" spans="1:13">
      <c r="A2831" s="6">
        <v>43516</v>
      </c>
      <c r="B2831" s="7">
        <v>0.68402777777777779</v>
      </c>
      <c r="C2831" s="17" t="str">
        <f>"FES1162674423"</f>
        <v>FES1162674423</v>
      </c>
      <c r="D2831" s="17" t="s">
        <v>18</v>
      </c>
      <c r="E2831" s="17" t="s">
        <v>19</v>
      </c>
      <c r="F2831" s="17" t="str">
        <f>"2170673360 "</f>
        <v xml:space="preserve">2170673360 </v>
      </c>
      <c r="G2831" s="17" t="str">
        <f t="shared" si="80"/>
        <v>ON1</v>
      </c>
      <c r="H2831" s="17" t="s">
        <v>20</v>
      </c>
      <c r="I2831" s="17" t="s">
        <v>21</v>
      </c>
      <c r="J2831" s="17" t="str">
        <f>""</f>
        <v/>
      </c>
      <c r="K2831" s="17" t="str">
        <f>"PFES1162674423_0001"</f>
        <v>PFES1162674423_0001</v>
      </c>
      <c r="L2831" s="17">
        <v>1</v>
      </c>
      <c r="M2831" s="17">
        <v>1</v>
      </c>
    </row>
    <row r="2832" spans="1:13">
      <c r="A2832" s="6">
        <v>43516</v>
      </c>
      <c r="B2832" s="7">
        <v>0.68333333333333324</v>
      </c>
      <c r="C2832" s="17" t="str">
        <f>"FES1162674416"</f>
        <v>FES1162674416</v>
      </c>
      <c r="D2832" s="17" t="s">
        <v>18</v>
      </c>
      <c r="E2832" s="17" t="s">
        <v>49</v>
      </c>
      <c r="F2832" s="17" t="str">
        <f>"2170671084 "</f>
        <v xml:space="preserve">2170671084 </v>
      </c>
      <c r="G2832" s="17" t="str">
        <f t="shared" si="80"/>
        <v>ON1</v>
      </c>
      <c r="H2832" s="17" t="s">
        <v>20</v>
      </c>
      <c r="I2832" s="17" t="s">
        <v>50</v>
      </c>
      <c r="J2832" s="17" t="str">
        <f>""</f>
        <v/>
      </c>
      <c r="K2832" s="17" t="str">
        <f>"PFES1162674416_0001"</f>
        <v>PFES1162674416_0001</v>
      </c>
      <c r="L2832" s="17">
        <v>1</v>
      </c>
      <c r="M2832" s="17">
        <v>1</v>
      </c>
    </row>
    <row r="2833" spans="1:13">
      <c r="A2833" s="6">
        <v>43516</v>
      </c>
      <c r="B2833" s="7">
        <v>0.68333333333333324</v>
      </c>
      <c r="C2833" s="17" t="str">
        <f>"FES1162674424"</f>
        <v>FES1162674424</v>
      </c>
      <c r="D2833" s="17" t="s">
        <v>18</v>
      </c>
      <c r="E2833" s="17" t="s">
        <v>1068</v>
      </c>
      <c r="F2833" s="17" t="str">
        <f>"2170671147 "</f>
        <v xml:space="preserve">2170671147 </v>
      </c>
      <c r="G2833" s="17" t="str">
        <f t="shared" si="80"/>
        <v>ON1</v>
      </c>
      <c r="H2833" s="17" t="s">
        <v>20</v>
      </c>
      <c r="I2833" s="17" t="s">
        <v>497</v>
      </c>
      <c r="J2833" s="17" t="str">
        <f>""</f>
        <v/>
      </c>
      <c r="K2833" s="17" t="str">
        <f>"PFES1162674424_0001"</f>
        <v>PFES1162674424_0001</v>
      </c>
      <c r="L2833" s="17">
        <v>1</v>
      </c>
      <c r="M2833" s="17">
        <v>1</v>
      </c>
    </row>
    <row r="2834" spans="1:13">
      <c r="A2834" s="6">
        <v>43516</v>
      </c>
      <c r="B2834" s="7">
        <v>0.68263888888888891</v>
      </c>
      <c r="C2834" s="17" t="str">
        <f>"FES1162674422"</f>
        <v>FES1162674422</v>
      </c>
      <c r="D2834" s="17" t="s">
        <v>18</v>
      </c>
      <c r="E2834" s="17" t="s">
        <v>19</v>
      </c>
      <c r="F2834" s="17" t="str">
        <f>"2170673039 "</f>
        <v xml:space="preserve">2170673039 </v>
      </c>
      <c r="G2834" s="17" t="str">
        <f t="shared" si="80"/>
        <v>ON1</v>
      </c>
      <c r="H2834" s="17" t="s">
        <v>20</v>
      </c>
      <c r="I2834" s="17" t="s">
        <v>21</v>
      </c>
      <c r="J2834" s="17" t="str">
        <f>""</f>
        <v/>
      </c>
      <c r="K2834" s="17" t="str">
        <f>"PFES1162674422_0001"</f>
        <v>PFES1162674422_0001</v>
      </c>
      <c r="L2834" s="17">
        <v>1</v>
      </c>
      <c r="M2834" s="17">
        <v>1</v>
      </c>
    </row>
    <row r="2835" spans="1:13">
      <c r="A2835" s="6">
        <v>43516</v>
      </c>
      <c r="B2835" s="7">
        <v>0.68263888888888891</v>
      </c>
      <c r="C2835" s="17" t="str">
        <f>"FES1162674426"</f>
        <v>FES1162674426</v>
      </c>
      <c r="D2835" s="17" t="s">
        <v>18</v>
      </c>
      <c r="E2835" s="17" t="s">
        <v>669</v>
      </c>
      <c r="F2835" s="17" t="str">
        <f>"2170671074 "</f>
        <v xml:space="preserve">2170671074 </v>
      </c>
      <c r="G2835" s="17" t="str">
        <f t="shared" si="80"/>
        <v>ON1</v>
      </c>
      <c r="H2835" s="17" t="s">
        <v>20</v>
      </c>
      <c r="I2835" s="17" t="s">
        <v>89</v>
      </c>
      <c r="J2835" s="17" t="str">
        <f>""</f>
        <v/>
      </c>
      <c r="K2835" s="17" t="str">
        <f>"PFES1162674426_0001"</f>
        <v>PFES1162674426_0001</v>
      </c>
      <c r="L2835" s="17">
        <v>1</v>
      </c>
      <c r="M2835" s="17">
        <v>1</v>
      </c>
    </row>
    <row r="2836" spans="1:13">
      <c r="A2836" s="6">
        <v>43516</v>
      </c>
      <c r="B2836" s="7">
        <v>0.68194444444444446</v>
      </c>
      <c r="C2836" s="17" t="str">
        <f>"FES1162674408"</f>
        <v>FES1162674408</v>
      </c>
      <c r="D2836" s="17" t="s">
        <v>18</v>
      </c>
      <c r="E2836" s="17" t="s">
        <v>92</v>
      </c>
      <c r="F2836" s="17" t="str">
        <f>"2170674297 "</f>
        <v xml:space="preserve">2170674297 </v>
      </c>
      <c r="G2836" s="17" t="str">
        <f t="shared" si="80"/>
        <v>ON1</v>
      </c>
      <c r="H2836" s="17" t="s">
        <v>20</v>
      </c>
      <c r="I2836" s="17" t="s">
        <v>93</v>
      </c>
      <c r="J2836" s="17" t="str">
        <f>""</f>
        <v/>
      </c>
      <c r="K2836" s="17" t="str">
        <f>"PFES1162674408_0001"</f>
        <v>PFES1162674408_0001</v>
      </c>
      <c r="L2836" s="17">
        <v>1</v>
      </c>
      <c r="M2836" s="17">
        <v>1</v>
      </c>
    </row>
    <row r="2837" spans="1:13">
      <c r="A2837" s="6">
        <v>43516</v>
      </c>
      <c r="B2837" s="7">
        <v>0.6791666666666667</v>
      </c>
      <c r="C2837" s="17" t="str">
        <f>"FES1162674410"</f>
        <v>FES1162674410</v>
      </c>
      <c r="D2837" s="17" t="s">
        <v>18</v>
      </c>
      <c r="E2837" s="17" t="s">
        <v>19</v>
      </c>
      <c r="F2837" s="17" t="str">
        <f>"2170675473 "</f>
        <v xml:space="preserve">2170675473 </v>
      </c>
      <c r="G2837" s="17" t="str">
        <f>"DBC"</f>
        <v>DBC</v>
      </c>
      <c r="H2837" s="17" t="s">
        <v>20</v>
      </c>
      <c r="I2837" s="17" t="s">
        <v>21</v>
      </c>
      <c r="J2837" s="17" t="str">
        <f>""</f>
        <v/>
      </c>
      <c r="K2837" s="17" t="str">
        <f>"PFES1162674410_0001"</f>
        <v>PFES1162674410_0001</v>
      </c>
      <c r="L2837" s="17">
        <v>3</v>
      </c>
      <c r="M2837" s="17">
        <v>20</v>
      </c>
    </row>
    <row r="2838" spans="1:13">
      <c r="A2838" s="6">
        <v>43496</v>
      </c>
      <c r="B2838" s="7">
        <v>0.6777777777777777</v>
      </c>
      <c r="C2838" s="17" t="str">
        <f>"FES1162674410"</f>
        <v>FES1162674410</v>
      </c>
      <c r="D2838" s="17" t="s">
        <v>18</v>
      </c>
      <c r="E2838" s="17" t="s">
        <v>1069</v>
      </c>
      <c r="F2838" s="17" t="str">
        <f>"2170672049 "</f>
        <v xml:space="preserve">2170672049 </v>
      </c>
      <c r="G2838" s="17" t="str">
        <f t="shared" ref="G2838:G2852" si="81">"ON1"</f>
        <v>ON1</v>
      </c>
      <c r="H2838" s="17" t="s">
        <v>20</v>
      </c>
      <c r="I2838" s="17" t="s">
        <v>237</v>
      </c>
      <c r="J2838" s="17" t="str">
        <f>""</f>
        <v/>
      </c>
      <c r="K2838" s="17" t="str">
        <f>"PFES1162674410_0002"</f>
        <v>PFES1162674410_0002</v>
      </c>
      <c r="L2838" s="17">
        <v>1</v>
      </c>
      <c r="M2838" s="17">
        <v>1</v>
      </c>
    </row>
    <row r="2839" spans="1:13">
      <c r="A2839" s="6">
        <v>43496</v>
      </c>
      <c r="B2839" s="7">
        <v>0.6777777777777777</v>
      </c>
      <c r="C2839" s="17" t="str">
        <f>"FES1162674410"</f>
        <v>FES1162674410</v>
      </c>
      <c r="D2839" s="17" t="s">
        <v>18</v>
      </c>
      <c r="E2839" s="17" t="s">
        <v>565</v>
      </c>
      <c r="F2839" s="17" t="str">
        <f>"2170671923 "</f>
        <v xml:space="preserve">2170671923 </v>
      </c>
      <c r="G2839" s="17" t="str">
        <f t="shared" si="81"/>
        <v>ON1</v>
      </c>
      <c r="H2839" s="17" t="s">
        <v>20</v>
      </c>
      <c r="I2839" s="17" t="s">
        <v>566</v>
      </c>
      <c r="J2839" s="17" t="str">
        <f>""</f>
        <v/>
      </c>
      <c r="K2839" s="17" t="str">
        <f>"PFES1162674410_0003"</f>
        <v>PFES1162674410_0003</v>
      </c>
      <c r="L2839" s="17">
        <v>1</v>
      </c>
      <c r="M2839" s="17">
        <v>2</v>
      </c>
    </row>
    <row r="2840" spans="1:13">
      <c r="A2840" s="6">
        <v>43516</v>
      </c>
      <c r="B2840" s="7">
        <v>0.6777777777777777</v>
      </c>
      <c r="C2840" s="17" t="str">
        <f>"FES1162674411"</f>
        <v>FES1162674411</v>
      </c>
      <c r="D2840" s="17" t="s">
        <v>18</v>
      </c>
      <c r="E2840" s="17" t="s">
        <v>66</v>
      </c>
      <c r="F2840" s="17" t="str">
        <f>"2170675474 "</f>
        <v xml:space="preserve">2170675474 </v>
      </c>
      <c r="G2840" s="17" t="str">
        <f t="shared" si="81"/>
        <v>ON1</v>
      </c>
      <c r="H2840" s="17" t="s">
        <v>20</v>
      </c>
      <c r="I2840" s="17" t="s">
        <v>67</v>
      </c>
      <c r="J2840" s="17" t="str">
        <f>""</f>
        <v/>
      </c>
      <c r="K2840" s="17" t="str">
        <f>"PFES1162674411_0001"</f>
        <v>PFES1162674411_0001</v>
      </c>
      <c r="L2840" s="17">
        <v>1</v>
      </c>
      <c r="M2840" s="17">
        <v>9</v>
      </c>
    </row>
    <row r="2841" spans="1:13">
      <c r="A2841" s="6">
        <v>43516</v>
      </c>
      <c r="B2841" s="7">
        <v>0.67638888888888893</v>
      </c>
      <c r="C2841" s="17" t="str">
        <f>"FES1162673941"</f>
        <v>FES1162673941</v>
      </c>
      <c r="D2841" s="17" t="s">
        <v>18</v>
      </c>
      <c r="E2841" s="17" t="s">
        <v>991</v>
      </c>
      <c r="F2841" s="17" t="str">
        <f>"2170672807 "</f>
        <v xml:space="preserve">2170672807 </v>
      </c>
      <c r="G2841" s="17" t="str">
        <f t="shared" si="81"/>
        <v>ON1</v>
      </c>
      <c r="H2841" s="17" t="s">
        <v>20</v>
      </c>
      <c r="I2841" s="17" t="s">
        <v>213</v>
      </c>
      <c r="J2841" s="17" t="str">
        <f>""</f>
        <v/>
      </c>
      <c r="K2841" s="17" t="str">
        <f>"PFES1162673941_0001"</f>
        <v>PFES1162673941_0001</v>
      </c>
      <c r="L2841" s="17">
        <v>1</v>
      </c>
      <c r="M2841" s="17">
        <v>1</v>
      </c>
    </row>
    <row r="2842" spans="1:13">
      <c r="A2842" s="6">
        <v>43516</v>
      </c>
      <c r="B2842" s="7">
        <v>0.67361111111111116</v>
      </c>
      <c r="C2842" s="17" t="str">
        <f>"FES1162674399"</f>
        <v>FES1162674399</v>
      </c>
      <c r="D2842" s="17" t="s">
        <v>18</v>
      </c>
      <c r="E2842" s="17" t="s">
        <v>92</v>
      </c>
      <c r="F2842" s="17" t="str">
        <f>"2170675468 "</f>
        <v xml:space="preserve">2170675468 </v>
      </c>
      <c r="G2842" s="17" t="str">
        <f t="shared" si="81"/>
        <v>ON1</v>
      </c>
      <c r="H2842" s="17" t="s">
        <v>20</v>
      </c>
      <c r="I2842" s="17" t="s">
        <v>93</v>
      </c>
      <c r="J2842" s="17" t="str">
        <f>""</f>
        <v/>
      </c>
      <c r="K2842" s="17" t="str">
        <f>"PFES1162674399_0001"</f>
        <v>PFES1162674399_0001</v>
      </c>
      <c r="L2842" s="17">
        <v>1</v>
      </c>
      <c r="M2842" s="17">
        <v>7</v>
      </c>
    </row>
    <row r="2843" spans="1:13">
      <c r="A2843" s="6">
        <v>43516</v>
      </c>
      <c r="B2843" s="7">
        <v>0.67222222222222217</v>
      </c>
      <c r="C2843" s="17" t="str">
        <f>"FES1162674398"</f>
        <v>FES1162674398</v>
      </c>
      <c r="D2843" s="17" t="s">
        <v>18</v>
      </c>
      <c r="E2843" s="17" t="s">
        <v>583</v>
      </c>
      <c r="F2843" s="17" t="str">
        <f>"2170675466 "</f>
        <v xml:space="preserve">2170675466 </v>
      </c>
      <c r="G2843" s="17" t="str">
        <f t="shared" si="81"/>
        <v>ON1</v>
      </c>
      <c r="H2843" s="17" t="s">
        <v>20</v>
      </c>
      <c r="I2843" s="17" t="s">
        <v>584</v>
      </c>
      <c r="J2843" s="17" t="str">
        <f>""</f>
        <v/>
      </c>
      <c r="K2843" s="17" t="str">
        <f>"PFES1162674398_0001"</f>
        <v>PFES1162674398_0001</v>
      </c>
      <c r="L2843" s="17">
        <v>1</v>
      </c>
      <c r="M2843" s="17">
        <v>10</v>
      </c>
    </row>
    <row r="2844" spans="1:13">
      <c r="A2844" s="6">
        <v>43516</v>
      </c>
      <c r="B2844" s="7">
        <v>0.67083333333333339</v>
      </c>
      <c r="C2844" s="17" t="str">
        <f>"FES1162674381"</f>
        <v>FES1162674381</v>
      </c>
      <c r="D2844" s="17" t="s">
        <v>18</v>
      </c>
      <c r="E2844" s="17" t="s">
        <v>436</v>
      </c>
      <c r="F2844" s="17" t="str">
        <f>"2170670993 "</f>
        <v xml:space="preserve">2170670993 </v>
      </c>
      <c r="G2844" s="17" t="str">
        <f t="shared" si="81"/>
        <v>ON1</v>
      </c>
      <c r="H2844" s="17" t="s">
        <v>20</v>
      </c>
      <c r="I2844" s="17" t="s">
        <v>437</v>
      </c>
      <c r="J2844" s="17" t="str">
        <f>""</f>
        <v/>
      </c>
      <c r="K2844" s="17" t="str">
        <f>"PFES1162674381_0001"</f>
        <v>PFES1162674381_0001</v>
      </c>
      <c r="L2844" s="17">
        <v>1</v>
      </c>
      <c r="M2844" s="17">
        <v>2</v>
      </c>
    </row>
    <row r="2845" spans="1:13">
      <c r="A2845" s="6">
        <v>43516</v>
      </c>
      <c r="B2845" s="7">
        <v>0.67083333333333339</v>
      </c>
      <c r="C2845" s="17" t="str">
        <f>"FES1162674380"</f>
        <v>FES1162674380</v>
      </c>
      <c r="D2845" s="17" t="s">
        <v>18</v>
      </c>
      <c r="E2845" s="17" t="s">
        <v>178</v>
      </c>
      <c r="F2845" s="17" t="str">
        <f>"2170672484 "</f>
        <v xml:space="preserve">2170672484 </v>
      </c>
      <c r="G2845" s="17" t="str">
        <f t="shared" si="81"/>
        <v>ON1</v>
      </c>
      <c r="H2845" s="17" t="s">
        <v>20</v>
      </c>
      <c r="I2845" s="17" t="s">
        <v>390</v>
      </c>
      <c r="J2845" s="17" t="str">
        <f>""</f>
        <v/>
      </c>
      <c r="K2845" s="17" t="str">
        <f>"PFES1162674380_0001"</f>
        <v>PFES1162674380_0001</v>
      </c>
      <c r="L2845" s="17">
        <v>1</v>
      </c>
      <c r="M2845" s="17">
        <v>1</v>
      </c>
    </row>
    <row r="2846" spans="1:13">
      <c r="A2846" s="6">
        <v>43516</v>
      </c>
      <c r="B2846" s="7">
        <v>0.67013888888888884</v>
      </c>
      <c r="C2846" s="17" t="str">
        <f>"FES1162674393"</f>
        <v>FES1162674393</v>
      </c>
      <c r="D2846" s="17" t="s">
        <v>18</v>
      </c>
      <c r="E2846" s="17" t="s">
        <v>19</v>
      </c>
      <c r="F2846" s="17" t="str">
        <f>"2170675459 "</f>
        <v xml:space="preserve">2170675459 </v>
      </c>
      <c r="G2846" s="17" t="str">
        <f t="shared" si="81"/>
        <v>ON1</v>
      </c>
      <c r="H2846" s="17" t="s">
        <v>20</v>
      </c>
      <c r="I2846" s="17" t="s">
        <v>21</v>
      </c>
      <c r="J2846" s="17" t="str">
        <f>""</f>
        <v/>
      </c>
      <c r="K2846" s="17" t="str">
        <f>"PFES1162674393_0001"</f>
        <v>PFES1162674393_0001</v>
      </c>
      <c r="L2846" s="17">
        <v>1</v>
      </c>
      <c r="M2846" s="17">
        <v>1</v>
      </c>
    </row>
    <row r="2847" spans="1:13">
      <c r="A2847" s="6">
        <v>43516</v>
      </c>
      <c r="B2847" s="7">
        <v>0.66388888888888886</v>
      </c>
      <c r="C2847" s="17" t="str">
        <f>"FES1162674412"</f>
        <v>FES1162674412</v>
      </c>
      <c r="D2847" s="17" t="s">
        <v>18</v>
      </c>
      <c r="E2847" s="17" t="s">
        <v>672</v>
      </c>
      <c r="F2847" s="17" t="str">
        <f>"2170675477 "</f>
        <v xml:space="preserve">2170675477 </v>
      </c>
      <c r="G2847" s="17" t="str">
        <f t="shared" si="81"/>
        <v>ON1</v>
      </c>
      <c r="H2847" s="17" t="s">
        <v>20</v>
      </c>
      <c r="I2847" s="17" t="s">
        <v>31</v>
      </c>
      <c r="J2847" s="17" t="str">
        <f>""</f>
        <v/>
      </c>
      <c r="K2847" s="17" t="str">
        <f>"PFES1162674412_0001"</f>
        <v>PFES1162674412_0001</v>
      </c>
      <c r="L2847" s="17">
        <v>1</v>
      </c>
      <c r="M2847" s="17">
        <v>1</v>
      </c>
    </row>
    <row r="2848" spans="1:13">
      <c r="A2848" s="6">
        <v>43516</v>
      </c>
      <c r="B2848" s="7">
        <v>0.66180555555555554</v>
      </c>
      <c r="C2848" s="17" t="str">
        <f>"FES116267400"</f>
        <v>FES116267400</v>
      </c>
      <c r="D2848" s="17" t="s">
        <v>18</v>
      </c>
      <c r="E2848" s="17" t="s">
        <v>1070</v>
      </c>
      <c r="F2848" s="17" t="str">
        <f>"2170674892 "</f>
        <v xml:space="preserve">2170674892 </v>
      </c>
      <c r="G2848" s="17" t="str">
        <f t="shared" si="81"/>
        <v>ON1</v>
      </c>
      <c r="H2848" s="17" t="s">
        <v>20</v>
      </c>
      <c r="I2848" s="17" t="s">
        <v>213</v>
      </c>
      <c r="J2848" s="17" t="str">
        <f>""</f>
        <v/>
      </c>
      <c r="K2848" s="17" t="str">
        <f>"PFES116267400_0001"</f>
        <v>PFES116267400_0001</v>
      </c>
      <c r="L2848" s="17">
        <v>1</v>
      </c>
      <c r="M2848" s="17">
        <v>2</v>
      </c>
    </row>
    <row r="2849" spans="1:13">
      <c r="A2849" s="6">
        <v>43516</v>
      </c>
      <c r="B2849" s="7">
        <v>0.65763888888888888</v>
      </c>
      <c r="C2849" s="17" t="str">
        <f>"FES1162674396"</f>
        <v>FES1162674396</v>
      </c>
      <c r="D2849" s="17" t="s">
        <v>18</v>
      </c>
      <c r="E2849" s="17" t="s">
        <v>309</v>
      </c>
      <c r="F2849" s="17" t="str">
        <f>"2170675464 "</f>
        <v xml:space="preserve">2170675464 </v>
      </c>
      <c r="G2849" s="17" t="str">
        <f t="shared" si="81"/>
        <v>ON1</v>
      </c>
      <c r="H2849" s="17" t="s">
        <v>20</v>
      </c>
      <c r="I2849" s="17" t="s">
        <v>310</v>
      </c>
      <c r="J2849" s="17" t="str">
        <f>""</f>
        <v/>
      </c>
      <c r="K2849" s="17" t="str">
        <f>"PFES1162674396_0001"</f>
        <v>PFES1162674396_0001</v>
      </c>
      <c r="L2849" s="17">
        <v>1</v>
      </c>
      <c r="M2849" s="17">
        <v>1</v>
      </c>
    </row>
    <row r="2850" spans="1:13">
      <c r="A2850" s="6">
        <v>43516</v>
      </c>
      <c r="B2850" s="7">
        <v>0.65694444444444444</v>
      </c>
      <c r="C2850" s="17" t="str">
        <f>"FES1162674375"</f>
        <v>FES1162674375</v>
      </c>
      <c r="D2850" s="17" t="s">
        <v>18</v>
      </c>
      <c r="E2850" s="17" t="s">
        <v>162</v>
      </c>
      <c r="F2850" s="17" t="str">
        <f>"2170675443 "</f>
        <v xml:space="preserve">2170675443 </v>
      </c>
      <c r="G2850" s="17" t="str">
        <f t="shared" si="81"/>
        <v>ON1</v>
      </c>
      <c r="H2850" s="17" t="s">
        <v>20</v>
      </c>
      <c r="I2850" s="17" t="s">
        <v>163</v>
      </c>
      <c r="J2850" s="17" t="str">
        <f>""</f>
        <v/>
      </c>
      <c r="K2850" s="17" t="str">
        <f>"PFES1162674375_0001"</f>
        <v>PFES1162674375_0001</v>
      </c>
      <c r="L2850" s="17">
        <v>1</v>
      </c>
      <c r="M2850" s="17">
        <v>1</v>
      </c>
    </row>
    <row r="2851" spans="1:13">
      <c r="A2851" s="6">
        <v>43516</v>
      </c>
      <c r="B2851" s="7">
        <v>0.65625</v>
      </c>
      <c r="C2851" s="17" t="str">
        <f>"FES1162674395"</f>
        <v>FES1162674395</v>
      </c>
      <c r="D2851" s="17" t="s">
        <v>18</v>
      </c>
      <c r="E2851" s="17" t="s">
        <v>526</v>
      </c>
      <c r="F2851" s="17" t="str">
        <f>"2170675462 "</f>
        <v xml:space="preserve">2170675462 </v>
      </c>
      <c r="G2851" s="17" t="str">
        <f t="shared" si="81"/>
        <v>ON1</v>
      </c>
      <c r="H2851" s="17" t="s">
        <v>20</v>
      </c>
      <c r="I2851" s="17" t="s">
        <v>165</v>
      </c>
      <c r="J2851" s="17" t="str">
        <f>""</f>
        <v/>
      </c>
      <c r="K2851" s="17" t="str">
        <f>"PFES1162674395_0001"</f>
        <v>PFES1162674395_0001</v>
      </c>
      <c r="L2851" s="17">
        <v>1</v>
      </c>
      <c r="M2851" s="17">
        <v>1</v>
      </c>
    </row>
    <row r="2852" spans="1:13">
      <c r="A2852" s="6">
        <v>43516</v>
      </c>
      <c r="B2852" s="7">
        <v>0.65625</v>
      </c>
      <c r="C2852" s="17" t="str">
        <f>"FES1162674392"</f>
        <v>FES1162674392</v>
      </c>
      <c r="D2852" s="17" t="s">
        <v>18</v>
      </c>
      <c r="E2852" s="17" t="s">
        <v>1071</v>
      </c>
      <c r="F2852" s="17" t="str">
        <f>"2170675457 "</f>
        <v xml:space="preserve">2170675457 </v>
      </c>
      <c r="G2852" s="17" t="str">
        <f t="shared" si="81"/>
        <v>ON1</v>
      </c>
      <c r="H2852" s="17" t="s">
        <v>20</v>
      </c>
      <c r="I2852" s="17" t="s">
        <v>139</v>
      </c>
      <c r="J2852" s="17" t="str">
        <f>""</f>
        <v/>
      </c>
      <c r="K2852" s="17" t="str">
        <f>"PFES1162674392_0001"</f>
        <v>PFES1162674392_0001</v>
      </c>
      <c r="L2852" s="17">
        <v>1</v>
      </c>
      <c r="M2852" s="17">
        <v>1</v>
      </c>
    </row>
    <row r="2853" spans="1:13">
      <c r="A2853" s="6">
        <v>43516</v>
      </c>
      <c r="B2853" s="7">
        <v>0.65555555555555556</v>
      </c>
      <c r="C2853" s="17" t="str">
        <f>"FES1162674369"</f>
        <v>FES1162674369</v>
      </c>
      <c r="D2853" s="17" t="s">
        <v>18</v>
      </c>
      <c r="E2853" s="17" t="s">
        <v>195</v>
      </c>
      <c r="F2853" s="17" t="str">
        <f>"2170675436 "</f>
        <v xml:space="preserve">2170675436 </v>
      </c>
      <c r="G2853" s="17" t="str">
        <f>"DBC"</f>
        <v>DBC</v>
      </c>
      <c r="H2853" s="17" t="s">
        <v>20</v>
      </c>
      <c r="I2853" s="17" t="s">
        <v>96</v>
      </c>
      <c r="J2853" s="17" t="str">
        <f>""</f>
        <v/>
      </c>
      <c r="K2853" s="17" t="str">
        <f>"PFES1162674369_0001"</f>
        <v>PFES1162674369_0001</v>
      </c>
      <c r="L2853" s="17">
        <v>2</v>
      </c>
      <c r="M2853" s="17">
        <v>25</v>
      </c>
    </row>
    <row r="2854" spans="1:13">
      <c r="A2854" s="6">
        <v>43496</v>
      </c>
      <c r="B2854" s="7">
        <v>0.66249999999999998</v>
      </c>
      <c r="C2854" s="17" t="str">
        <f>"FES1162674369"</f>
        <v>FES1162674369</v>
      </c>
      <c r="D2854" s="17" t="s">
        <v>18</v>
      </c>
      <c r="E2854" s="17" t="s">
        <v>557</v>
      </c>
      <c r="F2854" s="17" t="str">
        <f>"2170671961 "</f>
        <v xml:space="preserve">2170671961 </v>
      </c>
      <c r="G2854" s="17" t="str">
        <f t="shared" ref="G2854:G2862" si="82">"ON1"</f>
        <v>ON1</v>
      </c>
      <c r="H2854" s="17" t="s">
        <v>20</v>
      </c>
      <c r="I2854" s="17" t="s">
        <v>558</v>
      </c>
      <c r="J2854" s="17" t="str">
        <f>""</f>
        <v/>
      </c>
      <c r="K2854" s="17" t="str">
        <f>"PFES1162674369_0002"</f>
        <v>PFES1162674369_0002</v>
      </c>
      <c r="L2854" s="17">
        <v>1</v>
      </c>
      <c r="M2854" s="17">
        <v>1</v>
      </c>
    </row>
    <row r="2855" spans="1:13">
      <c r="A2855" s="6">
        <v>43516</v>
      </c>
      <c r="B2855" s="7">
        <v>0.65486111111111112</v>
      </c>
      <c r="C2855" s="17" t="str">
        <f>"FES1162674397"</f>
        <v>FES1162674397</v>
      </c>
      <c r="D2855" s="17" t="s">
        <v>18</v>
      </c>
      <c r="E2855" s="17" t="s">
        <v>180</v>
      </c>
      <c r="F2855" s="17" t="str">
        <f>"2170675465 "</f>
        <v xml:space="preserve">2170675465 </v>
      </c>
      <c r="G2855" s="17" t="str">
        <f t="shared" si="82"/>
        <v>ON1</v>
      </c>
      <c r="H2855" s="17" t="s">
        <v>20</v>
      </c>
      <c r="I2855" s="17" t="s">
        <v>93</v>
      </c>
      <c r="J2855" s="17" t="str">
        <f>""</f>
        <v/>
      </c>
      <c r="K2855" s="17" t="str">
        <f>"PFES1162674397_0001"</f>
        <v>PFES1162674397_0001</v>
      </c>
      <c r="L2855" s="17">
        <v>1</v>
      </c>
      <c r="M2855" s="17">
        <v>2</v>
      </c>
    </row>
    <row r="2856" spans="1:13">
      <c r="A2856" s="6">
        <v>43516</v>
      </c>
      <c r="B2856" s="7">
        <v>0.65416666666666667</v>
      </c>
      <c r="C2856" s="17" t="str">
        <f>"FES1162674386"</f>
        <v>FES1162674386</v>
      </c>
      <c r="D2856" s="17" t="s">
        <v>18</v>
      </c>
      <c r="E2856" s="17" t="s">
        <v>485</v>
      </c>
      <c r="F2856" s="17" t="str">
        <f>"2170675450 "</f>
        <v xml:space="preserve">2170675450 </v>
      </c>
      <c r="G2856" s="17" t="str">
        <f t="shared" si="82"/>
        <v>ON1</v>
      </c>
      <c r="H2856" s="17" t="s">
        <v>20</v>
      </c>
      <c r="I2856" s="17" t="s">
        <v>282</v>
      </c>
      <c r="J2856" s="17" t="str">
        <f>""</f>
        <v/>
      </c>
      <c r="K2856" s="17" t="str">
        <f>"PFES1162674386_0001"</f>
        <v>PFES1162674386_0001</v>
      </c>
      <c r="L2856" s="17">
        <v>1</v>
      </c>
      <c r="M2856" s="17">
        <v>2</v>
      </c>
    </row>
    <row r="2857" spans="1:13">
      <c r="A2857" s="6">
        <v>43516</v>
      </c>
      <c r="B2857" s="7">
        <v>0.65277777777777779</v>
      </c>
      <c r="C2857" s="17" t="str">
        <f>"FES1162674376"</f>
        <v>FES1162674376</v>
      </c>
      <c r="D2857" s="17" t="s">
        <v>18</v>
      </c>
      <c r="E2857" s="17" t="s">
        <v>530</v>
      </c>
      <c r="F2857" s="17" t="str">
        <f>"2170675444 "</f>
        <v xml:space="preserve">2170675444 </v>
      </c>
      <c r="G2857" s="17" t="str">
        <f t="shared" si="82"/>
        <v>ON1</v>
      </c>
      <c r="H2857" s="17" t="s">
        <v>20</v>
      </c>
      <c r="I2857" s="17" t="s">
        <v>531</v>
      </c>
      <c r="J2857" s="17" t="str">
        <f>""</f>
        <v/>
      </c>
      <c r="K2857" s="17" t="str">
        <f>"PFES1162674376_0001"</f>
        <v>PFES1162674376_0001</v>
      </c>
      <c r="L2857" s="17">
        <v>1</v>
      </c>
      <c r="M2857" s="17">
        <v>3</v>
      </c>
    </row>
    <row r="2858" spans="1:13">
      <c r="A2858" s="6">
        <v>43516</v>
      </c>
      <c r="B2858" s="7">
        <v>0.65138888888888891</v>
      </c>
      <c r="C2858" s="17" t="str">
        <f>"FES1162674368"</f>
        <v>FES1162674368</v>
      </c>
      <c r="D2858" s="17" t="s">
        <v>18</v>
      </c>
      <c r="E2858" s="17" t="s">
        <v>164</v>
      </c>
      <c r="F2858" s="17" t="str">
        <f>"2170675435 "</f>
        <v xml:space="preserve">2170675435 </v>
      </c>
      <c r="G2858" s="17" t="str">
        <f t="shared" si="82"/>
        <v>ON1</v>
      </c>
      <c r="H2858" s="17" t="s">
        <v>20</v>
      </c>
      <c r="I2858" s="17" t="s">
        <v>165</v>
      </c>
      <c r="J2858" s="17" t="str">
        <f>""</f>
        <v/>
      </c>
      <c r="K2858" s="17" t="str">
        <f>"PFES1162674368_0001"</f>
        <v>PFES1162674368_0001</v>
      </c>
      <c r="L2858" s="17">
        <v>1</v>
      </c>
      <c r="M2858" s="17">
        <v>1</v>
      </c>
    </row>
    <row r="2859" spans="1:13">
      <c r="A2859" s="6">
        <v>43516</v>
      </c>
      <c r="B2859" s="7">
        <v>0.65069444444444446</v>
      </c>
      <c r="C2859" s="17" t="str">
        <f>"FES1162674367"</f>
        <v>FES1162674367</v>
      </c>
      <c r="D2859" s="17" t="s">
        <v>18</v>
      </c>
      <c r="E2859" s="17" t="s">
        <v>164</v>
      </c>
      <c r="F2859" s="17" t="str">
        <f>"2170675432 "</f>
        <v xml:space="preserve">2170675432 </v>
      </c>
      <c r="G2859" s="17" t="str">
        <f t="shared" si="82"/>
        <v>ON1</v>
      </c>
      <c r="H2859" s="17" t="s">
        <v>20</v>
      </c>
      <c r="I2859" s="17" t="s">
        <v>165</v>
      </c>
      <c r="J2859" s="17" t="str">
        <f>""</f>
        <v/>
      </c>
      <c r="K2859" s="17" t="str">
        <f>"PFES1162674367_0001"</f>
        <v>PFES1162674367_0001</v>
      </c>
      <c r="L2859" s="17">
        <v>1</v>
      </c>
      <c r="M2859" s="17">
        <v>4</v>
      </c>
    </row>
    <row r="2860" spans="1:13">
      <c r="A2860" s="6">
        <v>43516</v>
      </c>
      <c r="B2860" s="7">
        <v>0.64930555555555558</v>
      </c>
      <c r="C2860" s="17" t="str">
        <f>"FES1162674362"</f>
        <v>FES1162674362</v>
      </c>
      <c r="D2860" s="17" t="s">
        <v>18</v>
      </c>
      <c r="E2860" s="17" t="s">
        <v>62</v>
      </c>
      <c r="F2860" s="17" t="str">
        <f>"2170675431 "</f>
        <v xml:space="preserve">2170675431 </v>
      </c>
      <c r="G2860" s="17" t="str">
        <f t="shared" si="82"/>
        <v>ON1</v>
      </c>
      <c r="H2860" s="17" t="s">
        <v>20</v>
      </c>
      <c r="I2860" s="17" t="s">
        <v>63</v>
      </c>
      <c r="J2860" s="17" t="str">
        <f>""</f>
        <v/>
      </c>
      <c r="K2860" s="17" t="str">
        <f>"PFES1162674362_0001"</f>
        <v>PFES1162674362_0001</v>
      </c>
      <c r="L2860" s="17">
        <v>1</v>
      </c>
      <c r="M2860" s="17">
        <v>4</v>
      </c>
    </row>
    <row r="2861" spans="1:13">
      <c r="A2861" s="6">
        <v>43516</v>
      </c>
      <c r="B2861" s="7">
        <v>0.64861111111111114</v>
      </c>
      <c r="C2861" s="17" t="str">
        <f>"FES1162674391"</f>
        <v>FES1162674391</v>
      </c>
      <c r="D2861" s="17" t="s">
        <v>18</v>
      </c>
      <c r="E2861" s="17" t="s">
        <v>664</v>
      </c>
      <c r="F2861" s="17" t="str">
        <f>"2170675456 "</f>
        <v xml:space="preserve">2170675456 </v>
      </c>
      <c r="G2861" s="17" t="str">
        <f t="shared" si="82"/>
        <v>ON1</v>
      </c>
      <c r="H2861" s="17" t="s">
        <v>20</v>
      </c>
      <c r="I2861" s="17" t="s">
        <v>89</v>
      </c>
      <c r="J2861" s="17" t="str">
        <f>""</f>
        <v/>
      </c>
      <c r="K2861" s="17" t="str">
        <f>"PFES1162674391_0001"</f>
        <v>PFES1162674391_0001</v>
      </c>
      <c r="L2861" s="17">
        <v>1</v>
      </c>
      <c r="M2861" s="17">
        <v>1</v>
      </c>
    </row>
    <row r="2862" spans="1:13">
      <c r="A2862" s="6">
        <v>43516</v>
      </c>
      <c r="B2862" s="7">
        <v>0.64861111111111114</v>
      </c>
      <c r="C2862" s="17" t="str">
        <f>"FES1162674389"</f>
        <v>FES1162674389</v>
      </c>
      <c r="D2862" s="17" t="s">
        <v>18</v>
      </c>
      <c r="E2862" s="17" t="s">
        <v>88</v>
      </c>
      <c r="F2862" s="17" t="str">
        <f>"2170675455 "</f>
        <v xml:space="preserve">2170675455 </v>
      </c>
      <c r="G2862" s="17" t="str">
        <f t="shared" si="82"/>
        <v>ON1</v>
      </c>
      <c r="H2862" s="17" t="s">
        <v>20</v>
      </c>
      <c r="I2862" s="17" t="s">
        <v>53</v>
      </c>
      <c r="J2862" s="17" t="str">
        <f>""</f>
        <v/>
      </c>
      <c r="K2862" s="17" t="str">
        <f>"PFES1162674389_0001"</f>
        <v>PFES1162674389_0001</v>
      </c>
      <c r="L2862" s="17">
        <v>1</v>
      </c>
      <c r="M2862" s="17">
        <v>1</v>
      </c>
    </row>
    <row r="2863" spans="1:13">
      <c r="A2863" s="6">
        <v>43516</v>
      </c>
      <c r="B2863" s="7">
        <v>0.6479166666666667</v>
      </c>
      <c r="C2863" s="17" t="str">
        <f>"FES1162674377"</f>
        <v>FES1162674377</v>
      </c>
      <c r="D2863" s="17" t="s">
        <v>18</v>
      </c>
      <c r="E2863" s="17" t="s">
        <v>88</v>
      </c>
      <c r="F2863" s="17" t="str">
        <f>"2170675445 "</f>
        <v xml:space="preserve">2170675445 </v>
      </c>
      <c r="G2863" s="17" t="str">
        <f>"DBC"</f>
        <v>DBC</v>
      </c>
      <c r="H2863" s="17" t="s">
        <v>20</v>
      </c>
      <c r="I2863" s="17" t="s">
        <v>53</v>
      </c>
      <c r="J2863" s="17" t="str">
        <f>"FRAGILE OIL"</f>
        <v>FRAGILE OIL</v>
      </c>
      <c r="K2863" s="17" t="str">
        <f>"PFES1162674377_0001"</f>
        <v>PFES1162674377_0001</v>
      </c>
      <c r="L2863" s="17">
        <v>1</v>
      </c>
      <c r="M2863" s="17">
        <v>2</v>
      </c>
    </row>
    <row r="2864" spans="1:13">
      <c r="A2864" s="6">
        <v>43516</v>
      </c>
      <c r="B2864" s="7">
        <v>0.64722222222222225</v>
      </c>
      <c r="C2864" s="17" t="str">
        <f>"FES1162674365"</f>
        <v>FES1162674365</v>
      </c>
      <c r="D2864" s="17" t="s">
        <v>18</v>
      </c>
      <c r="E2864" s="17" t="s">
        <v>234</v>
      </c>
      <c r="F2864" s="17" t="str">
        <f>"2170675420 "</f>
        <v xml:space="preserve">2170675420 </v>
      </c>
      <c r="G2864" s="17" t="str">
        <f t="shared" ref="G2864:G2894" si="83">"ON1"</f>
        <v>ON1</v>
      </c>
      <c r="H2864" s="17" t="s">
        <v>20</v>
      </c>
      <c r="I2864" s="17" t="s">
        <v>233</v>
      </c>
      <c r="J2864" s="17" t="str">
        <f>""</f>
        <v/>
      </c>
      <c r="K2864" s="17" t="str">
        <f>"PFES1162674365_0001"</f>
        <v>PFES1162674365_0001</v>
      </c>
      <c r="L2864" s="17">
        <v>1</v>
      </c>
      <c r="M2864" s="17">
        <v>2</v>
      </c>
    </row>
    <row r="2865" spans="1:13">
      <c r="A2865" s="6">
        <v>43516</v>
      </c>
      <c r="B2865" s="7">
        <v>0.64583333333333337</v>
      </c>
      <c r="C2865" s="17" t="str">
        <f>"FES1162674363"</f>
        <v>FES1162674363</v>
      </c>
      <c r="D2865" s="17" t="s">
        <v>18</v>
      </c>
      <c r="E2865" s="17" t="s">
        <v>1072</v>
      </c>
      <c r="F2865" s="17" t="str">
        <f>"2170673730 "</f>
        <v xml:space="preserve">2170673730 </v>
      </c>
      <c r="G2865" s="17" t="str">
        <f t="shared" si="83"/>
        <v>ON1</v>
      </c>
      <c r="H2865" s="17" t="s">
        <v>20</v>
      </c>
      <c r="I2865" s="17" t="s">
        <v>139</v>
      </c>
      <c r="J2865" s="17" t="str">
        <f>""</f>
        <v/>
      </c>
      <c r="K2865" s="17" t="str">
        <f>"PFES1162674363_0001"</f>
        <v>PFES1162674363_0001</v>
      </c>
      <c r="L2865" s="17">
        <v>1</v>
      </c>
      <c r="M2865" s="17">
        <v>3</v>
      </c>
    </row>
    <row r="2866" spans="1:13">
      <c r="A2866" s="6">
        <v>43516</v>
      </c>
      <c r="B2866" s="7">
        <v>0.64444444444444449</v>
      </c>
      <c r="C2866" s="17" t="str">
        <f>"FES1162674359"</f>
        <v>FES1162674359</v>
      </c>
      <c r="D2866" s="17" t="s">
        <v>18</v>
      </c>
      <c r="E2866" s="17" t="s">
        <v>287</v>
      </c>
      <c r="F2866" s="17" t="str">
        <f>"2170675426 "</f>
        <v xml:space="preserve">2170675426 </v>
      </c>
      <c r="G2866" s="17" t="str">
        <f t="shared" si="83"/>
        <v>ON1</v>
      </c>
      <c r="H2866" s="17" t="s">
        <v>20</v>
      </c>
      <c r="I2866" s="17" t="s">
        <v>288</v>
      </c>
      <c r="J2866" s="17" t="str">
        <f>""</f>
        <v/>
      </c>
      <c r="K2866" s="17" t="str">
        <f>"PFES1162674359_0001"</f>
        <v>PFES1162674359_0001</v>
      </c>
      <c r="L2866" s="17">
        <v>1</v>
      </c>
      <c r="M2866" s="17">
        <v>3</v>
      </c>
    </row>
    <row r="2867" spans="1:13">
      <c r="A2867" s="6">
        <v>43516</v>
      </c>
      <c r="B2867" s="7">
        <v>0.64374999999999993</v>
      </c>
      <c r="C2867" s="17" t="str">
        <f>"FES1162674322"</f>
        <v>FES1162674322</v>
      </c>
      <c r="D2867" s="17" t="s">
        <v>18</v>
      </c>
      <c r="E2867" s="17" t="s">
        <v>756</v>
      </c>
      <c r="F2867" s="17" t="str">
        <f>"2170675390 "</f>
        <v xml:space="preserve">2170675390 </v>
      </c>
      <c r="G2867" s="17" t="str">
        <f t="shared" si="83"/>
        <v>ON1</v>
      </c>
      <c r="H2867" s="17" t="s">
        <v>20</v>
      </c>
      <c r="I2867" s="17" t="s">
        <v>55</v>
      </c>
      <c r="J2867" s="17" t="str">
        <f>""</f>
        <v/>
      </c>
      <c r="K2867" s="17" t="str">
        <f>"PFES1162674322_0001"</f>
        <v>PFES1162674322_0001</v>
      </c>
      <c r="L2867" s="17">
        <v>1</v>
      </c>
      <c r="M2867" s="17">
        <v>5</v>
      </c>
    </row>
    <row r="2868" spans="1:13">
      <c r="A2868" s="6">
        <v>43516</v>
      </c>
      <c r="B2868" s="7">
        <v>0.6430555555555556</v>
      </c>
      <c r="C2868" s="17" t="str">
        <f>"FES1162674366"</f>
        <v>FES1162674366</v>
      </c>
      <c r="D2868" s="17" t="s">
        <v>18</v>
      </c>
      <c r="E2868" s="17" t="s">
        <v>1073</v>
      </c>
      <c r="F2868" s="17" t="str">
        <f>"2170675425 "</f>
        <v xml:space="preserve">2170675425 </v>
      </c>
      <c r="G2868" s="17" t="str">
        <f t="shared" si="83"/>
        <v>ON1</v>
      </c>
      <c r="H2868" s="17" t="s">
        <v>20</v>
      </c>
      <c r="I2868" s="17" t="s">
        <v>362</v>
      </c>
      <c r="J2868" s="17" t="str">
        <f>""</f>
        <v/>
      </c>
      <c r="K2868" s="17" t="str">
        <f>"PFES1162674366_0001"</f>
        <v>PFES1162674366_0001</v>
      </c>
      <c r="L2868" s="17">
        <v>1</v>
      </c>
      <c r="M2868" s="17">
        <v>1</v>
      </c>
    </row>
    <row r="2869" spans="1:13">
      <c r="A2869" s="6">
        <v>43516</v>
      </c>
      <c r="B2869" s="7">
        <v>0.64236111111111105</v>
      </c>
      <c r="C2869" s="17" t="str">
        <f>"FES1162674370"</f>
        <v>FES1162674370</v>
      </c>
      <c r="D2869" s="17" t="s">
        <v>18</v>
      </c>
      <c r="E2869" s="17" t="s">
        <v>581</v>
      </c>
      <c r="F2869" s="17" t="str">
        <f>"217065437 "</f>
        <v xml:space="preserve">217065437 </v>
      </c>
      <c r="G2869" s="17" t="str">
        <f t="shared" si="83"/>
        <v>ON1</v>
      </c>
      <c r="H2869" s="17" t="s">
        <v>20</v>
      </c>
      <c r="I2869" s="17" t="s">
        <v>504</v>
      </c>
      <c r="J2869" s="17" t="str">
        <f>""</f>
        <v/>
      </c>
      <c r="K2869" s="17" t="str">
        <f>"PFES1162674370_0001"</f>
        <v>PFES1162674370_0001</v>
      </c>
      <c r="L2869" s="17">
        <v>1</v>
      </c>
      <c r="M2869" s="17">
        <v>1</v>
      </c>
    </row>
    <row r="2870" spans="1:13">
      <c r="A2870" s="6">
        <v>43516</v>
      </c>
      <c r="B2870" s="7">
        <v>0.64236111111111105</v>
      </c>
      <c r="C2870" s="17" t="str">
        <f>"FES1162674371"</f>
        <v>FES1162674371</v>
      </c>
      <c r="D2870" s="17" t="s">
        <v>18</v>
      </c>
      <c r="E2870" s="17" t="s">
        <v>136</v>
      </c>
      <c r="F2870" s="17" t="str">
        <f>"2170675439 "</f>
        <v xml:space="preserve">2170675439 </v>
      </c>
      <c r="G2870" s="17" t="str">
        <f t="shared" si="83"/>
        <v>ON1</v>
      </c>
      <c r="H2870" s="17" t="s">
        <v>20</v>
      </c>
      <c r="I2870" s="17" t="s">
        <v>137</v>
      </c>
      <c r="J2870" s="17" t="str">
        <f>""</f>
        <v/>
      </c>
      <c r="K2870" s="17" t="str">
        <f>"PFES1162674371_0001"</f>
        <v>PFES1162674371_0001</v>
      </c>
      <c r="L2870" s="17">
        <v>1</v>
      </c>
      <c r="M2870" s="17">
        <v>1</v>
      </c>
    </row>
    <row r="2871" spans="1:13">
      <c r="A2871" s="6">
        <v>43516</v>
      </c>
      <c r="B2871" s="7">
        <v>0.64166666666666672</v>
      </c>
      <c r="C2871" s="17" t="str">
        <f>"FES1162674379"</f>
        <v>FES1162674379</v>
      </c>
      <c r="D2871" s="17" t="s">
        <v>18</v>
      </c>
      <c r="E2871" s="17" t="s">
        <v>120</v>
      </c>
      <c r="F2871" s="17" t="str">
        <f>"2170675447 "</f>
        <v xml:space="preserve">2170675447 </v>
      </c>
      <c r="G2871" s="17" t="str">
        <f t="shared" si="83"/>
        <v>ON1</v>
      </c>
      <c r="H2871" s="17" t="s">
        <v>20</v>
      </c>
      <c r="I2871" s="17" t="s">
        <v>121</v>
      </c>
      <c r="J2871" s="17" t="str">
        <f>""</f>
        <v/>
      </c>
      <c r="K2871" s="17" t="str">
        <f>"PFES1162674379_0001"</f>
        <v>PFES1162674379_0001</v>
      </c>
      <c r="L2871" s="17">
        <v>1</v>
      </c>
      <c r="M2871" s="17">
        <v>1</v>
      </c>
    </row>
    <row r="2872" spans="1:13">
      <c r="A2872" s="6">
        <v>43516</v>
      </c>
      <c r="B2872" s="7">
        <v>0.64166666666666672</v>
      </c>
      <c r="C2872" s="17" t="str">
        <f>"FES1162674326"</f>
        <v>FES1162674326</v>
      </c>
      <c r="D2872" s="17" t="s">
        <v>18</v>
      </c>
      <c r="E2872" s="17" t="s">
        <v>756</v>
      </c>
      <c r="F2872" s="17" t="str">
        <f>"2170675395 "</f>
        <v xml:space="preserve">2170675395 </v>
      </c>
      <c r="G2872" s="17" t="str">
        <f t="shared" si="83"/>
        <v>ON1</v>
      </c>
      <c r="H2872" s="17" t="s">
        <v>20</v>
      </c>
      <c r="I2872" s="17" t="s">
        <v>55</v>
      </c>
      <c r="J2872" s="17" t="str">
        <f>""</f>
        <v/>
      </c>
      <c r="K2872" s="17" t="str">
        <f>"PFES1162674326_0001"</f>
        <v>PFES1162674326_0001</v>
      </c>
      <c r="L2872" s="17">
        <v>1</v>
      </c>
      <c r="M2872" s="17">
        <v>3</v>
      </c>
    </row>
    <row r="2873" spans="1:13">
      <c r="A2873" s="6">
        <v>43516</v>
      </c>
      <c r="B2873" s="7">
        <v>0.64166666666666672</v>
      </c>
      <c r="C2873" s="17" t="str">
        <f>"FES1162674374"</f>
        <v>FES1162674374</v>
      </c>
      <c r="D2873" s="17" t="s">
        <v>18</v>
      </c>
      <c r="E2873" s="17" t="s">
        <v>44</v>
      </c>
      <c r="F2873" s="17" t="str">
        <f>"2170675442 "</f>
        <v xml:space="preserve">2170675442 </v>
      </c>
      <c r="G2873" s="17" t="str">
        <f t="shared" si="83"/>
        <v>ON1</v>
      </c>
      <c r="H2873" s="17" t="s">
        <v>20</v>
      </c>
      <c r="I2873" s="17" t="s">
        <v>39</v>
      </c>
      <c r="J2873" s="17" t="str">
        <f>""</f>
        <v/>
      </c>
      <c r="K2873" s="17" t="str">
        <f>"PFES1162674374_0001"</f>
        <v>PFES1162674374_0001</v>
      </c>
      <c r="L2873" s="17">
        <v>1</v>
      </c>
      <c r="M2873" s="17">
        <v>1</v>
      </c>
    </row>
    <row r="2874" spans="1:13">
      <c r="A2874" s="6">
        <v>43516</v>
      </c>
      <c r="B2874" s="7">
        <v>0.64166666666666672</v>
      </c>
      <c r="C2874" s="17" t="str">
        <f>"FES1162674323"</f>
        <v>FES1162674323</v>
      </c>
      <c r="D2874" s="17" t="s">
        <v>18</v>
      </c>
      <c r="E2874" s="17" t="s">
        <v>756</v>
      </c>
      <c r="F2874" s="17" t="str">
        <f>"2170675392 "</f>
        <v xml:space="preserve">2170675392 </v>
      </c>
      <c r="G2874" s="17" t="str">
        <f t="shared" si="83"/>
        <v>ON1</v>
      </c>
      <c r="H2874" s="17" t="s">
        <v>20</v>
      </c>
      <c r="I2874" s="17" t="s">
        <v>55</v>
      </c>
      <c r="J2874" s="17" t="str">
        <f>""</f>
        <v/>
      </c>
      <c r="K2874" s="17" t="str">
        <f>"PFES1162674323_0001"</f>
        <v>PFES1162674323_0001</v>
      </c>
      <c r="L2874" s="17">
        <v>1</v>
      </c>
      <c r="M2874" s="17">
        <v>1</v>
      </c>
    </row>
    <row r="2875" spans="1:13">
      <c r="A2875" s="6">
        <v>43516</v>
      </c>
      <c r="B2875" s="7">
        <v>0.64097222222222217</v>
      </c>
      <c r="C2875" s="17" t="str">
        <f>"FES1162674321"</f>
        <v>FES1162674321</v>
      </c>
      <c r="D2875" s="17" t="s">
        <v>18</v>
      </c>
      <c r="E2875" s="17" t="s">
        <v>1074</v>
      </c>
      <c r="F2875" s="17" t="str">
        <f>"217065359 "</f>
        <v xml:space="preserve">217065359 </v>
      </c>
      <c r="G2875" s="17" t="str">
        <f t="shared" si="83"/>
        <v>ON1</v>
      </c>
      <c r="H2875" s="17" t="s">
        <v>20</v>
      </c>
      <c r="I2875" s="17" t="s">
        <v>420</v>
      </c>
      <c r="J2875" s="17" t="str">
        <f>""</f>
        <v/>
      </c>
      <c r="K2875" s="17" t="str">
        <f>"PFES1162674321_0001"</f>
        <v>PFES1162674321_0001</v>
      </c>
      <c r="L2875" s="17">
        <v>1</v>
      </c>
      <c r="M2875" s="17">
        <v>1</v>
      </c>
    </row>
    <row r="2876" spans="1:13">
      <c r="A2876" s="6">
        <v>43516</v>
      </c>
      <c r="B2876" s="7">
        <v>0.64097222222222217</v>
      </c>
      <c r="C2876" s="17" t="str">
        <f>"FES1162674385"</f>
        <v>FES1162674385</v>
      </c>
      <c r="D2876" s="17" t="s">
        <v>18</v>
      </c>
      <c r="E2876" s="17" t="s">
        <v>1045</v>
      </c>
      <c r="F2876" s="17" t="str">
        <f>"2170675449 "</f>
        <v xml:space="preserve">2170675449 </v>
      </c>
      <c r="G2876" s="17" t="str">
        <f t="shared" si="83"/>
        <v>ON1</v>
      </c>
      <c r="H2876" s="17" t="s">
        <v>20</v>
      </c>
      <c r="I2876" s="17" t="s">
        <v>143</v>
      </c>
      <c r="J2876" s="17" t="str">
        <f>""</f>
        <v/>
      </c>
      <c r="K2876" s="17" t="str">
        <f>"PFES1162674385_0001"</f>
        <v>PFES1162674385_0001</v>
      </c>
      <c r="L2876" s="17">
        <v>1</v>
      </c>
      <c r="M2876" s="17">
        <v>1</v>
      </c>
    </row>
    <row r="2877" spans="1:13">
      <c r="A2877" s="6">
        <v>43516</v>
      </c>
      <c r="B2877" s="7">
        <v>0.64027777777777783</v>
      </c>
      <c r="C2877" s="17" t="str">
        <f>"FES1162674390"</f>
        <v>FES1162674390</v>
      </c>
      <c r="D2877" s="17" t="s">
        <v>18</v>
      </c>
      <c r="E2877" s="17" t="s">
        <v>47</v>
      </c>
      <c r="F2877" s="17" t="str">
        <f>"2170674950 "</f>
        <v xml:space="preserve">2170674950 </v>
      </c>
      <c r="G2877" s="17" t="str">
        <f t="shared" si="83"/>
        <v>ON1</v>
      </c>
      <c r="H2877" s="17" t="s">
        <v>20</v>
      </c>
      <c r="I2877" s="17" t="s">
        <v>48</v>
      </c>
      <c r="J2877" s="17" t="str">
        <f>""</f>
        <v/>
      </c>
      <c r="K2877" s="17" t="str">
        <f>"PFES1162674390_0001"</f>
        <v>PFES1162674390_0001</v>
      </c>
      <c r="L2877" s="17">
        <v>1</v>
      </c>
      <c r="M2877" s="17">
        <v>1</v>
      </c>
    </row>
    <row r="2878" spans="1:13">
      <c r="A2878" s="6">
        <v>43516</v>
      </c>
      <c r="B2878" s="7">
        <v>0.64027777777777783</v>
      </c>
      <c r="C2878" s="17" t="str">
        <f>"FES1162674382"</f>
        <v>FES1162674382</v>
      </c>
      <c r="D2878" s="17" t="s">
        <v>18</v>
      </c>
      <c r="E2878" s="17" t="s">
        <v>47</v>
      </c>
      <c r="F2878" s="17" t="str">
        <f>"2170671826 "</f>
        <v xml:space="preserve">2170671826 </v>
      </c>
      <c r="G2878" s="17" t="str">
        <f t="shared" si="83"/>
        <v>ON1</v>
      </c>
      <c r="H2878" s="17" t="s">
        <v>20</v>
      </c>
      <c r="I2878" s="17" t="s">
        <v>48</v>
      </c>
      <c r="J2878" s="17" t="str">
        <f>""</f>
        <v/>
      </c>
      <c r="K2878" s="17" t="str">
        <f>"PFES1162674382_0001"</f>
        <v>PFES1162674382_0001</v>
      </c>
      <c r="L2878" s="17">
        <v>1</v>
      </c>
      <c r="M2878" s="17">
        <v>1</v>
      </c>
    </row>
    <row r="2879" spans="1:13">
      <c r="A2879" s="6">
        <v>43516</v>
      </c>
      <c r="B2879" s="7">
        <v>0.63958333333333328</v>
      </c>
      <c r="C2879" s="17" t="str">
        <f>"FES1162674384"</f>
        <v>FES1162674384</v>
      </c>
      <c r="D2879" s="17" t="s">
        <v>18</v>
      </c>
      <c r="E2879" s="17" t="s">
        <v>782</v>
      </c>
      <c r="F2879" s="17" t="str">
        <f>"2170675448 "</f>
        <v xml:space="preserve">2170675448 </v>
      </c>
      <c r="G2879" s="17" t="str">
        <f t="shared" si="83"/>
        <v>ON1</v>
      </c>
      <c r="H2879" s="17" t="s">
        <v>20</v>
      </c>
      <c r="I2879" s="17" t="s">
        <v>153</v>
      </c>
      <c r="J2879" s="17" t="str">
        <f>""</f>
        <v/>
      </c>
      <c r="K2879" s="17" t="str">
        <f>"PFES1162674384_0001"</f>
        <v>PFES1162674384_0001</v>
      </c>
      <c r="L2879" s="17">
        <v>1</v>
      </c>
      <c r="M2879" s="17">
        <v>1</v>
      </c>
    </row>
    <row r="2880" spans="1:13">
      <c r="A2880" s="6">
        <v>43516</v>
      </c>
      <c r="B2880" s="7">
        <v>0.63958333333333328</v>
      </c>
      <c r="C2880" s="17" t="str">
        <f>"FES1162674383"</f>
        <v>FES1162674383</v>
      </c>
      <c r="D2880" s="17" t="s">
        <v>18</v>
      </c>
      <c r="E2880" s="17" t="s">
        <v>47</v>
      </c>
      <c r="F2880" s="17" t="str">
        <f>"2170671828 "</f>
        <v xml:space="preserve">2170671828 </v>
      </c>
      <c r="G2880" s="17" t="str">
        <f t="shared" si="83"/>
        <v>ON1</v>
      </c>
      <c r="H2880" s="17" t="s">
        <v>20</v>
      </c>
      <c r="I2880" s="17" t="s">
        <v>48</v>
      </c>
      <c r="J2880" s="17" t="str">
        <f>""</f>
        <v/>
      </c>
      <c r="K2880" s="17" t="str">
        <f>"PFES1162674383_0001"</f>
        <v>PFES1162674383_0001</v>
      </c>
      <c r="L2880" s="17">
        <v>1</v>
      </c>
      <c r="M2880" s="17">
        <v>1</v>
      </c>
    </row>
    <row r="2881" spans="1:13">
      <c r="A2881" s="6">
        <v>43516</v>
      </c>
      <c r="B2881" s="7">
        <v>0.63750000000000007</v>
      </c>
      <c r="C2881" s="17" t="str">
        <f>"FES1162674325"</f>
        <v>FES1162674325</v>
      </c>
      <c r="D2881" s="17" t="s">
        <v>18</v>
      </c>
      <c r="E2881" s="17" t="s">
        <v>756</v>
      </c>
      <c r="F2881" s="17" t="str">
        <f>"2170675394 "</f>
        <v xml:space="preserve">2170675394 </v>
      </c>
      <c r="G2881" s="17" t="str">
        <f t="shared" si="83"/>
        <v>ON1</v>
      </c>
      <c r="H2881" s="17" t="s">
        <v>20</v>
      </c>
      <c r="I2881" s="17" t="s">
        <v>55</v>
      </c>
      <c r="J2881" s="17" t="str">
        <f>""</f>
        <v/>
      </c>
      <c r="K2881" s="17" t="str">
        <f>"PFES1162674325_0001"</f>
        <v>PFES1162674325_0001</v>
      </c>
      <c r="L2881" s="17">
        <v>1</v>
      </c>
      <c r="M2881" s="17">
        <v>5</v>
      </c>
    </row>
    <row r="2882" spans="1:13">
      <c r="A2882" s="6">
        <v>43516</v>
      </c>
      <c r="B2882" s="7">
        <v>0.63611111111111118</v>
      </c>
      <c r="C2882" s="17" t="str">
        <f>"FES1162674364"</f>
        <v>FES1162674364</v>
      </c>
      <c r="D2882" s="17" t="s">
        <v>18</v>
      </c>
      <c r="E2882" s="17" t="s">
        <v>350</v>
      </c>
      <c r="F2882" s="17" t="str">
        <f>"2170675322 "</f>
        <v xml:space="preserve">2170675322 </v>
      </c>
      <c r="G2882" s="17" t="str">
        <f t="shared" si="83"/>
        <v>ON1</v>
      </c>
      <c r="H2882" s="17" t="s">
        <v>20</v>
      </c>
      <c r="I2882" s="17" t="s">
        <v>351</v>
      </c>
      <c r="J2882" s="17" t="str">
        <f>""</f>
        <v/>
      </c>
      <c r="K2882" s="17" t="str">
        <f>"PFES1162674364_0001"</f>
        <v>PFES1162674364_0001</v>
      </c>
      <c r="L2882" s="17">
        <v>1</v>
      </c>
      <c r="M2882" s="17">
        <v>6</v>
      </c>
    </row>
    <row r="2883" spans="1:13">
      <c r="A2883" s="6">
        <v>43516</v>
      </c>
      <c r="B2883" s="7">
        <v>0.61527777777777781</v>
      </c>
      <c r="C2883" s="17" t="str">
        <f>"FES1162674340"</f>
        <v>FES1162674340</v>
      </c>
      <c r="D2883" s="17" t="s">
        <v>18</v>
      </c>
      <c r="E2883" s="17" t="s">
        <v>140</v>
      </c>
      <c r="F2883" s="17" t="str">
        <f>"2170675408 "</f>
        <v xml:space="preserve">2170675408 </v>
      </c>
      <c r="G2883" s="17" t="str">
        <f t="shared" si="83"/>
        <v>ON1</v>
      </c>
      <c r="H2883" s="17" t="s">
        <v>20</v>
      </c>
      <c r="I2883" s="17" t="s">
        <v>141</v>
      </c>
      <c r="J2883" s="17" t="str">
        <f>""</f>
        <v/>
      </c>
      <c r="K2883" s="17" t="str">
        <f>"PFES1162674340_0001"</f>
        <v>PFES1162674340_0001</v>
      </c>
      <c r="L2883" s="17">
        <v>2</v>
      </c>
      <c r="M2883" s="17">
        <v>8</v>
      </c>
    </row>
    <row r="2884" spans="1:13">
      <c r="A2884" s="6">
        <v>43496</v>
      </c>
      <c r="B2884" s="7">
        <v>0.62430555555555556</v>
      </c>
      <c r="C2884" s="17" t="str">
        <f>"FES1162674340"</f>
        <v>FES1162674340</v>
      </c>
      <c r="D2884" s="17" t="s">
        <v>18</v>
      </c>
      <c r="E2884" s="17" t="s">
        <v>417</v>
      </c>
      <c r="F2884" s="17" t="str">
        <f>"2170669892 "</f>
        <v xml:space="preserve">2170669892 </v>
      </c>
      <c r="G2884" s="17" t="str">
        <f t="shared" si="83"/>
        <v>ON1</v>
      </c>
      <c r="H2884" s="17" t="s">
        <v>20</v>
      </c>
      <c r="I2884" s="17" t="s">
        <v>418</v>
      </c>
      <c r="J2884" s="17" t="str">
        <f>""</f>
        <v/>
      </c>
      <c r="K2884" s="17" t="str">
        <f>"PFES1162674340_0002"</f>
        <v>PFES1162674340_0002</v>
      </c>
      <c r="L2884" s="17">
        <v>1</v>
      </c>
      <c r="M2884" s="17">
        <v>1</v>
      </c>
    </row>
    <row r="2885" spans="1:13">
      <c r="A2885" s="6">
        <v>43516</v>
      </c>
      <c r="B2885" s="7">
        <v>0.61388888888888882</v>
      </c>
      <c r="C2885" s="17" t="str">
        <f>"FES1162674353"</f>
        <v>FES1162674353</v>
      </c>
      <c r="D2885" s="17" t="s">
        <v>18</v>
      </c>
      <c r="E2885" s="17" t="s">
        <v>1072</v>
      </c>
      <c r="F2885" s="17" t="str">
        <f>"2170673730 "</f>
        <v xml:space="preserve">2170673730 </v>
      </c>
      <c r="G2885" s="17" t="str">
        <f t="shared" si="83"/>
        <v>ON1</v>
      </c>
      <c r="H2885" s="17" t="s">
        <v>20</v>
      </c>
      <c r="I2885" s="17" t="s">
        <v>139</v>
      </c>
      <c r="J2885" s="17" t="str">
        <f>""</f>
        <v/>
      </c>
      <c r="K2885" s="17" t="str">
        <f>"PFES1162674353_0001"</f>
        <v>PFES1162674353_0001</v>
      </c>
      <c r="L2885" s="17">
        <v>1</v>
      </c>
      <c r="M2885" s="17">
        <v>3</v>
      </c>
    </row>
    <row r="2886" spans="1:13">
      <c r="A2886" s="6">
        <v>43516</v>
      </c>
      <c r="B2886" s="7">
        <v>0.61319444444444449</v>
      </c>
      <c r="C2886" s="17" t="str">
        <f>"FES1162674354"</f>
        <v>FES1162674354</v>
      </c>
      <c r="D2886" s="17" t="s">
        <v>18</v>
      </c>
      <c r="E2886" s="17" t="s">
        <v>178</v>
      </c>
      <c r="F2886" s="17" t="str">
        <f>"2170675291 "</f>
        <v xml:space="preserve">2170675291 </v>
      </c>
      <c r="G2886" s="17" t="str">
        <f t="shared" si="83"/>
        <v>ON1</v>
      </c>
      <c r="H2886" s="17" t="s">
        <v>20</v>
      </c>
      <c r="I2886" s="17" t="s">
        <v>29</v>
      </c>
      <c r="J2886" s="17" t="str">
        <f>""</f>
        <v/>
      </c>
      <c r="K2886" s="17" t="str">
        <f>"PFES1162674354_0001"</f>
        <v>PFES1162674354_0001</v>
      </c>
      <c r="L2886" s="17">
        <v>1</v>
      </c>
      <c r="M2886" s="17">
        <v>4</v>
      </c>
    </row>
    <row r="2887" spans="1:13">
      <c r="A2887" s="6">
        <v>43516</v>
      </c>
      <c r="B2887" s="7">
        <v>0.61249999999999993</v>
      </c>
      <c r="C2887" s="17" t="str">
        <f>"FES1162674351"</f>
        <v>FES1162674351</v>
      </c>
      <c r="D2887" s="17" t="s">
        <v>18</v>
      </c>
      <c r="E2887" s="17" t="s">
        <v>132</v>
      </c>
      <c r="F2887" s="17" t="str">
        <f>"2170675418 "</f>
        <v xml:space="preserve">2170675418 </v>
      </c>
      <c r="G2887" s="17" t="str">
        <f t="shared" si="83"/>
        <v>ON1</v>
      </c>
      <c r="H2887" s="17" t="s">
        <v>20</v>
      </c>
      <c r="I2887" s="17" t="s">
        <v>133</v>
      </c>
      <c r="J2887" s="17" t="str">
        <f>""</f>
        <v/>
      </c>
      <c r="K2887" s="17" t="str">
        <f>"PFES1162674351_0001"</f>
        <v>PFES1162674351_0001</v>
      </c>
      <c r="L2887" s="17">
        <v>1</v>
      </c>
      <c r="M2887" s="17">
        <v>4</v>
      </c>
    </row>
    <row r="2888" spans="1:13">
      <c r="A2888" s="6">
        <v>43516</v>
      </c>
      <c r="B2888" s="7">
        <v>0.6118055555555556</v>
      </c>
      <c r="C2888" s="17" t="str">
        <f>"FES1162674312"</f>
        <v>FES1162674312</v>
      </c>
      <c r="D2888" s="17" t="s">
        <v>18</v>
      </c>
      <c r="E2888" s="17" t="s">
        <v>386</v>
      </c>
      <c r="F2888" s="17" t="str">
        <f>"2170675379 "</f>
        <v xml:space="preserve">2170675379 </v>
      </c>
      <c r="G2888" s="17" t="str">
        <f t="shared" si="83"/>
        <v>ON1</v>
      </c>
      <c r="H2888" s="17" t="s">
        <v>20</v>
      </c>
      <c r="I2888" s="17" t="s">
        <v>41</v>
      </c>
      <c r="J2888" s="17" t="str">
        <f>""</f>
        <v/>
      </c>
      <c r="K2888" s="17" t="str">
        <f>"PFES1162674312_0001"</f>
        <v>PFES1162674312_0001</v>
      </c>
      <c r="L2888" s="17">
        <v>1</v>
      </c>
      <c r="M2888" s="17">
        <v>4</v>
      </c>
    </row>
    <row r="2889" spans="1:13">
      <c r="A2889" s="6">
        <v>43516</v>
      </c>
      <c r="B2889" s="7">
        <v>0.61111111111111105</v>
      </c>
      <c r="C2889" s="17" t="str">
        <f>"FES1162674341"</f>
        <v>FES1162674341</v>
      </c>
      <c r="D2889" s="17" t="s">
        <v>18</v>
      </c>
      <c r="E2889" s="17" t="s">
        <v>140</v>
      </c>
      <c r="F2889" s="17" t="str">
        <f>"2170675411 "</f>
        <v xml:space="preserve">2170675411 </v>
      </c>
      <c r="G2889" s="17" t="str">
        <f t="shared" si="83"/>
        <v>ON1</v>
      </c>
      <c r="H2889" s="17" t="s">
        <v>20</v>
      </c>
      <c r="I2889" s="17" t="s">
        <v>141</v>
      </c>
      <c r="J2889" s="17" t="str">
        <f>""</f>
        <v/>
      </c>
      <c r="K2889" s="17" t="str">
        <f>"PFES1162674341_0001"</f>
        <v>PFES1162674341_0001</v>
      </c>
      <c r="L2889" s="17">
        <v>1</v>
      </c>
      <c r="M2889" s="17">
        <v>4</v>
      </c>
    </row>
    <row r="2890" spans="1:13">
      <c r="A2890" s="6">
        <v>43516</v>
      </c>
      <c r="B2890" s="7">
        <v>0.61041666666666672</v>
      </c>
      <c r="C2890" s="17" t="str">
        <f>"FES1162674283"</f>
        <v>FES1162674283</v>
      </c>
      <c r="D2890" s="17" t="s">
        <v>18</v>
      </c>
      <c r="E2890" s="17" t="s">
        <v>432</v>
      </c>
      <c r="F2890" s="17" t="str">
        <f>"2170675297 "</f>
        <v xml:space="preserve">2170675297 </v>
      </c>
      <c r="G2890" s="17" t="str">
        <f t="shared" si="83"/>
        <v>ON1</v>
      </c>
      <c r="H2890" s="17" t="s">
        <v>20</v>
      </c>
      <c r="I2890" s="17" t="s">
        <v>433</v>
      </c>
      <c r="J2890" s="17" t="str">
        <f>""</f>
        <v/>
      </c>
      <c r="K2890" s="17" t="str">
        <f>"PFES1162674283_0001"</f>
        <v>PFES1162674283_0001</v>
      </c>
      <c r="L2890" s="17">
        <v>1</v>
      </c>
      <c r="M2890" s="17">
        <v>2</v>
      </c>
    </row>
    <row r="2891" spans="1:13">
      <c r="A2891" s="6">
        <v>43516</v>
      </c>
      <c r="B2891" s="7">
        <v>0.60902777777777783</v>
      </c>
      <c r="C2891" s="17" t="str">
        <f>"FES1162674348"</f>
        <v>FES1162674348</v>
      </c>
      <c r="D2891" s="17" t="s">
        <v>18</v>
      </c>
      <c r="E2891" s="17" t="s">
        <v>1075</v>
      </c>
      <c r="F2891" s="17" t="str">
        <f>"2170674884 "</f>
        <v xml:space="preserve">2170674884 </v>
      </c>
      <c r="G2891" s="17" t="str">
        <f t="shared" si="83"/>
        <v>ON1</v>
      </c>
      <c r="H2891" s="17" t="s">
        <v>20</v>
      </c>
      <c r="I2891" s="17" t="s">
        <v>213</v>
      </c>
      <c r="J2891" s="17" t="str">
        <f>""</f>
        <v/>
      </c>
      <c r="K2891" s="17" t="str">
        <f>"PFES1162674348_0001"</f>
        <v>PFES1162674348_0001</v>
      </c>
      <c r="L2891" s="17">
        <v>1</v>
      </c>
      <c r="M2891" s="17">
        <v>3</v>
      </c>
    </row>
    <row r="2892" spans="1:13">
      <c r="A2892" s="6">
        <v>43516</v>
      </c>
      <c r="B2892" s="7">
        <v>0.60833333333333328</v>
      </c>
      <c r="C2892" s="17" t="str">
        <f>"FES1162674334"</f>
        <v>FES1162674334</v>
      </c>
      <c r="D2892" s="17" t="s">
        <v>18</v>
      </c>
      <c r="E2892" s="17" t="s">
        <v>129</v>
      </c>
      <c r="F2892" s="17" t="str">
        <f>"2170675405 "</f>
        <v xml:space="preserve">2170675405 </v>
      </c>
      <c r="G2892" s="17" t="str">
        <f t="shared" si="83"/>
        <v>ON1</v>
      </c>
      <c r="H2892" s="17" t="s">
        <v>20</v>
      </c>
      <c r="I2892" s="17" t="s">
        <v>130</v>
      </c>
      <c r="J2892" s="17" t="str">
        <f>""</f>
        <v/>
      </c>
      <c r="K2892" s="17" t="str">
        <f>"PFES1162674334_0001"</f>
        <v>PFES1162674334_0001</v>
      </c>
      <c r="L2892" s="17">
        <v>1</v>
      </c>
      <c r="M2892" s="17">
        <v>3</v>
      </c>
    </row>
    <row r="2893" spans="1:13">
      <c r="A2893" s="6">
        <v>43516</v>
      </c>
      <c r="B2893" s="7">
        <v>0.60625000000000007</v>
      </c>
      <c r="C2893" s="17" t="str">
        <f>"FES1162674306"</f>
        <v>FES1162674306</v>
      </c>
      <c r="D2893" s="17" t="s">
        <v>18</v>
      </c>
      <c r="E2893" s="17" t="s">
        <v>323</v>
      </c>
      <c r="F2893" s="17" t="str">
        <f>"2170675369 "</f>
        <v xml:space="preserve">2170675369 </v>
      </c>
      <c r="G2893" s="17" t="str">
        <f t="shared" si="83"/>
        <v>ON1</v>
      </c>
      <c r="H2893" s="17" t="s">
        <v>20</v>
      </c>
      <c r="I2893" s="17" t="s">
        <v>324</v>
      </c>
      <c r="J2893" s="17" t="str">
        <f>""</f>
        <v/>
      </c>
      <c r="K2893" s="17" t="str">
        <f>"PFES1162674306_0001"</f>
        <v>PFES1162674306_0001</v>
      </c>
      <c r="L2893" s="17">
        <v>2</v>
      </c>
      <c r="M2893" s="17">
        <v>16</v>
      </c>
    </row>
    <row r="2894" spans="1:13">
      <c r="A2894" s="6">
        <v>43516</v>
      </c>
      <c r="B2894" s="7">
        <v>0.60625000000000007</v>
      </c>
      <c r="C2894" s="17" t="str">
        <f>"FES1162674306"</f>
        <v>FES1162674306</v>
      </c>
      <c r="D2894" s="17" t="s">
        <v>18</v>
      </c>
      <c r="E2894" s="17" t="s">
        <v>323</v>
      </c>
      <c r="F2894" s="17" t="str">
        <f>"2170675369 "</f>
        <v xml:space="preserve">2170675369 </v>
      </c>
      <c r="G2894" s="17" t="str">
        <f t="shared" si="83"/>
        <v>ON1</v>
      </c>
      <c r="H2894" s="17" t="s">
        <v>20</v>
      </c>
      <c r="I2894" s="17" t="s">
        <v>324</v>
      </c>
      <c r="J2894" s="17"/>
      <c r="K2894" s="17" t="str">
        <f>"PFES1162674306_0002"</f>
        <v>PFES1162674306_0002</v>
      </c>
      <c r="L2894" s="17">
        <v>2</v>
      </c>
      <c r="M2894" s="17">
        <v>16</v>
      </c>
    </row>
    <row r="2895" spans="1:13">
      <c r="A2895" s="6">
        <v>43516</v>
      </c>
      <c r="B2895" s="7">
        <v>0.60486111111111118</v>
      </c>
      <c r="C2895" s="17" t="str">
        <f>"FES1162674330"</f>
        <v>FES1162674330</v>
      </c>
      <c r="D2895" s="17" t="s">
        <v>18</v>
      </c>
      <c r="E2895" s="17" t="s">
        <v>19</v>
      </c>
      <c r="F2895" s="17" t="str">
        <f>"2170675399 "</f>
        <v xml:space="preserve">2170675399 </v>
      </c>
      <c r="G2895" s="17" t="str">
        <f>"DBC"</f>
        <v>DBC</v>
      </c>
      <c r="H2895" s="17" t="s">
        <v>20</v>
      </c>
      <c r="I2895" s="17" t="s">
        <v>21</v>
      </c>
      <c r="J2895" s="17" t="str">
        <f>""</f>
        <v/>
      </c>
      <c r="K2895" s="17" t="str">
        <f>"PFES1162674330_0001"</f>
        <v>PFES1162674330_0001</v>
      </c>
      <c r="L2895" s="17">
        <v>1</v>
      </c>
      <c r="M2895" s="17">
        <v>20</v>
      </c>
    </row>
    <row r="2896" spans="1:13">
      <c r="A2896" s="6">
        <v>43516</v>
      </c>
      <c r="B2896" s="7">
        <v>0.60347222222222219</v>
      </c>
      <c r="C2896" s="17" t="str">
        <f>"FES1162674188"</f>
        <v>FES1162674188</v>
      </c>
      <c r="D2896" s="17" t="s">
        <v>18</v>
      </c>
      <c r="E2896" s="17" t="s">
        <v>967</v>
      </c>
      <c r="F2896" s="17" t="str">
        <f>"2170675236 "</f>
        <v xml:space="preserve">2170675236 </v>
      </c>
      <c r="G2896" s="17" t="str">
        <f t="shared" ref="G2896:G2904" si="84">"ON1"</f>
        <v>ON1</v>
      </c>
      <c r="H2896" s="17" t="s">
        <v>20</v>
      </c>
      <c r="I2896" s="17" t="s">
        <v>117</v>
      </c>
      <c r="J2896" s="17" t="str">
        <f>""</f>
        <v/>
      </c>
      <c r="K2896" s="17" t="str">
        <f>"PFES1162674188_0001"</f>
        <v>PFES1162674188_0001</v>
      </c>
      <c r="L2896" s="17">
        <v>1</v>
      </c>
      <c r="M2896" s="17">
        <v>4</v>
      </c>
    </row>
    <row r="2897" spans="1:13">
      <c r="A2897" s="6">
        <v>43516</v>
      </c>
      <c r="B2897" s="7">
        <v>0.60277777777777775</v>
      </c>
      <c r="C2897" s="17" t="str">
        <f>"FES1162674300"</f>
        <v>FES1162674300</v>
      </c>
      <c r="D2897" s="17" t="s">
        <v>18</v>
      </c>
      <c r="E2897" s="17" t="s">
        <v>852</v>
      </c>
      <c r="F2897" s="17" t="str">
        <f>"2170675358 "</f>
        <v xml:space="preserve">2170675358 </v>
      </c>
      <c r="G2897" s="17" t="str">
        <f t="shared" si="84"/>
        <v>ON1</v>
      </c>
      <c r="H2897" s="17" t="s">
        <v>20</v>
      </c>
      <c r="I2897" s="17" t="s">
        <v>853</v>
      </c>
      <c r="J2897" s="17" t="str">
        <f>""</f>
        <v/>
      </c>
      <c r="K2897" s="17" t="str">
        <f>"PFES1162674300_0001"</f>
        <v>PFES1162674300_0001</v>
      </c>
      <c r="L2897" s="17">
        <v>1</v>
      </c>
      <c r="M2897" s="17">
        <v>7</v>
      </c>
    </row>
    <row r="2898" spans="1:13">
      <c r="A2898" s="6">
        <v>43516</v>
      </c>
      <c r="B2898" s="7">
        <v>0.60138888888888886</v>
      </c>
      <c r="C2898" s="17" t="str">
        <f>"FES1162674276"</f>
        <v>FES1162674276</v>
      </c>
      <c r="D2898" s="17" t="s">
        <v>18</v>
      </c>
      <c r="E2898" s="17" t="s">
        <v>129</v>
      </c>
      <c r="F2898" s="17" t="str">
        <f>"2170675001 "</f>
        <v xml:space="preserve">2170675001 </v>
      </c>
      <c r="G2898" s="17" t="str">
        <f t="shared" si="84"/>
        <v>ON1</v>
      </c>
      <c r="H2898" s="17" t="s">
        <v>20</v>
      </c>
      <c r="I2898" s="17" t="s">
        <v>130</v>
      </c>
      <c r="J2898" s="17" t="str">
        <f>""</f>
        <v/>
      </c>
      <c r="K2898" s="17" t="str">
        <f>"PFES1162674276_0001"</f>
        <v>PFES1162674276_0001</v>
      </c>
      <c r="L2898" s="17">
        <v>1</v>
      </c>
      <c r="M2898" s="17">
        <v>3</v>
      </c>
    </row>
    <row r="2899" spans="1:13">
      <c r="A2899" s="6">
        <v>43516</v>
      </c>
      <c r="B2899" s="7">
        <v>0.6</v>
      </c>
      <c r="C2899" s="17" t="str">
        <f>"FES1162674333"</f>
        <v>FES1162674333</v>
      </c>
      <c r="D2899" s="17" t="s">
        <v>18</v>
      </c>
      <c r="E2899" s="17" t="s">
        <v>382</v>
      </c>
      <c r="F2899" s="17" t="str">
        <f>"2170675404 "</f>
        <v xml:space="preserve">2170675404 </v>
      </c>
      <c r="G2899" s="17" t="str">
        <f t="shared" si="84"/>
        <v>ON1</v>
      </c>
      <c r="H2899" s="17" t="s">
        <v>20</v>
      </c>
      <c r="I2899" s="17" t="s">
        <v>383</v>
      </c>
      <c r="J2899" s="17" t="str">
        <f>""</f>
        <v/>
      </c>
      <c r="K2899" s="17" t="str">
        <f>"PFES1162674333_0001"</f>
        <v>PFES1162674333_0001</v>
      </c>
      <c r="L2899" s="17">
        <v>1</v>
      </c>
      <c r="M2899" s="17">
        <v>1</v>
      </c>
    </row>
    <row r="2900" spans="1:13">
      <c r="A2900" s="6">
        <v>43516</v>
      </c>
      <c r="B2900" s="7">
        <v>0.6</v>
      </c>
      <c r="C2900" s="17" t="str">
        <f>"FES1162674294"</f>
        <v>FES1162674294</v>
      </c>
      <c r="D2900" s="17" t="s">
        <v>18</v>
      </c>
      <c r="E2900" s="17" t="s">
        <v>530</v>
      </c>
      <c r="F2900" s="17" t="str">
        <f>"2170675353 "</f>
        <v xml:space="preserve">2170675353 </v>
      </c>
      <c r="G2900" s="17" t="str">
        <f t="shared" si="84"/>
        <v>ON1</v>
      </c>
      <c r="H2900" s="17" t="s">
        <v>20</v>
      </c>
      <c r="I2900" s="17" t="s">
        <v>531</v>
      </c>
      <c r="J2900" s="17" t="str">
        <f>""</f>
        <v/>
      </c>
      <c r="K2900" s="17" t="str">
        <f>"PFES1162674294_0001"</f>
        <v>PFES1162674294_0001</v>
      </c>
      <c r="L2900" s="17">
        <v>1</v>
      </c>
      <c r="M2900" s="17">
        <v>2</v>
      </c>
    </row>
    <row r="2901" spans="1:13">
      <c r="A2901" s="6">
        <v>43516</v>
      </c>
      <c r="B2901" s="7">
        <v>0.6</v>
      </c>
      <c r="C2901" s="17" t="str">
        <f>"FES1162674350"</f>
        <v>FES1162674350</v>
      </c>
      <c r="D2901" s="17" t="s">
        <v>18</v>
      </c>
      <c r="E2901" s="17" t="s">
        <v>243</v>
      </c>
      <c r="F2901" s="17" t="str">
        <f>"2170675403 "</f>
        <v xml:space="preserve">2170675403 </v>
      </c>
      <c r="G2901" s="17" t="str">
        <f t="shared" si="84"/>
        <v>ON1</v>
      </c>
      <c r="H2901" s="17" t="s">
        <v>20</v>
      </c>
      <c r="I2901" s="17" t="s">
        <v>244</v>
      </c>
      <c r="J2901" s="17" t="str">
        <f>""</f>
        <v/>
      </c>
      <c r="K2901" s="17" t="str">
        <f>"PFES1162674350_0001"</f>
        <v>PFES1162674350_0001</v>
      </c>
      <c r="L2901" s="17">
        <v>1</v>
      </c>
      <c r="M2901" s="17">
        <v>1</v>
      </c>
    </row>
    <row r="2902" spans="1:13">
      <c r="A2902" s="6">
        <v>43516</v>
      </c>
      <c r="B2902" s="7">
        <v>0.59930555555555554</v>
      </c>
      <c r="C2902" s="17" t="str">
        <f>"FES1162674357"</f>
        <v>FES1162674357</v>
      </c>
      <c r="D2902" s="17" t="s">
        <v>18</v>
      </c>
      <c r="E2902" s="17" t="s">
        <v>88</v>
      </c>
      <c r="F2902" s="17" t="str">
        <f>"217067423 "</f>
        <v xml:space="preserve">217067423 </v>
      </c>
      <c r="G2902" s="17" t="str">
        <f t="shared" si="84"/>
        <v>ON1</v>
      </c>
      <c r="H2902" s="17" t="s">
        <v>20</v>
      </c>
      <c r="I2902" s="17" t="s">
        <v>53</v>
      </c>
      <c r="J2902" s="17" t="str">
        <f>""</f>
        <v/>
      </c>
      <c r="K2902" s="17" t="str">
        <f>"PFES1162674357_0001"</f>
        <v>PFES1162674357_0001</v>
      </c>
      <c r="L2902" s="17">
        <v>1</v>
      </c>
      <c r="M2902" s="17">
        <v>1</v>
      </c>
    </row>
    <row r="2903" spans="1:13">
      <c r="A2903" s="6">
        <v>43516</v>
      </c>
      <c r="B2903" s="7">
        <v>0.59930555555555554</v>
      </c>
      <c r="C2903" s="17" t="str">
        <f>"FES1162674356"</f>
        <v>FES1162674356</v>
      </c>
      <c r="D2903" s="17" t="s">
        <v>18</v>
      </c>
      <c r="E2903" s="17" t="s">
        <v>817</v>
      </c>
      <c r="F2903" s="17" t="str">
        <f>"21706754422 "</f>
        <v xml:space="preserve">21706754422 </v>
      </c>
      <c r="G2903" s="17" t="str">
        <f t="shared" si="84"/>
        <v>ON1</v>
      </c>
      <c r="H2903" s="17" t="s">
        <v>20</v>
      </c>
      <c r="I2903" s="17" t="s">
        <v>584</v>
      </c>
      <c r="J2903" s="17" t="str">
        <f>""</f>
        <v/>
      </c>
      <c r="K2903" s="17" t="str">
        <f>"PFES1162674356_0001"</f>
        <v>PFES1162674356_0001</v>
      </c>
      <c r="L2903" s="17">
        <v>1</v>
      </c>
      <c r="M2903" s="17">
        <v>1</v>
      </c>
    </row>
    <row r="2904" spans="1:13">
      <c r="A2904" s="6">
        <v>43516</v>
      </c>
      <c r="B2904" s="7">
        <v>0.59861111111111109</v>
      </c>
      <c r="C2904" s="17" t="str">
        <f>"FES1162674245"</f>
        <v>FES1162674245</v>
      </c>
      <c r="D2904" s="17" t="s">
        <v>18</v>
      </c>
      <c r="E2904" s="17" t="s">
        <v>66</v>
      </c>
      <c r="F2904" s="17" t="str">
        <f>"2170675304 "</f>
        <v xml:space="preserve">2170675304 </v>
      </c>
      <c r="G2904" s="17" t="str">
        <f t="shared" si="84"/>
        <v>ON1</v>
      </c>
      <c r="H2904" s="17" t="s">
        <v>20</v>
      </c>
      <c r="I2904" s="17" t="s">
        <v>67</v>
      </c>
      <c r="J2904" s="17" t="str">
        <f>""</f>
        <v/>
      </c>
      <c r="K2904" s="17" t="str">
        <f>"PFES1162674245_0001"</f>
        <v>PFES1162674245_0001</v>
      </c>
      <c r="L2904" s="17">
        <v>1</v>
      </c>
      <c r="M2904" s="17">
        <v>1</v>
      </c>
    </row>
    <row r="2905" spans="1:13">
      <c r="A2905" s="6">
        <v>43516</v>
      </c>
      <c r="B2905" s="7">
        <v>0.59791666666666665</v>
      </c>
      <c r="C2905" s="17" t="str">
        <f>"FES1162674241"</f>
        <v>FES1162674241</v>
      </c>
      <c r="D2905" s="17" t="s">
        <v>18</v>
      </c>
      <c r="E2905" s="17" t="s">
        <v>66</v>
      </c>
      <c r="F2905" s="17" t="str">
        <f>"2170675301 "</f>
        <v xml:space="preserve">2170675301 </v>
      </c>
      <c r="G2905" s="17" t="str">
        <f>"ON2"</f>
        <v>ON2</v>
      </c>
      <c r="H2905" s="17" t="s">
        <v>20</v>
      </c>
      <c r="I2905" s="17" t="s">
        <v>67</v>
      </c>
      <c r="J2905" s="17" t="str">
        <f>"FRAGILE OIL"</f>
        <v>FRAGILE OIL</v>
      </c>
      <c r="K2905" s="17" t="str">
        <f>"PFES1162674241_0001"</f>
        <v>PFES1162674241_0001</v>
      </c>
      <c r="L2905" s="17">
        <v>1</v>
      </c>
      <c r="M2905" s="17">
        <v>2</v>
      </c>
    </row>
    <row r="2906" spans="1:13">
      <c r="A2906" s="6">
        <v>43516</v>
      </c>
      <c r="B2906" s="7">
        <v>0.59652777777777777</v>
      </c>
      <c r="C2906" s="17" t="str">
        <f>"FES1162674224"</f>
        <v>FES1162674224</v>
      </c>
      <c r="D2906" s="17" t="s">
        <v>18</v>
      </c>
      <c r="E2906" s="17" t="s">
        <v>879</v>
      </c>
      <c r="F2906" s="17" t="str">
        <f>"2170675282 "</f>
        <v xml:space="preserve">2170675282 </v>
      </c>
      <c r="G2906" s="17" t="str">
        <f t="shared" ref="G2906:G2969" si="85">"ON1"</f>
        <v>ON1</v>
      </c>
      <c r="H2906" s="17" t="s">
        <v>20</v>
      </c>
      <c r="I2906" s="17" t="s">
        <v>276</v>
      </c>
      <c r="J2906" s="17" t="str">
        <f>""</f>
        <v/>
      </c>
      <c r="K2906" s="17" t="str">
        <f>"PFES1162674224_0001"</f>
        <v>PFES1162674224_0001</v>
      </c>
      <c r="L2906" s="17">
        <v>1</v>
      </c>
      <c r="M2906" s="17">
        <v>3</v>
      </c>
    </row>
    <row r="2907" spans="1:13">
      <c r="A2907" s="6">
        <v>43516</v>
      </c>
      <c r="B2907" s="7">
        <v>0.59513888888888888</v>
      </c>
      <c r="C2907" s="17" t="str">
        <f>"FES1162674273"</f>
        <v>FES1162674273</v>
      </c>
      <c r="D2907" s="17" t="s">
        <v>18</v>
      </c>
      <c r="E2907" s="17" t="s">
        <v>164</v>
      </c>
      <c r="F2907" s="17" t="str">
        <f>"2170672241 "</f>
        <v xml:space="preserve">2170672241 </v>
      </c>
      <c r="G2907" s="17" t="str">
        <f t="shared" si="85"/>
        <v>ON1</v>
      </c>
      <c r="H2907" s="17" t="s">
        <v>20</v>
      </c>
      <c r="I2907" s="17" t="s">
        <v>165</v>
      </c>
      <c r="J2907" s="17" t="str">
        <f>""</f>
        <v/>
      </c>
      <c r="K2907" s="17" t="str">
        <f>"PFES1162674273_0001"</f>
        <v>PFES1162674273_0001</v>
      </c>
      <c r="L2907" s="17">
        <v>1</v>
      </c>
      <c r="M2907" s="17">
        <v>10</v>
      </c>
    </row>
    <row r="2908" spans="1:13">
      <c r="A2908" s="6">
        <v>43516</v>
      </c>
      <c r="B2908" s="7">
        <v>0.59444444444444444</v>
      </c>
      <c r="C2908" s="17" t="str">
        <f>"FES1162674258"</f>
        <v>FES1162674258</v>
      </c>
      <c r="D2908" s="17" t="s">
        <v>18</v>
      </c>
      <c r="E2908" s="17" t="s">
        <v>530</v>
      </c>
      <c r="F2908" s="17" t="str">
        <f>"2170675320 "</f>
        <v xml:space="preserve">2170675320 </v>
      </c>
      <c r="G2908" s="17" t="str">
        <f t="shared" si="85"/>
        <v>ON1</v>
      </c>
      <c r="H2908" s="17" t="s">
        <v>20</v>
      </c>
      <c r="I2908" s="17" t="s">
        <v>531</v>
      </c>
      <c r="J2908" s="17" t="str">
        <f>""</f>
        <v/>
      </c>
      <c r="K2908" s="17" t="str">
        <f>"PFES1162674258_0001"</f>
        <v>PFES1162674258_0001</v>
      </c>
      <c r="L2908" s="17">
        <v>1</v>
      </c>
      <c r="M2908" s="17">
        <v>7</v>
      </c>
    </row>
    <row r="2909" spans="1:13">
      <c r="A2909" s="6">
        <v>43516</v>
      </c>
      <c r="B2909" s="7">
        <v>0.59305555555555556</v>
      </c>
      <c r="C2909" s="17" t="str">
        <f>"FES1162674268"</f>
        <v>FES1162674268</v>
      </c>
      <c r="D2909" s="17" t="s">
        <v>18</v>
      </c>
      <c r="E2909" s="17" t="s">
        <v>693</v>
      </c>
      <c r="F2909" s="17" t="str">
        <f>"2170675331 "</f>
        <v xml:space="preserve">2170675331 </v>
      </c>
      <c r="G2909" s="17" t="str">
        <f t="shared" si="85"/>
        <v>ON1</v>
      </c>
      <c r="H2909" s="17" t="s">
        <v>20</v>
      </c>
      <c r="I2909" s="17" t="s">
        <v>694</v>
      </c>
      <c r="J2909" s="17" t="str">
        <f>""</f>
        <v/>
      </c>
      <c r="K2909" s="17" t="str">
        <f>"PFES1162674268_0001"</f>
        <v>PFES1162674268_0001</v>
      </c>
      <c r="L2909" s="17">
        <v>1</v>
      </c>
      <c r="M2909" s="17">
        <v>4</v>
      </c>
    </row>
    <row r="2910" spans="1:13">
      <c r="A2910" s="6">
        <v>43516</v>
      </c>
      <c r="B2910" s="7">
        <v>0.59236111111111112</v>
      </c>
      <c r="C2910" s="17" t="str">
        <f>"FES1162674278"</f>
        <v>FES1162674278</v>
      </c>
      <c r="D2910" s="17" t="s">
        <v>18</v>
      </c>
      <c r="E2910" s="17" t="s">
        <v>377</v>
      </c>
      <c r="F2910" s="17" t="str">
        <f>"2170675338 "</f>
        <v xml:space="preserve">2170675338 </v>
      </c>
      <c r="G2910" s="17" t="str">
        <f t="shared" si="85"/>
        <v>ON1</v>
      </c>
      <c r="H2910" s="17" t="s">
        <v>20</v>
      </c>
      <c r="I2910" s="17" t="s">
        <v>378</v>
      </c>
      <c r="J2910" s="17" t="str">
        <f>""</f>
        <v/>
      </c>
      <c r="K2910" s="17" t="str">
        <f>"PFES1162674278_0001"</f>
        <v>PFES1162674278_0001</v>
      </c>
      <c r="L2910" s="17">
        <v>1</v>
      </c>
      <c r="M2910" s="17">
        <v>6</v>
      </c>
    </row>
    <row r="2911" spans="1:13">
      <c r="A2911" s="6">
        <v>43516</v>
      </c>
      <c r="B2911" s="7">
        <v>0.59166666666666667</v>
      </c>
      <c r="C2911" s="17" t="str">
        <f>"FES1162674286"</f>
        <v>FES1162674286</v>
      </c>
      <c r="D2911" s="17" t="s">
        <v>18</v>
      </c>
      <c r="E2911" s="17" t="s">
        <v>253</v>
      </c>
      <c r="F2911" s="17" t="str">
        <f>"2170675343 "</f>
        <v xml:space="preserve">2170675343 </v>
      </c>
      <c r="G2911" s="17" t="str">
        <f t="shared" si="85"/>
        <v>ON1</v>
      </c>
      <c r="H2911" s="17" t="s">
        <v>20</v>
      </c>
      <c r="I2911" s="17" t="s">
        <v>226</v>
      </c>
      <c r="J2911" s="17" t="str">
        <f>""</f>
        <v/>
      </c>
      <c r="K2911" s="17" t="str">
        <f>"PFES1162674286_0001"</f>
        <v>PFES1162674286_0001</v>
      </c>
      <c r="L2911" s="17">
        <v>1</v>
      </c>
      <c r="M2911" s="17">
        <v>3</v>
      </c>
    </row>
    <row r="2912" spans="1:13">
      <c r="A2912" s="6">
        <v>43516</v>
      </c>
      <c r="B2912" s="7">
        <v>0.59027777777777779</v>
      </c>
      <c r="C2912" s="17" t="str">
        <f>"FES1162674253"</f>
        <v>FES1162674253</v>
      </c>
      <c r="D2912" s="17" t="s">
        <v>18</v>
      </c>
      <c r="E2912" s="17" t="s">
        <v>220</v>
      </c>
      <c r="F2912" s="17" t="str">
        <f>"2170675317 "</f>
        <v xml:space="preserve">2170675317 </v>
      </c>
      <c r="G2912" s="17" t="str">
        <f t="shared" si="85"/>
        <v>ON1</v>
      </c>
      <c r="H2912" s="17" t="s">
        <v>20</v>
      </c>
      <c r="I2912" s="17" t="s">
        <v>221</v>
      </c>
      <c r="J2912" s="17" t="str">
        <f>""</f>
        <v/>
      </c>
      <c r="K2912" s="17" t="str">
        <f>"PFES1162674253_0001"</f>
        <v>PFES1162674253_0001</v>
      </c>
      <c r="L2912" s="17">
        <v>1</v>
      </c>
      <c r="M2912" s="17">
        <v>8</v>
      </c>
    </row>
    <row r="2913" spans="1:13">
      <c r="A2913" s="6">
        <v>43516</v>
      </c>
      <c r="B2913" s="7">
        <v>0.58819444444444446</v>
      </c>
      <c r="C2913" s="17" t="str">
        <f>"FES1162674235"</f>
        <v>FES1162674235</v>
      </c>
      <c r="D2913" s="17" t="s">
        <v>18</v>
      </c>
      <c r="E2913" s="17" t="s">
        <v>198</v>
      </c>
      <c r="F2913" s="17" t="str">
        <f>"2170675274 "</f>
        <v xml:space="preserve">2170675274 </v>
      </c>
      <c r="G2913" s="17" t="str">
        <f t="shared" si="85"/>
        <v>ON1</v>
      </c>
      <c r="H2913" s="17" t="s">
        <v>20</v>
      </c>
      <c r="I2913" s="17" t="s">
        <v>199</v>
      </c>
      <c r="J2913" s="17" t="str">
        <f>""</f>
        <v/>
      </c>
      <c r="K2913" s="17" t="str">
        <f>"PFES1162674235_0001"</f>
        <v>PFES1162674235_0001</v>
      </c>
      <c r="L2913" s="17">
        <v>1</v>
      </c>
      <c r="M2913" s="17">
        <v>3</v>
      </c>
    </row>
    <row r="2914" spans="1:13">
      <c r="A2914" s="6">
        <v>43516</v>
      </c>
      <c r="B2914" s="7">
        <v>0.58680555555555558</v>
      </c>
      <c r="C2914" s="17" t="str">
        <f>"FES1162674244"</f>
        <v>FES1162674244</v>
      </c>
      <c r="D2914" s="17" t="s">
        <v>18</v>
      </c>
      <c r="E2914" s="17" t="s">
        <v>66</v>
      </c>
      <c r="F2914" s="17" t="str">
        <f>"2170675303 "</f>
        <v xml:space="preserve">2170675303 </v>
      </c>
      <c r="G2914" s="17" t="str">
        <f t="shared" si="85"/>
        <v>ON1</v>
      </c>
      <c r="H2914" s="17" t="s">
        <v>20</v>
      </c>
      <c r="I2914" s="17" t="s">
        <v>67</v>
      </c>
      <c r="J2914" s="17" t="str">
        <f>""</f>
        <v/>
      </c>
      <c r="K2914" s="17" t="str">
        <f>"PFES1162674244_0001"</f>
        <v>PFES1162674244_0001</v>
      </c>
      <c r="L2914" s="17">
        <v>1</v>
      </c>
      <c r="M2914" s="17">
        <v>2</v>
      </c>
    </row>
    <row r="2915" spans="1:13">
      <c r="A2915" s="6">
        <v>43516</v>
      </c>
      <c r="B2915" s="7">
        <v>0.58611111111111114</v>
      </c>
      <c r="C2915" s="17" t="str">
        <f>"FES1162674269"</f>
        <v>FES1162674269</v>
      </c>
      <c r="D2915" s="17" t="s">
        <v>18</v>
      </c>
      <c r="E2915" s="17" t="s">
        <v>58</v>
      </c>
      <c r="F2915" s="17" t="str">
        <f>"21706753321 "</f>
        <v xml:space="preserve">21706753321 </v>
      </c>
      <c r="G2915" s="17" t="str">
        <f t="shared" si="85"/>
        <v>ON1</v>
      </c>
      <c r="H2915" s="17" t="s">
        <v>20</v>
      </c>
      <c r="I2915" s="17" t="s">
        <v>59</v>
      </c>
      <c r="J2915" s="17" t="str">
        <f>""</f>
        <v/>
      </c>
      <c r="K2915" s="17" t="str">
        <f>"PFES1162674269_0001"</f>
        <v>PFES1162674269_0001</v>
      </c>
      <c r="L2915" s="17">
        <v>1</v>
      </c>
      <c r="M2915" s="17">
        <v>1</v>
      </c>
    </row>
    <row r="2916" spans="1:13">
      <c r="A2916" s="6">
        <v>43516</v>
      </c>
      <c r="B2916" s="7">
        <v>0.5854166666666667</v>
      </c>
      <c r="C2916" s="17" t="str">
        <f>"FES1162674305"</f>
        <v>FES1162674305</v>
      </c>
      <c r="D2916" s="17" t="s">
        <v>18</v>
      </c>
      <c r="E2916" s="17" t="s">
        <v>323</v>
      </c>
      <c r="F2916" s="17" t="str">
        <f>"2170675368 "</f>
        <v xml:space="preserve">2170675368 </v>
      </c>
      <c r="G2916" s="17" t="str">
        <f t="shared" si="85"/>
        <v>ON1</v>
      </c>
      <c r="H2916" s="17" t="s">
        <v>20</v>
      </c>
      <c r="I2916" s="17" t="s">
        <v>324</v>
      </c>
      <c r="J2916" s="17" t="str">
        <f>""</f>
        <v/>
      </c>
      <c r="K2916" s="17" t="str">
        <f>"PFES1162674305_0001"</f>
        <v>PFES1162674305_0001</v>
      </c>
      <c r="L2916" s="17">
        <v>1</v>
      </c>
      <c r="M2916" s="17">
        <v>1</v>
      </c>
    </row>
    <row r="2917" spans="1:13">
      <c r="A2917" s="6">
        <v>43516</v>
      </c>
      <c r="B2917" s="7">
        <v>0.58472222222222225</v>
      </c>
      <c r="C2917" s="17" t="str">
        <f>"FES1162674246"</f>
        <v>FES1162674246</v>
      </c>
      <c r="D2917" s="17" t="s">
        <v>18</v>
      </c>
      <c r="E2917" s="17" t="s">
        <v>154</v>
      </c>
      <c r="F2917" s="17" t="str">
        <f>"2170675306 "</f>
        <v xml:space="preserve">2170675306 </v>
      </c>
      <c r="G2917" s="17" t="str">
        <f t="shared" si="85"/>
        <v>ON1</v>
      </c>
      <c r="H2917" s="17" t="s">
        <v>20</v>
      </c>
      <c r="I2917" s="17" t="s">
        <v>67</v>
      </c>
      <c r="J2917" s="17" t="str">
        <f>""</f>
        <v/>
      </c>
      <c r="K2917" s="17" t="str">
        <f>"PFES1162674246_0001"</f>
        <v>PFES1162674246_0001</v>
      </c>
      <c r="L2917" s="17">
        <v>1</v>
      </c>
      <c r="M2917" s="17">
        <v>3</v>
      </c>
    </row>
    <row r="2918" spans="1:13">
      <c r="A2918" s="6">
        <v>43516</v>
      </c>
      <c r="B2918" s="7">
        <v>0.58333333333333337</v>
      </c>
      <c r="C2918" s="17" t="str">
        <f>"FES1162674240"</f>
        <v>FES1162674240</v>
      </c>
      <c r="D2918" s="17" t="s">
        <v>18</v>
      </c>
      <c r="E2918" s="17" t="s">
        <v>942</v>
      </c>
      <c r="F2918" s="17" t="str">
        <f>"2170675299 "</f>
        <v xml:space="preserve">2170675299 </v>
      </c>
      <c r="G2918" s="17" t="str">
        <f t="shared" si="85"/>
        <v>ON1</v>
      </c>
      <c r="H2918" s="17" t="s">
        <v>20</v>
      </c>
      <c r="I2918" s="17" t="s">
        <v>237</v>
      </c>
      <c r="J2918" s="17" t="str">
        <f>""</f>
        <v/>
      </c>
      <c r="K2918" s="17" t="str">
        <f>"PFES1162674240_0001"</f>
        <v>PFES1162674240_0001</v>
      </c>
      <c r="L2918" s="17">
        <v>1</v>
      </c>
      <c r="M2918" s="17">
        <v>1</v>
      </c>
    </row>
    <row r="2919" spans="1:13">
      <c r="A2919" s="6">
        <v>43516</v>
      </c>
      <c r="B2919" s="7">
        <v>0.58333333333333337</v>
      </c>
      <c r="C2919" s="17" t="str">
        <f>"FES1162674327"</f>
        <v>FES1162674327</v>
      </c>
      <c r="D2919" s="17" t="s">
        <v>18</v>
      </c>
      <c r="E2919" s="17" t="s">
        <v>1010</v>
      </c>
      <c r="F2919" s="17" t="str">
        <f>"21706754182 "</f>
        <v xml:space="preserve">21706754182 </v>
      </c>
      <c r="G2919" s="17" t="str">
        <f t="shared" si="85"/>
        <v>ON1</v>
      </c>
      <c r="H2919" s="17" t="s">
        <v>20</v>
      </c>
      <c r="I2919" s="17" t="s">
        <v>1011</v>
      </c>
      <c r="J2919" s="17" t="str">
        <f>""</f>
        <v/>
      </c>
      <c r="K2919" s="17" t="str">
        <f>"PFES1162674327_0001"</f>
        <v>PFES1162674327_0001</v>
      </c>
      <c r="L2919" s="17">
        <v>1</v>
      </c>
      <c r="M2919" s="17">
        <v>1</v>
      </c>
    </row>
    <row r="2920" spans="1:13">
      <c r="A2920" s="6">
        <v>43516</v>
      </c>
      <c r="B2920" s="7">
        <v>0.58263888888888882</v>
      </c>
      <c r="C2920" s="17" t="str">
        <f>"FES1162674256"</f>
        <v>FES1162674256</v>
      </c>
      <c r="D2920" s="17" t="s">
        <v>18</v>
      </c>
      <c r="E2920" s="17" t="s">
        <v>466</v>
      </c>
      <c r="F2920" s="17" t="str">
        <f>"2170675302 "</f>
        <v xml:space="preserve">2170675302 </v>
      </c>
      <c r="G2920" s="17" t="str">
        <f t="shared" si="85"/>
        <v>ON1</v>
      </c>
      <c r="H2920" s="17" t="s">
        <v>20</v>
      </c>
      <c r="I2920" s="17" t="s">
        <v>117</v>
      </c>
      <c r="J2920" s="17" t="str">
        <f>""</f>
        <v/>
      </c>
      <c r="K2920" s="17" t="str">
        <f>"PFES1162674256_0001"</f>
        <v>PFES1162674256_0001</v>
      </c>
      <c r="L2920" s="17">
        <v>1</v>
      </c>
      <c r="M2920" s="17">
        <v>8</v>
      </c>
    </row>
    <row r="2921" spans="1:13">
      <c r="A2921" s="6">
        <v>43516</v>
      </c>
      <c r="B2921" s="7">
        <v>0.58263888888888882</v>
      </c>
      <c r="C2921" s="17" t="str">
        <f>"FES1162674335"</f>
        <v>FES1162674335</v>
      </c>
      <c r="D2921" s="17" t="s">
        <v>18</v>
      </c>
      <c r="E2921" s="17" t="s">
        <v>485</v>
      </c>
      <c r="F2921" s="17" t="str">
        <f>"2170675410 "</f>
        <v xml:space="preserve">2170675410 </v>
      </c>
      <c r="G2921" s="17" t="str">
        <f t="shared" si="85"/>
        <v>ON1</v>
      </c>
      <c r="H2921" s="17" t="s">
        <v>20</v>
      </c>
      <c r="I2921" s="17" t="s">
        <v>282</v>
      </c>
      <c r="J2921" s="17" t="str">
        <f>""</f>
        <v/>
      </c>
      <c r="K2921" s="17" t="str">
        <f>"PFES1162674335_0001"</f>
        <v>PFES1162674335_0001</v>
      </c>
      <c r="L2921" s="17">
        <v>1</v>
      </c>
      <c r="M2921" s="17">
        <v>1</v>
      </c>
    </row>
    <row r="2922" spans="1:13">
      <c r="A2922" s="6">
        <v>43516</v>
      </c>
      <c r="B2922" s="7">
        <v>0.58194444444444449</v>
      </c>
      <c r="C2922" s="17" t="str">
        <f>"FES1162674337"</f>
        <v>FES1162674337</v>
      </c>
      <c r="D2922" s="17" t="s">
        <v>18</v>
      </c>
      <c r="E2922" s="17" t="s">
        <v>434</v>
      </c>
      <c r="F2922" s="17" t="str">
        <f>"217056241 "</f>
        <v xml:space="preserve">217056241 </v>
      </c>
      <c r="G2922" s="17" t="str">
        <f t="shared" si="85"/>
        <v>ON1</v>
      </c>
      <c r="H2922" s="17" t="s">
        <v>20</v>
      </c>
      <c r="I2922" s="17" t="s">
        <v>435</v>
      </c>
      <c r="J2922" s="17" t="str">
        <f>""</f>
        <v/>
      </c>
      <c r="K2922" s="17" t="str">
        <f>"PFES1162674337_0001"</f>
        <v>PFES1162674337_0001</v>
      </c>
      <c r="L2922" s="17">
        <v>1</v>
      </c>
      <c r="M2922" s="17">
        <v>1</v>
      </c>
    </row>
    <row r="2923" spans="1:13">
      <c r="A2923" s="6">
        <v>43516</v>
      </c>
      <c r="B2923" s="7">
        <v>0.58194444444444449</v>
      </c>
      <c r="C2923" s="17" t="str">
        <f>"FES1162674206"</f>
        <v>FES1162674206</v>
      </c>
      <c r="D2923" s="17" t="s">
        <v>18</v>
      </c>
      <c r="E2923" s="17" t="s">
        <v>253</v>
      </c>
      <c r="F2923" s="17" t="str">
        <f>"2170675258 "</f>
        <v xml:space="preserve">2170675258 </v>
      </c>
      <c r="G2923" s="17" t="str">
        <f t="shared" si="85"/>
        <v>ON1</v>
      </c>
      <c r="H2923" s="17" t="s">
        <v>20</v>
      </c>
      <c r="I2923" s="17" t="s">
        <v>226</v>
      </c>
      <c r="J2923" s="17" t="str">
        <f>""</f>
        <v/>
      </c>
      <c r="K2923" s="17" t="str">
        <f>"PFES1162674206_0001"</f>
        <v>PFES1162674206_0001</v>
      </c>
      <c r="L2923" s="17">
        <v>1</v>
      </c>
      <c r="M2923" s="17">
        <v>5</v>
      </c>
    </row>
    <row r="2924" spans="1:13">
      <c r="A2924" s="6">
        <v>43516</v>
      </c>
      <c r="B2924" s="7">
        <v>0.58194444444444449</v>
      </c>
      <c r="C2924" s="17" t="str">
        <f>"FES1162674342"</f>
        <v>FES1162674342</v>
      </c>
      <c r="D2924" s="17" t="s">
        <v>18</v>
      </c>
      <c r="E2924" s="17" t="s">
        <v>772</v>
      </c>
      <c r="F2924" s="17" t="str">
        <f>"2170675412 "</f>
        <v xml:space="preserve">2170675412 </v>
      </c>
      <c r="G2924" s="17" t="str">
        <f t="shared" si="85"/>
        <v>ON1</v>
      </c>
      <c r="H2924" s="17" t="s">
        <v>20</v>
      </c>
      <c r="I2924" s="17" t="s">
        <v>773</v>
      </c>
      <c r="J2924" s="17" t="str">
        <f>""</f>
        <v/>
      </c>
      <c r="K2924" s="17" t="str">
        <f>"PFES1162674342_0001"</f>
        <v>PFES1162674342_0001</v>
      </c>
      <c r="L2924" s="17">
        <v>1</v>
      </c>
      <c r="M2924" s="17">
        <v>1</v>
      </c>
    </row>
    <row r="2925" spans="1:13">
      <c r="A2925" s="6">
        <v>43516</v>
      </c>
      <c r="B2925" s="7">
        <v>0.58124999999999993</v>
      </c>
      <c r="C2925" s="17" t="str">
        <f>"FES1162674309"</f>
        <v>FES1162674309</v>
      </c>
      <c r="D2925" s="17" t="s">
        <v>18</v>
      </c>
      <c r="E2925" s="17" t="s">
        <v>140</v>
      </c>
      <c r="F2925" s="17" t="str">
        <f>"2170675734 "</f>
        <v xml:space="preserve">2170675734 </v>
      </c>
      <c r="G2925" s="17" t="str">
        <f t="shared" si="85"/>
        <v>ON1</v>
      </c>
      <c r="H2925" s="17" t="s">
        <v>20</v>
      </c>
      <c r="I2925" s="17" t="s">
        <v>141</v>
      </c>
      <c r="J2925" s="17" t="str">
        <f>""</f>
        <v/>
      </c>
      <c r="K2925" s="17" t="str">
        <f>"PFES1162674309_0001"</f>
        <v>PFES1162674309_0001</v>
      </c>
      <c r="L2925" s="17">
        <v>1</v>
      </c>
      <c r="M2925" s="17">
        <v>1</v>
      </c>
    </row>
    <row r="2926" spans="1:13">
      <c r="A2926" s="6">
        <v>43516</v>
      </c>
      <c r="B2926" s="7">
        <v>0.58124999999999993</v>
      </c>
      <c r="C2926" s="17" t="str">
        <f>"FES1162674345"</f>
        <v>FES1162674345</v>
      </c>
      <c r="D2926" s="17" t="s">
        <v>18</v>
      </c>
      <c r="E2926" s="17" t="s">
        <v>92</v>
      </c>
      <c r="F2926" s="17" t="str">
        <f>"2170675416 "</f>
        <v xml:space="preserve">2170675416 </v>
      </c>
      <c r="G2926" s="17" t="str">
        <f t="shared" si="85"/>
        <v>ON1</v>
      </c>
      <c r="H2926" s="17" t="s">
        <v>20</v>
      </c>
      <c r="I2926" s="17" t="s">
        <v>93</v>
      </c>
      <c r="J2926" s="17" t="str">
        <f>""</f>
        <v/>
      </c>
      <c r="K2926" s="17" t="str">
        <f>"PFES1162674345_0001"</f>
        <v>PFES1162674345_0001</v>
      </c>
      <c r="L2926" s="17">
        <v>1</v>
      </c>
      <c r="M2926" s="17">
        <v>1</v>
      </c>
    </row>
    <row r="2927" spans="1:13">
      <c r="A2927" s="6">
        <v>43516</v>
      </c>
      <c r="B2927" s="7">
        <v>0.58124999999999993</v>
      </c>
      <c r="C2927" s="17" t="str">
        <f>"FES1162674282"</f>
        <v>FES1162674282</v>
      </c>
      <c r="D2927" s="17" t="s">
        <v>18</v>
      </c>
      <c r="E2927" s="17" t="s">
        <v>432</v>
      </c>
      <c r="F2927" s="17" t="str">
        <f>"2170675249 "</f>
        <v xml:space="preserve">2170675249 </v>
      </c>
      <c r="G2927" s="17" t="str">
        <f t="shared" si="85"/>
        <v>ON1</v>
      </c>
      <c r="H2927" s="17" t="s">
        <v>20</v>
      </c>
      <c r="I2927" s="17" t="s">
        <v>433</v>
      </c>
      <c r="J2927" s="17" t="str">
        <f>""</f>
        <v/>
      </c>
      <c r="K2927" s="17" t="str">
        <f>"PFES1162674282_0001"</f>
        <v>PFES1162674282_0001</v>
      </c>
      <c r="L2927" s="17">
        <v>1</v>
      </c>
      <c r="M2927" s="17">
        <v>19</v>
      </c>
    </row>
    <row r="2928" spans="1:13">
      <c r="A2928" s="6">
        <v>43516</v>
      </c>
      <c r="B2928" s="7">
        <v>0.58124999999999993</v>
      </c>
      <c r="C2928" s="17" t="str">
        <f>"FES1162674343"</f>
        <v>FES1162674343</v>
      </c>
      <c r="D2928" s="17" t="s">
        <v>18</v>
      </c>
      <c r="E2928" s="17" t="s">
        <v>595</v>
      </c>
      <c r="F2928" s="17" t="str">
        <f>"2170675414 "</f>
        <v xml:space="preserve">2170675414 </v>
      </c>
      <c r="G2928" s="17" t="str">
        <f t="shared" si="85"/>
        <v>ON1</v>
      </c>
      <c r="H2928" s="17" t="s">
        <v>20</v>
      </c>
      <c r="I2928" s="17" t="s">
        <v>111</v>
      </c>
      <c r="J2928" s="17" t="str">
        <f>""</f>
        <v/>
      </c>
      <c r="K2928" s="17" t="str">
        <f>"PFES1162674343_0001"</f>
        <v>PFES1162674343_0001</v>
      </c>
      <c r="L2928" s="17">
        <v>1</v>
      </c>
      <c r="M2928" s="17">
        <v>1</v>
      </c>
    </row>
    <row r="2929" spans="1:13">
      <c r="A2929" s="6">
        <v>43516</v>
      </c>
      <c r="B2929" s="7">
        <v>0.5805555555555556</v>
      </c>
      <c r="C2929" s="17" t="str">
        <f>"FES1162674331"</f>
        <v>FES1162674331</v>
      </c>
      <c r="D2929" s="17" t="s">
        <v>18</v>
      </c>
      <c r="E2929" s="17" t="s">
        <v>183</v>
      </c>
      <c r="F2929" s="17" t="str">
        <f>"2170675400 "</f>
        <v xml:space="preserve">2170675400 </v>
      </c>
      <c r="G2929" s="17" t="str">
        <f t="shared" si="85"/>
        <v>ON1</v>
      </c>
      <c r="H2929" s="17" t="s">
        <v>20</v>
      </c>
      <c r="I2929" s="17" t="s">
        <v>184</v>
      </c>
      <c r="J2929" s="17" t="str">
        <f>""</f>
        <v/>
      </c>
      <c r="K2929" s="17" t="str">
        <f>"PFES1162674331_0001"</f>
        <v>PFES1162674331_0001</v>
      </c>
      <c r="L2929" s="17">
        <v>1</v>
      </c>
      <c r="M2929" s="17">
        <v>1</v>
      </c>
    </row>
    <row r="2930" spans="1:13">
      <c r="A2930" s="6">
        <v>43516</v>
      </c>
      <c r="B2930" s="7">
        <v>0.57986111111111105</v>
      </c>
      <c r="C2930" s="17" t="str">
        <f>"FES1162674295"</f>
        <v>FES1162674295</v>
      </c>
      <c r="D2930" s="17" t="s">
        <v>18</v>
      </c>
      <c r="E2930" s="17" t="s">
        <v>140</v>
      </c>
      <c r="F2930" s="17" t="str">
        <f>"2170675354 "</f>
        <v xml:space="preserve">2170675354 </v>
      </c>
      <c r="G2930" s="17" t="str">
        <f t="shared" si="85"/>
        <v>ON1</v>
      </c>
      <c r="H2930" s="17" t="s">
        <v>20</v>
      </c>
      <c r="I2930" s="17" t="s">
        <v>141</v>
      </c>
      <c r="J2930" s="17" t="str">
        <f>""</f>
        <v/>
      </c>
      <c r="K2930" s="17" t="str">
        <f>"PFES1162674295_0001"</f>
        <v>PFES1162674295_0001</v>
      </c>
      <c r="L2930" s="17">
        <v>1</v>
      </c>
      <c r="M2930" s="17">
        <v>2</v>
      </c>
    </row>
    <row r="2931" spans="1:13">
      <c r="A2931" s="6">
        <v>43516</v>
      </c>
      <c r="B2931" s="7">
        <v>0.57986111111111105</v>
      </c>
      <c r="C2931" s="17" t="str">
        <f>"FES1162674339"</f>
        <v>FES1162674339</v>
      </c>
      <c r="D2931" s="17" t="s">
        <v>18</v>
      </c>
      <c r="E2931" s="17" t="s">
        <v>1076</v>
      </c>
      <c r="F2931" s="17" t="str">
        <f>"2170675407 "</f>
        <v xml:space="preserve">2170675407 </v>
      </c>
      <c r="G2931" s="17" t="str">
        <f t="shared" si="85"/>
        <v>ON1</v>
      </c>
      <c r="H2931" s="17" t="s">
        <v>20</v>
      </c>
      <c r="I2931" s="17" t="s">
        <v>141</v>
      </c>
      <c r="J2931" s="17" t="str">
        <f>""</f>
        <v/>
      </c>
      <c r="K2931" s="17" t="str">
        <f>"PFES1162674339_0001"</f>
        <v>PFES1162674339_0001</v>
      </c>
      <c r="L2931" s="17">
        <v>1</v>
      </c>
      <c r="M2931" s="17">
        <v>1</v>
      </c>
    </row>
    <row r="2932" spans="1:13">
      <c r="A2932" s="6">
        <v>43516</v>
      </c>
      <c r="B2932" s="7">
        <v>0.57916666666666672</v>
      </c>
      <c r="C2932" s="17" t="str">
        <f>"FES1162674284"</f>
        <v>FES1162674284</v>
      </c>
      <c r="D2932" s="17" t="s">
        <v>18</v>
      </c>
      <c r="E2932" s="17" t="s">
        <v>304</v>
      </c>
      <c r="F2932" s="17" t="str">
        <f>"2170675337 "</f>
        <v xml:space="preserve">2170675337 </v>
      </c>
      <c r="G2932" s="17" t="str">
        <f t="shared" si="85"/>
        <v>ON1</v>
      </c>
      <c r="H2932" s="17" t="s">
        <v>20</v>
      </c>
      <c r="I2932" s="17" t="s">
        <v>55</v>
      </c>
      <c r="J2932" s="17" t="str">
        <f>""</f>
        <v/>
      </c>
      <c r="K2932" s="17" t="str">
        <f>"PFES1162674284_0001"</f>
        <v>PFES1162674284_0001</v>
      </c>
      <c r="L2932" s="17">
        <v>1</v>
      </c>
      <c r="M2932" s="17">
        <v>2</v>
      </c>
    </row>
    <row r="2933" spans="1:13">
      <c r="A2933" s="6">
        <v>43516</v>
      </c>
      <c r="B2933" s="7">
        <v>0.57638888888888895</v>
      </c>
      <c r="C2933" s="17" t="str">
        <f>"FES1162674292"</f>
        <v>FES1162674292</v>
      </c>
      <c r="D2933" s="17" t="s">
        <v>18</v>
      </c>
      <c r="E2933" s="17" t="s">
        <v>140</v>
      </c>
      <c r="F2933" s="17" t="str">
        <f>"2170675349 "</f>
        <v xml:space="preserve">2170675349 </v>
      </c>
      <c r="G2933" s="17" t="str">
        <f t="shared" si="85"/>
        <v>ON1</v>
      </c>
      <c r="H2933" s="17" t="s">
        <v>20</v>
      </c>
      <c r="I2933" s="17" t="s">
        <v>141</v>
      </c>
      <c r="J2933" s="17" t="str">
        <f>""</f>
        <v/>
      </c>
      <c r="K2933" s="17" t="str">
        <f>"PFES1162674292_0001"</f>
        <v>PFES1162674292_0001</v>
      </c>
      <c r="L2933" s="17">
        <v>1</v>
      </c>
      <c r="M2933" s="17">
        <v>2</v>
      </c>
    </row>
    <row r="2934" spans="1:13">
      <c r="A2934" s="6">
        <v>43516</v>
      </c>
      <c r="B2934" s="7">
        <v>0.5756944444444444</v>
      </c>
      <c r="C2934" s="17" t="str">
        <f>"FES1162674317"</f>
        <v>FES1162674317</v>
      </c>
      <c r="D2934" s="17" t="s">
        <v>18</v>
      </c>
      <c r="E2934" s="17" t="s">
        <v>1077</v>
      </c>
      <c r="F2934" s="17" t="str">
        <f>"2170674315 "</f>
        <v xml:space="preserve">2170674315 </v>
      </c>
      <c r="G2934" s="17" t="str">
        <f t="shared" si="85"/>
        <v>ON1</v>
      </c>
      <c r="H2934" s="17" t="s">
        <v>20</v>
      </c>
      <c r="I2934" s="17" t="s">
        <v>396</v>
      </c>
      <c r="J2934" s="17" t="str">
        <f>""</f>
        <v/>
      </c>
      <c r="K2934" s="17" t="str">
        <f>"PFES1162674317_0001"</f>
        <v>PFES1162674317_0001</v>
      </c>
      <c r="L2934" s="17">
        <v>1</v>
      </c>
      <c r="M2934" s="17">
        <v>3</v>
      </c>
    </row>
    <row r="2935" spans="1:13">
      <c r="A2935" s="6">
        <v>43516</v>
      </c>
      <c r="B2935" s="7">
        <v>0.57430555555555551</v>
      </c>
      <c r="C2935" s="17" t="str">
        <f>"FES1162674313"</f>
        <v>FES1162674313</v>
      </c>
      <c r="D2935" s="17" t="s">
        <v>18</v>
      </c>
      <c r="E2935" s="17" t="s">
        <v>45</v>
      </c>
      <c r="F2935" s="17" t="str">
        <f>"2170675380 "</f>
        <v xml:space="preserve">2170675380 </v>
      </c>
      <c r="G2935" s="17" t="str">
        <f t="shared" si="85"/>
        <v>ON1</v>
      </c>
      <c r="H2935" s="17" t="s">
        <v>20</v>
      </c>
      <c r="I2935" s="17" t="s">
        <v>46</v>
      </c>
      <c r="J2935" s="17" t="str">
        <f>""</f>
        <v/>
      </c>
      <c r="K2935" s="17" t="str">
        <f>"PFES1162674313_0001"</f>
        <v>PFES1162674313_0001</v>
      </c>
      <c r="L2935" s="17">
        <v>1</v>
      </c>
      <c r="M2935" s="17">
        <v>2</v>
      </c>
    </row>
    <row r="2936" spans="1:13">
      <c r="A2936" s="6">
        <v>43516</v>
      </c>
      <c r="B2936" s="7">
        <v>0.57361111111111118</v>
      </c>
      <c r="C2936" s="17" t="str">
        <f>"FES1162674314"</f>
        <v>FES1162674314</v>
      </c>
      <c r="D2936" s="17" t="s">
        <v>18</v>
      </c>
      <c r="E2936" s="17" t="s">
        <v>19</v>
      </c>
      <c r="F2936" s="17" t="str">
        <f>"2170675382 "</f>
        <v xml:space="preserve">2170675382 </v>
      </c>
      <c r="G2936" s="17" t="str">
        <f t="shared" si="85"/>
        <v>ON1</v>
      </c>
      <c r="H2936" s="17" t="s">
        <v>20</v>
      </c>
      <c r="I2936" s="17" t="s">
        <v>21</v>
      </c>
      <c r="J2936" s="17" t="str">
        <f>""</f>
        <v/>
      </c>
      <c r="K2936" s="17" t="str">
        <f>"PFES1162674314_0001"</f>
        <v>PFES1162674314_0001</v>
      </c>
      <c r="L2936" s="17">
        <v>1</v>
      </c>
      <c r="M2936" s="17">
        <v>1</v>
      </c>
    </row>
    <row r="2937" spans="1:13">
      <c r="A2937" s="6">
        <v>43516</v>
      </c>
      <c r="B2937" s="7">
        <v>0.57222222222222219</v>
      </c>
      <c r="C2937" s="17" t="str">
        <f>"FES1162674266"</f>
        <v>FES1162674266</v>
      </c>
      <c r="D2937" s="17" t="s">
        <v>18</v>
      </c>
      <c r="E2937" s="17" t="s">
        <v>168</v>
      </c>
      <c r="F2937" s="17" t="str">
        <f>"2170675288 "</f>
        <v xml:space="preserve">2170675288 </v>
      </c>
      <c r="G2937" s="17" t="str">
        <f t="shared" si="85"/>
        <v>ON1</v>
      </c>
      <c r="H2937" s="17" t="s">
        <v>20</v>
      </c>
      <c r="I2937" s="17" t="s">
        <v>63</v>
      </c>
      <c r="J2937" s="17" t="str">
        <f>""</f>
        <v/>
      </c>
      <c r="K2937" s="17" t="str">
        <f>"PFES1162674266_0001"</f>
        <v>PFES1162674266_0001</v>
      </c>
      <c r="L2937" s="17">
        <v>1</v>
      </c>
      <c r="M2937" s="17">
        <v>2</v>
      </c>
    </row>
    <row r="2938" spans="1:13">
      <c r="A2938" s="6">
        <v>43516</v>
      </c>
      <c r="B2938" s="7">
        <v>0.57152777777777775</v>
      </c>
      <c r="C2938" s="17" t="str">
        <f>"FES1162674291"</f>
        <v>FES1162674291</v>
      </c>
      <c r="D2938" s="17" t="s">
        <v>18</v>
      </c>
      <c r="E2938" s="17" t="s">
        <v>779</v>
      </c>
      <c r="F2938" s="17" t="str">
        <f>"2170675348 "</f>
        <v xml:space="preserve">2170675348 </v>
      </c>
      <c r="G2938" s="17" t="str">
        <f t="shared" si="85"/>
        <v>ON1</v>
      </c>
      <c r="H2938" s="17" t="s">
        <v>20</v>
      </c>
      <c r="I2938" s="17" t="s">
        <v>635</v>
      </c>
      <c r="J2938" s="17" t="str">
        <f>""</f>
        <v/>
      </c>
      <c r="K2938" s="17" t="str">
        <f>"PFES1162674291_0001"</f>
        <v>PFES1162674291_0001</v>
      </c>
      <c r="L2938" s="17">
        <v>1</v>
      </c>
      <c r="M2938" s="17">
        <v>3</v>
      </c>
    </row>
    <row r="2939" spans="1:13">
      <c r="A2939" s="6">
        <v>43516</v>
      </c>
      <c r="B2939" s="7">
        <v>0.57013888888888886</v>
      </c>
      <c r="C2939" s="17" t="str">
        <f>"FES1162674293"</f>
        <v>FES1162674293</v>
      </c>
      <c r="D2939" s="17" t="s">
        <v>18</v>
      </c>
      <c r="E2939" s="17" t="s">
        <v>203</v>
      </c>
      <c r="F2939" s="17" t="str">
        <f>"2170675352 "</f>
        <v xml:space="preserve">2170675352 </v>
      </c>
      <c r="G2939" s="17" t="str">
        <f t="shared" si="85"/>
        <v>ON1</v>
      </c>
      <c r="H2939" s="17" t="s">
        <v>20</v>
      </c>
      <c r="I2939" s="17" t="s">
        <v>204</v>
      </c>
      <c r="J2939" s="17" t="str">
        <f>""</f>
        <v/>
      </c>
      <c r="K2939" s="17" t="str">
        <f>"PFES1162674293_0001"</f>
        <v>PFES1162674293_0001</v>
      </c>
      <c r="L2939" s="17">
        <v>1</v>
      </c>
      <c r="M2939" s="17">
        <v>3</v>
      </c>
    </row>
    <row r="2940" spans="1:13">
      <c r="A2940" s="6">
        <v>43516</v>
      </c>
      <c r="B2940" s="7">
        <v>0.56944444444444442</v>
      </c>
      <c r="C2940" s="17" t="str">
        <f>"FES1162674280"</f>
        <v>FES1162674280</v>
      </c>
      <c r="D2940" s="17" t="s">
        <v>18</v>
      </c>
      <c r="E2940" s="17" t="s">
        <v>69</v>
      </c>
      <c r="F2940" s="17" t="str">
        <f>"2170675340 "</f>
        <v xml:space="preserve">2170675340 </v>
      </c>
      <c r="G2940" s="17" t="str">
        <f t="shared" si="85"/>
        <v>ON1</v>
      </c>
      <c r="H2940" s="17" t="s">
        <v>20</v>
      </c>
      <c r="I2940" s="17" t="s">
        <v>70</v>
      </c>
      <c r="J2940" s="17" t="str">
        <f>""</f>
        <v/>
      </c>
      <c r="K2940" s="17" t="str">
        <f>"PFES1162674280_0001"</f>
        <v>PFES1162674280_0001</v>
      </c>
      <c r="L2940" s="17">
        <v>1</v>
      </c>
      <c r="M2940" s="17">
        <v>2</v>
      </c>
    </row>
    <row r="2941" spans="1:13">
      <c r="A2941" s="6">
        <v>43516</v>
      </c>
      <c r="B2941" s="7">
        <v>0.56805555555555554</v>
      </c>
      <c r="C2941" s="17" t="str">
        <f>"FES1162674285"</f>
        <v>FES1162674285</v>
      </c>
      <c r="D2941" s="17" t="s">
        <v>18</v>
      </c>
      <c r="E2941" s="17" t="s">
        <v>214</v>
      </c>
      <c r="F2941" s="17" t="str">
        <f>"2170675342 "</f>
        <v xml:space="preserve">2170675342 </v>
      </c>
      <c r="G2941" s="17" t="str">
        <f t="shared" si="85"/>
        <v>ON1</v>
      </c>
      <c r="H2941" s="17" t="s">
        <v>20</v>
      </c>
      <c r="I2941" s="17" t="s">
        <v>215</v>
      </c>
      <c r="J2941" s="17" t="str">
        <f>""</f>
        <v/>
      </c>
      <c r="K2941" s="17" t="str">
        <f>"PFES1162674285_0001"</f>
        <v>PFES1162674285_0001</v>
      </c>
      <c r="L2941" s="17">
        <v>1</v>
      </c>
      <c r="M2941" s="17">
        <v>3</v>
      </c>
    </row>
    <row r="2942" spans="1:13">
      <c r="A2942" s="6">
        <v>43516</v>
      </c>
      <c r="B2942" s="7">
        <v>0.56736111111111109</v>
      </c>
      <c r="C2942" s="17" t="str">
        <f>"FES1162674296"</f>
        <v>FES1162674296</v>
      </c>
      <c r="D2942" s="17" t="s">
        <v>18</v>
      </c>
      <c r="E2942" s="17" t="s">
        <v>1078</v>
      </c>
      <c r="F2942" s="17" t="str">
        <f>"2170675355 "</f>
        <v xml:space="preserve">2170675355 </v>
      </c>
      <c r="G2942" s="17" t="str">
        <f t="shared" si="85"/>
        <v>ON1</v>
      </c>
      <c r="H2942" s="17" t="s">
        <v>20</v>
      </c>
      <c r="I2942" s="17" t="s">
        <v>1079</v>
      </c>
      <c r="J2942" s="17" t="str">
        <f>""</f>
        <v/>
      </c>
      <c r="K2942" s="17" t="str">
        <f>"PFES1162674296_0001"</f>
        <v>PFES1162674296_0001</v>
      </c>
      <c r="L2942" s="17">
        <v>1</v>
      </c>
      <c r="M2942" s="17">
        <v>3</v>
      </c>
    </row>
    <row r="2943" spans="1:13">
      <c r="A2943" s="6">
        <v>43516</v>
      </c>
      <c r="B2943" s="7">
        <v>0.56527777777777777</v>
      </c>
      <c r="C2943" s="17" t="str">
        <f>"FES1162674302"</f>
        <v>FES1162674302</v>
      </c>
      <c r="D2943" s="17" t="s">
        <v>18</v>
      </c>
      <c r="E2943" s="17" t="s">
        <v>58</v>
      </c>
      <c r="F2943" s="17" t="str">
        <f>"2170675364 "</f>
        <v xml:space="preserve">2170675364 </v>
      </c>
      <c r="G2943" s="17" t="str">
        <f t="shared" si="85"/>
        <v>ON1</v>
      </c>
      <c r="H2943" s="17" t="s">
        <v>20</v>
      </c>
      <c r="I2943" s="17" t="s">
        <v>59</v>
      </c>
      <c r="J2943" s="17" t="str">
        <f>""</f>
        <v/>
      </c>
      <c r="K2943" s="17" t="str">
        <f>"PFES1162674302_0001"</f>
        <v>PFES1162674302_0001</v>
      </c>
      <c r="L2943" s="17">
        <v>1</v>
      </c>
      <c r="M2943" s="17">
        <v>2</v>
      </c>
    </row>
    <row r="2944" spans="1:13">
      <c r="A2944" s="6">
        <v>43516</v>
      </c>
      <c r="B2944" s="7">
        <v>0.56527777777777777</v>
      </c>
      <c r="C2944" s="17" t="str">
        <f>"FES1162674301"</f>
        <v>FES1162674301</v>
      </c>
      <c r="D2944" s="17" t="s">
        <v>18</v>
      </c>
      <c r="E2944" s="17" t="s">
        <v>19</v>
      </c>
      <c r="F2944" s="17" t="str">
        <f>"2170675636 "</f>
        <v xml:space="preserve">2170675636 </v>
      </c>
      <c r="G2944" s="17" t="str">
        <f t="shared" si="85"/>
        <v>ON1</v>
      </c>
      <c r="H2944" s="17" t="s">
        <v>20</v>
      </c>
      <c r="I2944" s="17" t="s">
        <v>21</v>
      </c>
      <c r="J2944" s="17" t="str">
        <f>""</f>
        <v/>
      </c>
      <c r="K2944" s="17" t="str">
        <f>"PFES1162674301_0001"</f>
        <v>PFES1162674301_0001</v>
      </c>
      <c r="L2944" s="17">
        <v>1</v>
      </c>
      <c r="M2944" s="17">
        <v>1</v>
      </c>
    </row>
    <row r="2945" spans="1:13">
      <c r="A2945" s="6">
        <v>43516</v>
      </c>
      <c r="B2945" s="7">
        <v>0.56458333333333333</v>
      </c>
      <c r="C2945" s="17" t="str">
        <f>"FES1162674304"</f>
        <v>FES1162674304</v>
      </c>
      <c r="D2945" s="17" t="s">
        <v>18</v>
      </c>
      <c r="E2945" s="17" t="s">
        <v>19</v>
      </c>
      <c r="F2945" s="17" t="str">
        <f>"2170675366 "</f>
        <v xml:space="preserve">2170675366 </v>
      </c>
      <c r="G2945" s="17" t="str">
        <f t="shared" si="85"/>
        <v>ON1</v>
      </c>
      <c r="H2945" s="17" t="s">
        <v>20</v>
      </c>
      <c r="I2945" s="17" t="s">
        <v>21</v>
      </c>
      <c r="J2945" s="17" t="str">
        <f>""</f>
        <v/>
      </c>
      <c r="K2945" s="17" t="str">
        <f>"PFES1162674304_0001"</f>
        <v>PFES1162674304_0001</v>
      </c>
      <c r="L2945" s="17">
        <v>1</v>
      </c>
      <c r="M2945" s="17">
        <v>1</v>
      </c>
    </row>
    <row r="2946" spans="1:13">
      <c r="A2946" s="6">
        <v>43516</v>
      </c>
      <c r="B2946" s="7">
        <v>0.56458333333333333</v>
      </c>
      <c r="C2946" s="17" t="str">
        <f>"FES1162674318"</f>
        <v>FES1162674318</v>
      </c>
      <c r="D2946" s="17" t="s">
        <v>18</v>
      </c>
      <c r="E2946" s="17" t="s">
        <v>840</v>
      </c>
      <c r="F2946" s="17" t="str">
        <f>"217067387 "</f>
        <v xml:space="preserve">217067387 </v>
      </c>
      <c r="G2946" s="17" t="str">
        <f t="shared" si="85"/>
        <v>ON1</v>
      </c>
      <c r="H2946" s="17" t="s">
        <v>20</v>
      </c>
      <c r="I2946" s="17" t="s">
        <v>412</v>
      </c>
      <c r="J2946" s="17" t="str">
        <f>""</f>
        <v/>
      </c>
      <c r="K2946" s="17" t="str">
        <f>"PFES1162674318_0001"</f>
        <v>PFES1162674318_0001</v>
      </c>
      <c r="L2946" s="17">
        <v>1</v>
      </c>
      <c r="M2946" s="17">
        <v>1</v>
      </c>
    </row>
    <row r="2947" spans="1:13">
      <c r="A2947" s="6">
        <v>43516</v>
      </c>
      <c r="B2947" s="7">
        <v>0.56458333333333333</v>
      </c>
      <c r="C2947" s="17" t="str">
        <f>"FES1162674310"</f>
        <v>FES1162674310</v>
      </c>
      <c r="D2947" s="17" t="s">
        <v>18</v>
      </c>
      <c r="E2947" s="17" t="s">
        <v>832</v>
      </c>
      <c r="F2947" s="17" t="str">
        <f>"2170675376 "</f>
        <v xml:space="preserve">2170675376 </v>
      </c>
      <c r="G2947" s="17" t="str">
        <f t="shared" si="85"/>
        <v>ON1</v>
      </c>
      <c r="H2947" s="17" t="s">
        <v>20</v>
      </c>
      <c r="I2947" s="17" t="s">
        <v>833</v>
      </c>
      <c r="J2947" s="17" t="str">
        <f>""</f>
        <v/>
      </c>
      <c r="K2947" s="17" t="str">
        <f>"PFES1162674310_0001"</f>
        <v>PFES1162674310_0001</v>
      </c>
      <c r="L2947" s="17">
        <v>1</v>
      </c>
      <c r="M2947" s="17">
        <v>1</v>
      </c>
    </row>
    <row r="2948" spans="1:13">
      <c r="A2948" s="6">
        <v>43516</v>
      </c>
      <c r="B2948" s="7">
        <v>0.56388888888888888</v>
      </c>
      <c r="C2948" s="17" t="str">
        <f>"FES1162674299"</f>
        <v>FES1162674299</v>
      </c>
      <c r="D2948" s="17" t="s">
        <v>18</v>
      </c>
      <c r="E2948" s="17" t="s">
        <v>127</v>
      </c>
      <c r="F2948" s="17" t="str">
        <f>"2170675130 "</f>
        <v xml:space="preserve">2170675130 </v>
      </c>
      <c r="G2948" s="17" t="str">
        <f t="shared" si="85"/>
        <v>ON1</v>
      </c>
      <c r="H2948" s="17" t="s">
        <v>20</v>
      </c>
      <c r="I2948" s="17" t="s">
        <v>128</v>
      </c>
      <c r="J2948" s="17" t="str">
        <f>""</f>
        <v/>
      </c>
      <c r="K2948" s="17" t="str">
        <f>"PFES1162674299_0001"</f>
        <v>PFES1162674299_0001</v>
      </c>
      <c r="L2948" s="17">
        <v>1</v>
      </c>
      <c r="M2948" s="17">
        <v>1</v>
      </c>
    </row>
    <row r="2949" spans="1:13">
      <c r="A2949" s="6">
        <v>43516</v>
      </c>
      <c r="B2949" s="7">
        <v>0.56388888888888888</v>
      </c>
      <c r="C2949" s="17" t="str">
        <f>"FES1162674328"</f>
        <v>FES1162674328</v>
      </c>
      <c r="D2949" s="17" t="s">
        <v>18</v>
      </c>
      <c r="E2949" s="17" t="s">
        <v>880</v>
      </c>
      <c r="F2949" s="17" t="str">
        <f>"2170675397 "</f>
        <v xml:space="preserve">2170675397 </v>
      </c>
      <c r="G2949" s="17" t="str">
        <f t="shared" si="85"/>
        <v>ON1</v>
      </c>
      <c r="H2949" s="17" t="s">
        <v>20</v>
      </c>
      <c r="I2949" s="17" t="s">
        <v>233</v>
      </c>
      <c r="J2949" s="17" t="str">
        <f>""</f>
        <v/>
      </c>
      <c r="K2949" s="17" t="str">
        <f>"PFES1162674328_0001"</f>
        <v>PFES1162674328_0001</v>
      </c>
      <c r="L2949" s="17">
        <v>1</v>
      </c>
      <c r="M2949" s="17">
        <v>1</v>
      </c>
    </row>
    <row r="2950" spans="1:13">
      <c r="A2950" s="6">
        <v>43516</v>
      </c>
      <c r="B2950" s="7">
        <v>0.56388888888888888</v>
      </c>
      <c r="C2950" s="17" t="str">
        <f>"FES1162674329"</f>
        <v>FES1162674329</v>
      </c>
      <c r="D2950" s="17" t="s">
        <v>18</v>
      </c>
      <c r="E2950" s="17" t="s">
        <v>190</v>
      </c>
      <c r="F2950" s="17" t="str">
        <f>"2170675398 "</f>
        <v xml:space="preserve">2170675398 </v>
      </c>
      <c r="G2950" s="17" t="str">
        <f t="shared" si="85"/>
        <v>ON1</v>
      </c>
      <c r="H2950" s="17" t="s">
        <v>20</v>
      </c>
      <c r="I2950" s="17" t="s">
        <v>111</v>
      </c>
      <c r="J2950" s="17" t="str">
        <f>""</f>
        <v/>
      </c>
      <c r="K2950" s="17" t="str">
        <f>"PFES1162674329_0001"</f>
        <v>PFES1162674329_0001</v>
      </c>
      <c r="L2950" s="17">
        <v>1</v>
      </c>
      <c r="M2950" s="17">
        <v>1</v>
      </c>
    </row>
    <row r="2951" spans="1:13">
      <c r="A2951" s="6">
        <v>43516</v>
      </c>
      <c r="B2951" s="7">
        <v>0.53402777777777777</v>
      </c>
      <c r="C2951" s="17" t="str">
        <f>"FES1162674307"</f>
        <v>FES1162674307</v>
      </c>
      <c r="D2951" s="17" t="s">
        <v>18</v>
      </c>
      <c r="E2951" s="17" t="s">
        <v>313</v>
      </c>
      <c r="F2951" s="17" t="str">
        <f>"2170675372 "</f>
        <v xml:space="preserve">2170675372 </v>
      </c>
      <c r="G2951" s="17" t="str">
        <f t="shared" si="85"/>
        <v>ON1</v>
      </c>
      <c r="H2951" s="17" t="s">
        <v>20</v>
      </c>
      <c r="I2951" s="17" t="s">
        <v>314</v>
      </c>
      <c r="J2951" s="17" t="str">
        <f>""</f>
        <v/>
      </c>
      <c r="K2951" s="17" t="str">
        <f>"PFES1162674307_0001"</f>
        <v>PFES1162674307_0001</v>
      </c>
      <c r="L2951" s="17">
        <v>1</v>
      </c>
      <c r="M2951" s="17">
        <v>1</v>
      </c>
    </row>
    <row r="2952" spans="1:13">
      <c r="A2952" s="6">
        <v>43516</v>
      </c>
      <c r="B2952" s="7">
        <v>0.53263888888888888</v>
      </c>
      <c r="C2952" s="17" t="str">
        <f>"FES1162674311"</f>
        <v>FES1162674311</v>
      </c>
      <c r="D2952" s="17" t="s">
        <v>18</v>
      </c>
      <c r="E2952" s="17" t="s">
        <v>92</v>
      </c>
      <c r="F2952" s="17" t="str">
        <f>"217065377 "</f>
        <v xml:space="preserve">217065377 </v>
      </c>
      <c r="G2952" s="17" t="str">
        <f t="shared" si="85"/>
        <v>ON1</v>
      </c>
      <c r="H2952" s="17" t="s">
        <v>20</v>
      </c>
      <c r="I2952" s="17" t="s">
        <v>93</v>
      </c>
      <c r="J2952" s="17" t="str">
        <f>""</f>
        <v/>
      </c>
      <c r="K2952" s="17" t="str">
        <f>"PFES1162674311_0001"</f>
        <v>PFES1162674311_0001</v>
      </c>
      <c r="L2952" s="17">
        <v>1</v>
      </c>
      <c r="M2952" s="17">
        <v>1</v>
      </c>
    </row>
    <row r="2953" spans="1:13">
      <c r="A2953" s="6">
        <v>43516</v>
      </c>
      <c r="B2953" s="7">
        <v>0.53263888888888888</v>
      </c>
      <c r="C2953" s="17" t="str">
        <f>"FES1162674303"</f>
        <v>FES1162674303</v>
      </c>
      <c r="D2953" s="17" t="s">
        <v>18</v>
      </c>
      <c r="E2953" s="17" t="s">
        <v>1080</v>
      </c>
      <c r="F2953" s="17" t="str">
        <f>"2170675365 "</f>
        <v xml:space="preserve">2170675365 </v>
      </c>
      <c r="G2953" s="17" t="str">
        <f t="shared" si="85"/>
        <v>ON1</v>
      </c>
      <c r="H2953" s="17" t="s">
        <v>20</v>
      </c>
      <c r="I2953" s="17" t="s">
        <v>435</v>
      </c>
      <c r="J2953" s="17" t="str">
        <f>""</f>
        <v/>
      </c>
      <c r="K2953" s="17" t="str">
        <f>"PFES1162674303_0001"</f>
        <v>PFES1162674303_0001</v>
      </c>
      <c r="L2953" s="17">
        <v>1</v>
      </c>
      <c r="M2953" s="17">
        <v>1</v>
      </c>
    </row>
    <row r="2954" spans="1:13">
      <c r="A2954" s="6">
        <v>43516</v>
      </c>
      <c r="B2954" s="7">
        <v>0.53125</v>
      </c>
      <c r="C2954" s="17" t="str">
        <f>"FES1162674316"</f>
        <v>FES1162674316</v>
      </c>
      <c r="D2954" s="17" t="s">
        <v>18</v>
      </c>
      <c r="E2954" s="17" t="s">
        <v>517</v>
      </c>
      <c r="F2954" s="17" t="str">
        <f>"2170675834 "</f>
        <v xml:space="preserve">2170675834 </v>
      </c>
      <c r="G2954" s="17" t="str">
        <f t="shared" si="85"/>
        <v>ON1</v>
      </c>
      <c r="H2954" s="17" t="s">
        <v>20</v>
      </c>
      <c r="I2954" s="17" t="s">
        <v>518</v>
      </c>
      <c r="J2954" s="17" t="str">
        <f>""</f>
        <v/>
      </c>
      <c r="K2954" s="17" t="str">
        <f>"PFES1162674316_0001"</f>
        <v>PFES1162674316_0001</v>
      </c>
      <c r="L2954" s="17">
        <v>1</v>
      </c>
      <c r="M2954" s="17">
        <v>1</v>
      </c>
    </row>
    <row r="2955" spans="1:13">
      <c r="A2955" s="6">
        <v>43516</v>
      </c>
      <c r="B2955" s="7">
        <v>0.53125</v>
      </c>
      <c r="C2955" s="17" t="str">
        <f>"FES1162674277"</f>
        <v>FES1162674277</v>
      </c>
      <c r="D2955" s="17" t="s">
        <v>18</v>
      </c>
      <c r="E2955" s="17" t="s">
        <v>73</v>
      </c>
      <c r="F2955" s="17" t="str">
        <f>"2170675051 "</f>
        <v xml:space="preserve">2170675051 </v>
      </c>
      <c r="G2955" s="17" t="str">
        <f t="shared" si="85"/>
        <v>ON1</v>
      </c>
      <c r="H2955" s="17" t="s">
        <v>20</v>
      </c>
      <c r="I2955" s="17" t="s">
        <v>61</v>
      </c>
      <c r="J2955" s="17" t="str">
        <f>""</f>
        <v/>
      </c>
      <c r="K2955" s="17" t="str">
        <f>"PFES1162674277_0001"</f>
        <v>PFES1162674277_0001</v>
      </c>
      <c r="L2955" s="17">
        <v>1</v>
      </c>
      <c r="M2955" s="17">
        <v>1</v>
      </c>
    </row>
    <row r="2956" spans="1:13">
      <c r="A2956" s="6">
        <v>43516</v>
      </c>
      <c r="B2956" s="7">
        <v>0.53055555555555556</v>
      </c>
      <c r="C2956" s="17" t="str">
        <f>"FES1162674279"</f>
        <v>FES1162674279</v>
      </c>
      <c r="D2956" s="17" t="s">
        <v>18</v>
      </c>
      <c r="E2956" s="17" t="s">
        <v>140</v>
      </c>
      <c r="F2956" s="17" t="str">
        <f>"2170675339 "</f>
        <v xml:space="preserve">2170675339 </v>
      </c>
      <c r="G2956" s="17" t="str">
        <f t="shared" si="85"/>
        <v>ON1</v>
      </c>
      <c r="H2956" s="17" t="s">
        <v>20</v>
      </c>
      <c r="I2956" s="17" t="s">
        <v>141</v>
      </c>
      <c r="J2956" s="17" t="str">
        <f>""</f>
        <v/>
      </c>
      <c r="K2956" s="17" t="str">
        <f>"PFES1162674279_0001"</f>
        <v>PFES1162674279_0001</v>
      </c>
      <c r="L2956" s="17">
        <v>1</v>
      </c>
      <c r="M2956" s="17">
        <v>1</v>
      </c>
    </row>
    <row r="2957" spans="1:13">
      <c r="A2957" s="6">
        <v>43516</v>
      </c>
      <c r="B2957" s="7">
        <v>0.53055555555555556</v>
      </c>
      <c r="C2957" s="17" t="str">
        <f>"FES1162674297"</f>
        <v>FES1162674297</v>
      </c>
      <c r="D2957" s="17" t="s">
        <v>18</v>
      </c>
      <c r="E2957" s="17" t="s">
        <v>1081</v>
      </c>
      <c r="F2957" s="17" t="str">
        <f>"2170675356 "</f>
        <v xml:space="preserve">2170675356 </v>
      </c>
      <c r="G2957" s="17" t="str">
        <f t="shared" si="85"/>
        <v>ON1</v>
      </c>
      <c r="H2957" s="17" t="s">
        <v>20</v>
      </c>
      <c r="I2957" s="17" t="s">
        <v>50</v>
      </c>
      <c r="J2957" s="17" t="str">
        <f>""</f>
        <v/>
      </c>
      <c r="K2957" s="17" t="str">
        <f>"PFES1162674297_0001"</f>
        <v>PFES1162674297_0001</v>
      </c>
      <c r="L2957" s="17">
        <v>1</v>
      </c>
      <c r="M2957" s="17">
        <v>1</v>
      </c>
    </row>
    <row r="2958" spans="1:13">
      <c r="A2958" s="6">
        <v>43516</v>
      </c>
      <c r="B2958" s="7">
        <v>0.52986111111111112</v>
      </c>
      <c r="C2958" s="17" t="str">
        <f>"FES1162674274"</f>
        <v>FES1162674274</v>
      </c>
      <c r="D2958" s="17" t="s">
        <v>18</v>
      </c>
      <c r="E2958" s="17" t="s">
        <v>556</v>
      </c>
      <c r="F2958" s="17" t="str">
        <f>"2170675244 "</f>
        <v xml:space="preserve">2170675244 </v>
      </c>
      <c r="G2958" s="17" t="str">
        <f t="shared" si="85"/>
        <v>ON1</v>
      </c>
      <c r="H2958" s="17" t="s">
        <v>20</v>
      </c>
      <c r="I2958" s="17" t="s">
        <v>435</v>
      </c>
      <c r="J2958" s="17" t="str">
        <f>""</f>
        <v/>
      </c>
      <c r="K2958" s="17" t="str">
        <f>"PFES1162674274_0001"</f>
        <v>PFES1162674274_0001</v>
      </c>
      <c r="L2958" s="17">
        <v>1</v>
      </c>
      <c r="M2958" s="17">
        <v>1</v>
      </c>
    </row>
    <row r="2959" spans="1:13">
      <c r="A2959" s="6">
        <v>43516</v>
      </c>
      <c r="B2959" s="7">
        <v>0.52777777777777779</v>
      </c>
      <c r="C2959" s="17" t="str">
        <f>"FES1162674155"</f>
        <v>FES1162674155</v>
      </c>
      <c r="D2959" s="17" t="s">
        <v>18</v>
      </c>
      <c r="E2959" s="17" t="s">
        <v>47</v>
      </c>
      <c r="F2959" s="17" t="str">
        <f>"2170669321 "</f>
        <v xml:space="preserve">2170669321 </v>
      </c>
      <c r="G2959" s="17" t="str">
        <f t="shared" si="85"/>
        <v>ON1</v>
      </c>
      <c r="H2959" s="17" t="s">
        <v>20</v>
      </c>
      <c r="I2959" s="17" t="s">
        <v>48</v>
      </c>
      <c r="J2959" s="17" t="str">
        <f>""</f>
        <v/>
      </c>
      <c r="K2959" s="17" t="str">
        <f>"PFES1162674155_0001"</f>
        <v>PFES1162674155_0001</v>
      </c>
      <c r="L2959" s="17">
        <v>1</v>
      </c>
      <c r="M2959" s="17">
        <v>3</v>
      </c>
    </row>
    <row r="2960" spans="1:13">
      <c r="A2960" s="6">
        <v>43516</v>
      </c>
      <c r="B2960" s="7">
        <v>0.52708333333333335</v>
      </c>
      <c r="C2960" s="17" t="str">
        <f>"FES1162674043"</f>
        <v>FES1162674043</v>
      </c>
      <c r="D2960" s="17" t="s">
        <v>18</v>
      </c>
      <c r="E2960" s="17" t="s">
        <v>1082</v>
      </c>
      <c r="F2960" s="17" t="str">
        <f>"2170675119 "</f>
        <v xml:space="preserve">2170675119 </v>
      </c>
      <c r="G2960" s="17" t="str">
        <f t="shared" si="85"/>
        <v>ON1</v>
      </c>
      <c r="H2960" s="17" t="s">
        <v>20</v>
      </c>
      <c r="I2960" s="17" t="s">
        <v>1083</v>
      </c>
      <c r="J2960" s="17" t="str">
        <f>""</f>
        <v/>
      </c>
      <c r="K2960" s="17" t="str">
        <f>"PFES1162674043_0001"</f>
        <v>PFES1162674043_0001</v>
      </c>
      <c r="L2960" s="17">
        <v>1</v>
      </c>
      <c r="M2960" s="17">
        <v>3</v>
      </c>
    </row>
    <row r="2961" spans="1:13">
      <c r="A2961" s="6">
        <v>43516</v>
      </c>
      <c r="B2961" s="7">
        <v>0.52638888888888891</v>
      </c>
      <c r="C2961" s="17" t="str">
        <f>"FES1162673996"</f>
        <v>FES1162673996</v>
      </c>
      <c r="D2961" s="17" t="s">
        <v>18</v>
      </c>
      <c r="E2961" s="17" t="s">
        <v>1072</v>
      </c>
      <c r="F2961" s="17" t="str">
        <f>"2170673730 "</f>
        <v xml:space="preserve">2170673730 </v>
      </c>
      <c r="G2961" s="17" t="str">
        <f t="shared" si="85"/>
        <v>ON1</v>
      </c>
      <c r="H2961" s="17" t="s">
        <v>20</v>
      </c>
      <c r="I2961" s="17" t="s">
        <v>139</v>
      </c>
      <c r="J2961" s="17" t="str">
        <f>""</f>
        <v/>
      </c>
      <c r="K2961" s="17" t="str">
        <f>"PFES1162673996_0001"</f>
        <v>PFES1162673996_0001</v>
      </c>
      <c r="L2961" s="17">
        <v>1</v>
      </c>
      <c r="M2961" s="17">
        <v>10</v>
      </c>
    </row>
    <row r="2962" spans="1:13">
      <c r="A2962" s="6">
        <v>43516</v>
      </c>
      <c r="B2962" s="7">
        <v>0.52500000000000002</v>
      </c>
      <c r="C2962" s="17" t="str">
        <f>"FES1162673986"</f>
        <v>FES1162673986</v>
      </c>
      <c r="D2962" s="17" t="s">
        <v>18</v>
      </c>
      <c r="E2962" s="17" t="s">
        <v>730</v>
      </c>
      <c r="F2962" s="17" t="str">
        <f>"2170675037 "</f>
        <v xml:space="preserve">2170675037 </v>
      </c>
      <c r="G2962" s="17" t="str">
        <f t="shared" si="85"/>
        <v>ON1</v>
      </c>
      <c r="H2962" s="17" t="s">
        <v>20</v>
      </c>
      <c r="I2962" s="17" t="s">
        <v>731</v>
      </c>
      <c r="J2962" s="17" t="str">
        <f>""</f>
        <v/>
      </c>
      <c r="K2962" s="17" t="str">
        <f>"PFES1162673986_0001"</f>
        <v>PFES1162673986_0001</v>
      </c>
      <c r="L2962" s="17">
        <v>1</v>
      </c>
      <c r="M2962" s="17">
        <v>9</v>
      </c>
    </row>
    <row r="2963" spans="1:13">
      <c r="A2963" s="6">
        <v>43516</v>
      </c>
      <c r="B2963" s="7">
        <v>0.52361111111111114</v>
      </c>
      <c r="C2963" s="17" t="str">
        <f>"FES1162674124"</f>
        <v>FES1162674124</v>
      </c>
      <c r="D2963" s="17" t="s">
        <v>18</v>
      </c>
      <c r="E2963" s="17" t="s">
        <v>624</v>
      </c>
      <c r="F2963" s="17" t="str">
        <f>"2170670188 "</f>
        <v xml:space="preserve">2170670188 </v>
      </c>
      <c r="G2963" s="17" t="str">
        <f t="shared" si="85"/>
        <v>ON1</v>
      </c>
      <c r="H2963" s="17" t="s">
        <v>20</v>
      </c>
      <c r="I2963" s="17" t="s">
        <v>29</v>
      </c>
      <c r="J2963" s="17" t="str">
        <f>""</f>
        <v/>
      </c>
      <c r="K2963" s="17" t="str">
        <f>"PFES1162674124_0001"</f>
        <v>PFES1162674124_0001</v>
      </c>
      <c r="L2963" s="17">
        <v>1</v>
      </c>
      <c r="M2963" s="17">
        <v>2</v>
      </c>
    </row>
    <row r="2964" spans="1:13">
      <c r="A2964" s="6">
        <v>43516</v>
      </c>
      <c r="B2964" s="7">
        <v>0.52222222222222225</v>
      </c>
      <c r="C2964" s="17" t="str">
        <f>"FES1162674207"</f>
        <v>FES1162674207</v>
      </c>
      <c r="D2964" s="17" t="s">
        <v>18</v>
      </c>
      <c r="E2964" s="17" t="s">
        <v>451</v>
      </c>
      <c r="F2964" s="17" t="str">
        <f>"2170675259 "</f>
        <v xml:space="preserve">2170675259 </v>
      </c>
      <c r="G2964" s="17" t="str">
        <f t="shared" si="85"/>
        <v>ON1</v>
      </c>
      <c r="H2964" s="17" t="s">
        <v>20</v>
      </c>
      <c r="I2964" s="17" t="s">
        <v>149</v>
      </c>
      <c r="J2964" s="17" t="str">
        <f>""</f>
        <v/>
      </c>
      <c r="K2964" s="17" t="str">
        <f>"PFES1162674207_0001"</f>
        <v>PFES1162674207_0001</v>
      </c>
      <c r="L2964" s="17">
        <v>1</v>
      </c>
      <c r="M2964" s="17">
        <v>1</v>
      </c>
    </row>
    <row r="2965" spans="1:13">
      <c r="A2965" s="6">
        <v>43516</v>
      </c>
      <c r="B2965" s="7">
        <v>0.52152777777777781</v>
      </c>
      <c r="C2965" s="17" t="str">
        <f>"FES1162674189"</f>
        <v>FES1162674189</v>
      </c>
      <c r="D2965" s="17" t="s">
        <v>18</v>
      </c>
      <c r="E2965" s="17" t="s">
        <v>434</v>
      </c>
      <c r="F2965" s="17" t="str">
        <f>"2170675241 "</f>
        <v xml:space="preserve">2170675241 </v>
      </c>
      <c r="G2965" s="17" t="str">
        <f t="shared" si="85"/>
        <v>ON1</v>
      </c>
      <c r="H2965" s="17" t="s">
        <v>20</v>
      </c>
      <c r="I2965" s="17" t="s">
        <v>435</v>
      </c>
      <c r="J2965" s="17" t="str">
        <f>""</f>
        <v/>
      </c>
      <c r="K2965" s="17" t="str">
        <f>"PFES1162674189_0001"</f>
        <v>PFES1162674189_0001</v>
      </c>
      <c r="L2965" s="17">
        <v>1</v>
      </c>
      <c r="M2965" s="17">
        <v>1</v>
      </c>
    </row>
    <row r="2966" spans="1:13">
      <c r="A2966" s="6">
        <v>43516</v>
      </c>
      <c r="B2966" s="7">
        <v>0.52083333333333337</v>
      </c>
      <c r="C2966" s="17" t="str">
        <f>"FES1162674145"</f>
        <v>FES1162674145</v>
      </c>
      <c r="D2966" s="17" t="s">
        <v>18</v>
      </c>
      <c r="E2966" s="17" t="s">
        <v>162</v>
      </c>
      <c r="F2966" s="17" t="str">
        <f>"2170674664 "</f>
        <v xml:space="preserve">2170674664 </v>
      </c>
      <c r="G2966" s="17" t="str">
        <f t="shared" si="85"/>
        <v>ON1</v>
      </c>
      <c r="H2966" s="17" t="s">
        <v>20</v>
      </c>
      <c r="I2966" s="17" t="s">
        <v>163</v>
      </c>
      <c r="J2966" s="17" t="str">
        <f>""</f>
        <v/>
      </c>
      <c r="K2966" s="17" t="str">
        <f>"PFES1162674145_0001"</f>
        <v>PFES1162674145_0001</v>
      </c>
      <c r="L2966" s="17">
        <v>1</v>
      </c>
      <c r="M2966" s="17">
        <v>1</v>
      </c>
    </row>
    <row r="2967" spans="1:13">
      <c r="A2967" s="6">
        <v>43516</v>
      </c>
      <c r="B2967" s="7">
        <v>0.51944444444444449</v>
      </c>
      <c r="C2967" s="17" t="str">
        <f>"FES1162674160"</f>
        <v>FES1162674160</v>
      </c>
      <c r="D2967" s="17" t="s">
        <v>18</v>
      </c>
      <c r="E2967" s="17" t="s">
        <v>387</v>
      </c>
      <c r="F2967" s="17" t="str">
        <f>"2170672726 "</f>
        <v xml:space="preserve">2170672726 </v>
      </c>
      <c r="G2967" s="17" t="str">
        <f t="shared" si="85"/>
        <v>ON1</v>
      </c>
      <c r="H2967" s="17" t="s">
        <v>20</v>
      </c>
      <c r="I2967" s="17" t="s">
        <v>388</v>
      </c>
      <c r="J2967" s="17" t="str">
        <f>""</f>
        <v/>
      </c>
      <c r="K2967" s="17" t="str">
        <f>"PFES1162674160_0001"</f>
        <v>PFES1162674160_0001</v>
      </c>
      <c r="L2967" s="17">
        <v>1</v>
      </c>
      <c r="M2967" s="17">
        <v>10</v>
      </c>
    </row>
    <row r="2968" spans="1:13">
      <c r="A2968" s="6">
        <v>43516</v>
      </c>
      <c r="B2968" s="7">
        <v>0.51874999999999993</v>
      </c>
      <c r="C2968" s="17" t="str">
        <f>"FES1162674153"</f>
        <v>FES1162674153</v>
      </c>
      <c r="D2968" s="17" t="s">
        <v>18</v>
      </c>
      <c r="E2968" s="17" t="s">
        <v>347</v>
      </c>
      <c r="F2968" s="17" t="str">
        <f>"2170670356 "</f>
        <v xml:space="preserve">2170670356 </v>
      </c>
      <c r="G2968" s="17" t="str">
        <f t="shared" si="85"/>
        <v>ON1</v>
      </c>
      <c r="H2968" s="17" t="s">
        <v>20</v>
      </c>
      <c r="I2968" s="17" t="s">
        <v>290</v>
      </c>
      <c r="J2968" s="17" t="str">
        <f>""</f>
        <v/>
      </c>
      <c r="K2968" s="17" t="str">
        <f>"PFES1162674153_0001"</f>
        <v>PFES1162674153_0001</v>
      </c>
      <c r="L2968" s="17">
        <v>1</v>
      </c>
      <c r="M2968" s="17">
        <v>4</v>
      </c>
    </row>
    <row r="2969" spans="1:13">
      <c r="A2969" s="6">
        <v>43516</v>
      </c>
      <c r="B2969" s="7">
        <v>0.51736111111111105</v>
      </c>
      <c r="C2969" s="17" t="str">
        <f>"FES1162674231"</f>
        <v>FES1162674231</v>
      </c>
      <c r="D2969" s="17" t="s">
        <v>18</v>
      </c>
      <c r="E2969" s="17" t="s">
        <v>1084</v>
      </c>
      <c r="F2969" s="17" t="str">
        <f>"2170674610 "</f>
        <v xml:space="preserve">2170674610 </v>
      </c>
      <c r="G2969" s="17" t="str">
        <f t="shared" si="85"/>
        <v>ON1</v>
      </c>
      <c r="H2969" s="17" t="s">
        <v>20</v>
      </c>
      <c r="I2969" s="17" t="s">
        <v>81</v>
      </c>
      <c r="J2969" s="17" t="str">
        <f>""</f>
        <v/>
      </c>
      <c r="K2969" s="17" t="str">
        <f>"PFES1162674231_0001"</f>
        <v>PFES1162674231_0001</v>
      </c>
      <c r="L2969" s="17">
        <v>1</v>
      </c>
      <c r="M2969" s="17">
        <v>2</v>
      </c>
    </row>
    <row r="2970" spans="1:13">
      <c r="A2970" s="6">
        <v>43516</v>
      </c>
      <c r="B2970" s="7">
        <v>0.51666666666666672</v>
      </c>
      <c r="C2970" s="17" t="str">
        <f>"FES1162674166"</f>
        <v>FES1162674166</v>
      </c>
      <c r="D2970" s="17" t="s">
        <v>18</v>
      </c>
      <c r="E2970" s="17" t="s">
        <v>746</v>
      </c>
      <c r="F2970" s="17" t="str">
        <f>"2170673365 "</f>
        <v xml:space="preserve">2170673365 </v>
      </c>
      <c r="G2970" s="17" t="str">
        <f t="shared" ref="G2970:G3033" si="86">"ON1"</f>
        <v>ON1</v>
      </c>
      <c r="H2970" s="17" t="s">
        <v>20</v>
      </c>
      <c r="I2970" s="17" t="s">
        <v>747</v>
      </c>
      <c r="J2970" s="17" t="str">
        <f>""</f>
        <v/>
      </c>
      <c r="K2970" s="17" t="str">
        <f>"PFES1162674166_0001"</f>
        <v>PFES1162674166_0001</v>
      </c>
      <c r="L2970" s="17">
        <v>1</v>
      </c>
      <c r="M2970" s="17">
        <v>2</v>
      </c>
    </row>
    <row r="2971" spans="1:13">
      <c r="A2971" s="6">
        <v>43516</v>
      </c>
      <c r="B2971" s="7">
        <v>0.51458333333333328</v>
      </c>
      <c r="C2971" s="17" t="str">
        <f>"FES1162674215"</f>
        <v>FES1162674215</v>
      </c>
      <c r="D2971" s="17" t="s">
        <v>18</v>
      </c>
      <c r="E2971" s="17" t="s">
        <v>462</v>
      </c>
      <c r="F2971" s="17" t="str">
        <f>"2170675272 "</f>
        <v xml:space="preserve">2170675272 </v>
      </c>
      <c r="G2971" s="17" t="str">
        <f t="shared" si="86"/>
        <v>ON1</v>
      </c>
      <c r="H2971" s="17" t="s">
        <v>20</v>
      </c>
      <c r="I2971" s="17" t="s">
        <v>463</v>
      </c>
      <c r="J2971" s="17" t="str">
        <f>""</f>
        <v/>
      </c>
      <c r="K2971" s="17" t="str">
        <f>"PFES1162674215_0001"</f>
        <v>PFES1162674215_0001</v>
      </c>
      <c r="L2971" s="17">
        <v>1</v>
      </c>
      <c r="M2971" s="17">
        <v>14</v>
      </c>
    </row>
    <row r="2972" spans="1:13">
      <c r="A2972" s="6">
        <v>43516</v>
      </c>
      <c r="B2972" s="7">
        <v>0.5131944444444444</v>
      </c>
      <c r="C2972" s="17" t="str">
        <f>"FES1162674165"</f>
        <v>FES1162674165</v>
      </c>
      <c r="D2972" s="17" t="s">
        <v>18</v>
      </c>
      <c r="E2972" s="17" t="s">
        <v>704</v>
      </c>
      <c r="F2972" s="17" t="str">
        <f>"2170673336 "</f>
        <v xml:space="preserve">2170673336 </v>
      </c>
      <c r="G2972" s="17" t="str">
        <f t="shared" si="86"/>
        <v>ON1</v>
      </c>
      <c r="H2972" s="17" t="s">
        <v>20</v>
      </c>
      <c r="I2972" s="17" t="s">
        <v>228</v>
      </c>
      <c r="J2972" s="17" t="str">
        <f>""</f>
        <v/>
      </c>
      <c r="K2972" s="17" t="str">
        <f>"PFES1162674165_0001"</f>
        <v>PFES1162674165_0001</v>
      </c>
      <c r="L2972" s="17">
        <v>1</v>
      </c>
      <c r="M2972" s="17">
        <v>8</v>
      </c>
    </row>
    <row r="2973" spans="1:13">
      <c r="A2973" s="6">
        <v>43516</v>
      </c>
      <c r="B2973" s="7">
        <v>0.51180555555555551</v>
      </c>
      <c r="C2973" s="17" t="str">
        <f>"FES1162674171"</f>
        <v>FES1162674171</v>
      </c>
      <c r="D2973" s="17" t="s">
        <v>18</v>
      </c>
      <c r="E2973" s="17" t="s">
        <v>581</v>
      </c>
      <c r="F2973" s="17" t="str">
        <f>"2170673697 "</f>
        <v xml:space="preserve">2170673697 </v>
      </c>
      <c r="G2973" s="17" t="str">
        <f t="shared" si="86"/>
        <v>ON1</v>
      </c>
      <c r="H2973" s="17" t="s">
        <v>20</v>
      </c>
      <c r="I2973" s="17" t="s">
        <v>504</v>
      </c>
      <c r="J2973" s="17" t="str">
        <f>""</f>
        <v/>
      </c>
      <c r="K2973" s="17" t="str">
        <f>"PFES1162674171_0001"</f>
        <v>PFES1162674171_0001</v>
      </c>
      <c r="L2973" s="17">
        <v>1</v>
      </c>
      <c r="M2973" s="17">
        <v>2</v>
      </c>
    </row>
    <row r="2974" spans="1:13">
      <c r="A2974" s="6">
        <v>43516</v>
      </c>
      <c r="B2974" s="7">
        <v>0.51111111111111118</v>
      </c>
      <c r="C2974" s="17" t="str">
        <f>"FES1162674175"</f>
        <v>FES1162674175</v>
      </c>
      <c r="D2974" s="17" t="s">
        <v>18</v>
      </c>
      <c r="E2974" s="17" t="s">
        <v>1085</v>
      </c>
      <c r="F2974" s="17" t="str">
        <f>"2170674864 "</f>
        <v xml:space="preserve">2170674864 </v>
      </c>
      <c r="G2974" s="17" t="str">
        <f t="shared" si="86"/>
        <v>ON1</v>
      </c>
      <c r="H2974" s="17" t="s">
        <v>20</v>
      </c>
      <c r="I2974" s="17" t="s">
        <v>63</v>
      </c>
      <c r="J2974" s="17" t="str">
        <f>""</f>
        <v/>
      </c>
      <c r="K2974" s="17" t="str">
        <f>"PFES1162674175_0001"</f>
        <v>PFES1162674175_0001</v>
      </c>
      <c r="L2974" s="17">
        <v>1</v>
      </c>
      <c r="M2974" s="17">
        <v>11</v>
      </c>
    </row>
    <row r="2975" spans="1:13">
      <c r="A2975" s="6">
        <v>43516</v>
      </c>
      <c r="B2975" s="7">
        <v>0.50972222222222219</v>
      </c>
      <c r="C2975" s="17" t="str">
        <f>"FES1162674287"</f>
        <v>FES1162674287</v>
      </c>
      <c r="D2975" s="17" t="s">
        <v>18</v>
      </c>
      <c r="E2975" s="17" t="s">
        <v>1086</v>
      </c>
      <c r="F2975" s="17" t="str">
        <f>"2170675344 "</f>
        <v xml:space="preserve">2170675344 </v>
      </c>
      <c r="G2975" s="17" t="str">
        <f t="shared" si="86"/>
        <v>ON1</v>
      </c>
      <c r="H2975" s="17" t="s">
        <v>20</v>
      </c>
      <c r="I2975" s="17" t="s">
        <v>1087</v>
      </c>
      <c r="J2975" s="17" t="str">
        <f>""</f>
        <v/>
      </c>
      <c r="K2975" s="17" t="str">
        <f>"PFES1162674287_0001"</f>
        <v>PFES1162674287_0001</v>
      </c>
      <c r="L2975" s="17">
        <v>1</v>
      </c>
      <c r="M2975" s="17">
        <v>1</v>
      </c>
    </row>
    <row r="2976" spans="1:13">
      <c r="A2976" s="6">
        <v>43516</v>
      </c>
      <c r="B2976" s="7">
        <v>0.50902777777777775</v>
      </c>
      <c r="C2976" s="17" t="str">
        <f>"FES1162674281"</f>
        <v>FES1162674281</v>
      </c>
      <c r="D2976" s="17" t="s">
        <v>18</v>
      </c>
      <c r="E2976" s="17" t="s">
        <v>246</v>
      </c>
      <c r="F2976" s="17" t="str">
        <f>"2170675287 "</f>
        <v xml:space="preserve">2170675287 </v>
      </c>
      <c r="G2976" s="17" t="str">
        <f t="shared" si="86"/>
        <v>ON1</v>
      </c>
      <c r="H2976" s="17" t="s">
        <v>20</v>
      </c>
      <c r="I2976" s="17" t="s">
        <v>53</v>
      </c>
      <c r="J2976" s="17" t="str">
        <f>""</f>
        <v/>
      </c>
      <c r="K2976" s="17" t="str">
        <f>"PFES1162674281_0001"</f>
        <v>PFES1162674281_0001</v>
      </c>
      <c r="L2976" s="17">
        <v>1</v>
      </c>
      <c r="M2976" s="17">
        <v>1</v>
      </c>
    </row>
    <row r="2977" spans="1:13">
      <c r="A2977" s="6">
        <v>43516</v>
      </c>
      <c r="B2977" s="7">
        <v>0.50902777777777775</v>
      </c>
      <c r="C2977" s="17" t="str">
        <f>"FES1162674225"</f>
        <v>FES1162674225</v>
      </c>
      <c r="D2977" s="17" t="s">
        <v>18</v>
      </c>
      <c r="E2977" s="17" t="s">
        <v>879</v>
      </c>
      <c r="F2977" s="17" t="str">
        <f>"2170675283 "</f>
        <v xml:space="preserve">2170675283 </v>
      </c>
      <c r="G2977" s="17" t="str">
        <f t="shared" si="86"/>
        <v>ON1</v>
      </c>
      <c r="H2977" s="17" t="s">
        <v>20</v>
      </c>
      <c r="I2977" s="17" t="s">
        <v>276</v>
      </c>
      <c r="J2977" s="17" t="str">
        <f>""</f>
        <v/>
      </c>
      <c r="K2977" s="17" t="str">
        <f>"PFES1162674225_0001"</f>
        <v>PFES1162674225_0001</v>
      </c>
      <c r="L2977" s="17">
        <v>1</v>
      </c>
      <c r="M2977" s="17">
        <v>1</v>
      </c>
    </row>
    <row r="2978" spans="1:13">
      <c r="A2978" s="6">
        <v>43516</v>
      </c>
      <c r="B2978" s="7">
        <v>0.5083333333333333</v>
      </c>
      <c r="C2978" s="17" t="str">
        <f>"FES1162674250"</f>
        <v>FES1162674250</v>
      </c>
      <c r="D2978" s="17" t="s">
        <v>18</v>
      </c>
      <c r="E2978" s="17" t="s">
        <v>524</v>
      </c>
      <c r="F2978" s="17" t="str">
        <f>"2170675312 "</f>
        <v xml:space="preserve">2170675312 </v>
      </c>
      <c r="G2978" s="17" t="str">
        <f t="shared" si="86"/>
        <v>ON1</v>
      </c>
      <c r="H2978" s="17" t="s">
        <v>20</v>
      </c>
      <c r="I2978" s="17" t="s">
        <v>525</v>
      </c>
      <c r="J2978" s="17" t="str">
        <f>""</f>
        <v/>
      </c>
      <c r="K2978" s="17" t="str">
        <f>"PFES1162674250_0001"</f>
        <v>PFES1162674250_0001</v>
      </c>
      <c r="L2978" s="17">
        <v>1</v>
      </c>
      <c r="M2978" s="17">
        <v>1</v>
      </c>
    </row>
    <row r="2979" spans="1:13">
      <c r="A2979" s="6">
        <v>43516</v>
      </c>
      <c r="B2979" s="7">
        <v>0.50763888888888886</v>
      </c>
      <c r="C2979" s="17" t="str">
        <f>"FES1162674260"</f>
        <v>FES1162674260</v>
      </c>
      <c r="D2979" s="17" t="s">
        <v>18</v>
      </c>
      <c r="E2979" s="17" t="s">
        <v>752</v>
      </c>
      <c r="F2979" s="17" t="str">
        <f>"2170675323 "</f>
        <v xml:space="preserve">2170675323 </v>
      </c>
      <c r="G2979" s="17" t="str">
        <f t="shared" si="86"/>
        <v>ON1</v>
      </c>
      <c r="H2979" s="17" t="s">
        <v>20</v>
      </c>
      <c r="I2979" s="17" t="s">
        <v>53</v>
      </c>
      <c r="J2979" s="17" t="str">
        <f>""</f>
        <v/>
      </c>
      <c r="K2979" s="17" t="str">
        <f>"PFES1162674260_0001"</f>
        <v>PFES1162674260_0001</v>
      </c>
      <c r="L2979" s="17">
        <v>1</v>
      </c>
      <c r="M2979" s="17">
        <v>1</v>
      </c>
    </row>
    <row r="2980" spans="1:13">
      <c r="A2980" s="6">
        <v>43516</v>
      </c>
      <c r="B2980" s="7">
        <v>0.50763888888888886</v>
      </c>
      <c r="C2980" s="17" t="str">
        <f>"FES1162674271"</f>
        <v>FES1162674271</v>
      </c>
      <c r="D2980" s="17" t="s">
        <v>18</v>
      </c>
      <c r="E2980" s="17" t="s">
        <v>47</v>
      </c>
      <c r="F2980" s="17" t="str">
        <f>"2170675334 "</f>
        <v xml:space="preserve">2170675334 </v>
      </c>
      <c r="G2980" s="17" t="str">
        <f t="shared" si="86"/>
        <v>ON1</v>
      </c>
      <c r="H2980" s="17" t="s">
        <v>20</v>
      </c>
      <c r="I2980" s="17" t="s">
        <v>48</v>
      </c>
      <c r="J2980" s="17" t="str">
        <f>""</f>
        <v/>
      </c>
      <c r="K2980" s="17" t="str">
        <f>"PFES1162674271_0001"</f>
        <v>PFES1162674271_0001</v>
      </c>
      <c r="L2980" s="17">
        <v>1</v>
      </c>
      <c r="M2980" s="17">
        <v>1</v>
      </c>
    </row>
    <row r="2981" spans="1:13">
      <c r="A2981" s="6">
        <v>43516</v>
      </c>
      <c r="B2981" s="7">
        <v>0.50763888888888886</v>
      </c>
      <c r="C2981" s="17" t="str">
        <f>"FES1162674290"</f>
        <v>FES1162674290</v>
      </c>
      <c r="D2981" s="17" t="s">
        <v>18</v>
      </c>
      <c r="E2981" s="17" t="s">
        <v>530</v>
      </c>
      <c r="F2981" s="17" t="str">
        <f>"2170675347 "</f>
        <v xml:space="preserve">2170675347 </v>
      </c>
      <c r="G2981" s="17" t="str">
        <f t="shared" si="86"/>
        <v>ON1</v>
      </c>
      <c r="H2981" s="17" t="s">
        <v>20</v>
      </c>
      <c r="I2981" s="17" t="s">
        <v>531</v>
      </c>
      <c r="J2981" s="17" t="str">
        <f>""</f>
        <v/>
      </c>
      <c r="K2981" s="17" t="str">
        <f>"PFES1162674290_0001"</f>
        <v>PFES1162674290_0001</v>
      </c>
      <c r="L2981" s="17">
        <v>1</v>
      </c>
      <c r="M2981" s="17">
        <v>1</v>
      </c>
    </row>
    <row r="2982" spans="1:13">
      <c r="A2982" s="6">
        <v>43516</v>
      </c>
      <c r="B2982" s="7">
        <v>0.50694444444444442</v>
      </c>
      <c r="C2982" s="17" t="str">
        <f>"FES1162674221"</f>
        <v>FES1162674221</v>
      </c>
      <c r="D2982" s="17" t="s">
        <v>18</v>
      </c>
      <c r="E2982" s="17" t="s">
        <v>1088</v>
      </c>
      <c r="F2982" s="17" t="str">
        <f>"2170575276 "</f>
        <v xml:space="preserve">2170575276 </v>
      </c>
      <c r="G2982" s="17" t="str">
        <f t="shared" si="86"/>
        <v>ON1</v>
      </c>
      <c r="H2982" s="17" t="s">
        <v>20</v>
      </c>
      <c r="I2982" s="17" t="s">
        <v>1089</v>
      </c>
      <c r="J2982" s="17" t="str">
        <f>""</f>
        <v/>
      </c>
      <c r="K2982" s="17" t="str">
        <f>"PFES1162674221_0001"</f>
        <v>PFES1162674221_0001</v>
      </c>
      <c r="L2982" s="17">
        <v>1</v>
      </c>
      <c r="M2982" s="17">
        <v>1</v>
      </c>
    </row>
    <row r="2983" spans="1:13">
      <c r="A2983" s="6">
        <v>43516</v>
      </c>
      <c r="B2983" s="7">
        <v>0.50624999999999998</v>
      </c>
      <c r="C2983" s="17" t="str">
        <f>"FES1162674254"</f>
        <v>FES1162674254</v>
      </c>
      <c r="D2983" s="17" t="s">
        <v>18</v>
      </c>
      <c r="E2983" s="17" t="s">
        <v>1090</v>
      </c>
      <c r="F2983" s="17" t="str">
        <f>"2170675318 "</f>
        <v xml:space="preserve">2170675318 </v>
      </c>
      <c r="G2983" s="17" t="str">
        <f t="shared" si="86"/>
        <v>ON1</v>
      </c>
      <c r="H2983" s="17" t="s">
        <v>20</v>
      </c>
      <c r="I2983" s="17" t="s">
        <v>224</v>
      </c>
      <c r="J2983" s="17" t="str">
        <f>""</f>
        <v/>
      </c>
      <c r="K2983" s="17" t="str">
        <f>"PFES1162674254_0001"</f>
        <v>PFES1162674254_0001</v>
      </c>
      <c r="L2983" s="17">
        <v>1</v>
      </c>
      <c r="M2983" s="17">
        <v>1</v>
      </c>
    </row>
    <row r="2984" spans="1:13">
      <c r="A2984" s="6">
        <v>43516</v>
      </c>
      <c r="B2984" s="7">
        <v>0.50624999999999998</v>
      </c>
      <c r="C2984" s="17" t="str">
        <f>"FES1162674267"</f>
        <v>FES1162674267</v>
      </c>
      <c r="D2984" s="17" t="s">
        <v>18</v>
      </c>
      <c r="E2984" s="17" t="s">
        <v>132</v>
      </c>
      <c r="F2984" s="17" t="str">
        <f>"2170675330 "</f>
        <v xml:space="preserve">2170675330 </v>
      </c>
      <c r="G2984" s="17" t="str">
        <f t="shared" si="86"/>
        <v>ON1</v>
      </c>
      <c r="H2984" s="17" t="s">
        <v>20</v>
      </c>
      <c r="I2984" s="17" t="s">
        <v>213</v>
      </c>
      <c r="J2984" s="17" t="str">
        <f>""</f>
        <v/>
      </c>
      <c r="K2984" s="17" t="str">
        <f>"PFES1162674267_0001"</f>
        <v>PFES1162674267_0001</v>
      </c>
      <c r="L2984" s="17">
        <v>1</v>
      </c>
      <c r="M2984" s="17">
        <v>1</v>
      </c>
    </row>
    <row r="2985" spans="1:13">
      <c r="A2985" s="6">
        <v>43516</v>
      </c>
      <c r="B2985" s="7">
        <v>0.50624999999999998</v>
      </c>
      <c r="C2985" s="17" t="str">
        <f>"FES1162674270"</f>
        <v>FES1162674270</v>
      </c>
      <c r="D2985" s="17" t="s">
        <v>18</v>
      </c>
      <c r="E2985" s="17" t="s">
        <v>19</v>
      </c>
      <c r="F2985" s="17" t="str">
        <f>"21706753333 "</f>
        <v xml:space="preserve">21706753333 </v>
      </c>
      <c r="G2985" s="17" t="str">
        <f t="shared" si="86"/>
        <v>ON1</v>
      </c>
      <c r="H2985" s="17" t="s">
        <v>20</v>
      </c>
      <c r="I2985" s="17" t="s">
        <v>21</v>
      </c>
      <c r="J2985" s="17" t="str">
        <f>""</f>
        <v/>
      </c>
      <c r="K2985" s="17" t="str">
        <f>"PFES1162674270_0001"</f>
        <v>PFES1162674270_0001</v>
      </c>
      <c r="L2985" s="17">
        <v>1</v>
      </c>
      <c r="M2985" s="17">
        <v>1</v>
      </c>
    </row>
    <row r="2986" spans="1:13">
      <c r="A2986" s="6">
        <v>43516</v>
      </c>
      <c r="B2986" s="7">
        <v>0.50555555555555554</v>
      </c>
      <c r="C2986" s="17" t="str">
        <f>"FES1162674255"</f>
        <v>FES1162674255</v>
      </c>
      <c r="D2986" s="17" t="s">
        <v>18</v>
      </c>
      <c r="E2986" s="17" t="s">
        <v>1084</v>
      </c>
      <c r="F2986" s="17" t="str">
        <f>"2170672999 "</f>
        <v xml:space="preserve">2170672999 </v>
      </c>
      <c r="G2986" s="17" t="str">
        <f t="shared" si="86"/>
        <v>ON1</v>
      </c>
      <c r="H2986" s="17" t="s">
        <v>20</v>
      </c>
      <c r="I2986" s="17" t="s">
        <v>81</v>
      </c>
      <c r="J2986" s="17" t="str">
        <f>""</f>
        <v/>
      </c>
      <c r="K2986" s="17" t="str">
        <f>"PFES1162674255_0001"</f>
        <v>PFES1162674255_0001</v>
      </c>
      <c r="L2986" s="17">
        <v>1</v>
      </c>
      <c r="M2986" s="17">
        <v>1</v>
      </c>
    </row>
    <row r="2987" spans="1:13">
      <c r="A2987" s="6">
        <v>43516</v>
      </c>
      <c r="B2987" s="7">
        <v>0.50555555555555554</v>
      </c>
      <c r="C2987" s="17" t="str">
        <f>"FES1162674288"</f>
        <v>FES1162674288</v>
      </c>
      <c r="D2987" s="17" t="s">
        <v>18</v>
      </c>
      <c r="E2987" s="17" t="s">
        <v>19</v>
      </c>
      <c r="F2987" s="17" t="str">
        <f>"2170675343 "</f>
        <v xml:space="preserve">2170675343 </v>
      </c>
      <c r="G2987" s="17" t="str">
        <f t="shared" si="86"/>
        <v>ON1</v>
      </c>
      <c r="H2987" s="17" t="s">
        <v>20</v>
      </c>
      <c r="I2987" s="17" t="s">
        <v>21</v>
      </c>
      <c r="J2987" s="17" t="str">
        <f>""</f>
        <v/>
      </c>
      <c r="K2987" s="17" t="str">
        <f>"PFES1162674288_0001"</f>
        <v>PFES1162674288_0001</v>
      </c>
      <c r="L2987" s="17">
        <v>1</v>
      </c>
      <c r="M2987" s="17">
        <v>1</v>
      </c>
    </row>
    <row r="2988" spans="1:13">
      <c r="A2988" s="6">
        <v>43516</v>
      </c>
      <c r="B2988" s="7">
        <v>0.49652777777777773</v>
      </c>
      <c r="C2988" s="17" t="str">
        <f>"FES1162674217"</f>
        <v>FES1162674217</v>
      </c>
      <c r="D2988" s="17" t="s">
        <v>18</v>
      </c>
      <c r="E2988" s="17" t="s">
        <v>758</v>
      </c>
      <c r="F2988" s="17" t="str">
        <f>"2170675278 "</f>
        <v xml:space="preserve">2170675278 </v>
      </c>
      <c r="G2988" s="17" t="str">
        <f t="shared" si="86"/>
        <v>ON1</v>
      </c>
      <c r="H2988" s="17" t="s">
        <v>20</v>
      </c>
      <c r="I2988" s="17" t="s">
        <v>48</v>
      </c>
      <c r="J2988" s="17" t="str">
        <f>""</f>
        <v/>
      </c>
      <c r="K2988" s="17" t="str">
        <f>"PFES1162674217_0001"</f>
        <v>PFES1162674217_0001</v>
      </c>
      <c r="L2988" s="17">
        <v>1</v>
      </c>
      <c r="M2988" s="17">
        <v>1</v>
      </c>
    </row>
    <row r="2989" spans="1:13">
      <c r="A2989" s="6">
        <v>43516</v>
      </c>
      <c r="B2989" s="7">
        <v>0.49652777777777773</v>
      </c>
      <c r="C2989" s="17" t="str">
        <f>"FES1162674216"</f>
        <v>FES1162674216</v>
      </c>
      <c r="D2989" s="17" t="s">
        <v>18</v>
      </c>
      <c r="E2989" s="17" t="s">
        <v>606</v>
      </c>
      <c r="F2989" s="17" t="str">
        <f>"2170675275 "</f>
        <v xml:space="preserve">2170675275 </v>
      </c>
      <c r="G2989" s="17" t="str">
        <f t="shared" si="86"/>
        <v>ON1</v>
      </c>
      <c r="H2989" s="17" t="s">
        <v>20</v>
      </c>
      <c r="I2989" s="17" t="s">
        <v>124</v>
      </c>
      <c r="J2989" s="17" t="str">
        <f>""</f>
        <v/>
      </c>
      <c r="K2989" s="17" t="str">
        <f>"PFES1162674216_0001"</f>
        <v>PFES1162674216_0001</v>
      </c>
      <c r="L2989" s="17">
        <v>1</v>
      </c>
      <c r="M2989" s="17">
        <v>1</v>
      </c>
    </row>
    <row r="2990" spans="1:13">
      <c r="A2990" s="6">
        <v>43516</v>
      </c>
      <c r="B2990" s="7">
        <v>0.49652777777777773</v>
      </c>
      <c r="C2990" s="17" t="str">
        <f>"FES1162674141"</f>
        <v>FES1162674141</v>
      </c>
      <c r="D2990" s="17" t="s">
        <v>18</v>
      </c>
      <c r="E2990" s="17" t="s">
        <v>134</v>
      </c>
      <c r="F2990" s="17" t="str">
        <f>"2170675193 "</f>
        <v xml:space="preserve">2170675193 </v>
      </c>
      <c r="G2990" s="17" t="str">
        <f t="shared" si="86"/>
        <v>ON1</v>
      </c>
      <c r="H2990" s="17" t="s">
        <v>20</v>
      </c>
      <c r="I2990" s="17" t="s">
        <v>135</v>
      </c>
      <c r="J2990" s="17" t="str">
        <f>""</f>
        <v/>
      </c>
      <c r="K2990" s="17" t="str">
        <f>"PFES1162674141_0001"</f>
        <v>PFES1162674141_0001</v>
      </c>
      <c r="L2990" s="17">
        <v>1</v>
      </c>
      <c r="M2990" s="17">
        <v>1</v>
      </c>
    </row>
    <row r="2991" spans="1:13">
      <c r="A2991" s="6">
        <v>43516</v>
      </c>
      <c r="B2991" s="7">
        <v>0.49583333333333335</v>
      </c>
      <c r="C2991" s="17" t="str">
        <f>"FES1162673934"</f>
        <v>FES1162673934</v>
      </c>
      <c r="D2991" s="17" t="s">
        <v>18</v>
      </c>
      <c r="E2991" s="17" t="s">
        <v>380</v>
      </c>
      <c r="F2991" s="17" t="str">
        <f>"21706722115 "</f>
        <v xml:space="preserve">21706722115 </v>
      </c>
      <c r="G2991" s="17" t="str">
        <f t="shared" si="86"/>
        <v>ON1</v>
      </c>
      <c r="H2991" s="17" t="s">
        <v>20</v>
      </c>
      <c r="I2991" s="17" t="s">
        <v>213</v>
      </c>
      <c r="J2991" s="17" t="str">
        <f>""</f>
        <v/>
      </c>
      <c r="K2991" s="17" t="str">
        <f>"PFES1162673934_0001"</f>
        <v>PFES1162673934_0001</v>
      </c>
      <c r="L2991" s="17">
        <v>1</v>
      </c>
      <c r="M2991" s="17">
        <v>1</v>
      </c>
    </row>
    <row r="2992" spans="1:13">
      <c r="A2992" s="6">
        <v>43516</v>
      </c>
      <c r="B2992" s="7">
        <v>0.49513888888888885</v>
      </c>
      <c r="C2992" s="17" t="str">
        <f>"FES1162674236"</f>
        <v>FES1162674236</v>
      </c>
      <c r="D2992" s="17" t="s">
        <v>18</v>
      </c>
      <c r="E2992" s="17" t="s">
        <v>550</v>
      </c>
      <c r="F2992" s="17" t="str">
        <f>"2170675289 "</f>
        <v xml:space="preserve">2170675289 </v>
      </c>
      <c r="G2992" s="17" t="str">
        <f t="shared" si="86"/>
        <v>ON1</v>
      </c>
      <c r="H2992" s="17" t="s">
        <v>20</v>
      </c>
      <c r="I2992" s="17" t="s">
        <v>213</v>
      </c>
      <c r="J2992" s="17" t="str">
        <f>""</f>
        <v/>
      </c>
      <c r="K2992" s="17" t="str">
        <f>"PFES1162674236_0001"</f>
        <v>PFES1162674236_0001</v>
      </c>
      <c r="L2992" s="17">
        <v>1</v>
      </c>
      <c r="M2992" s="17">
        <v>1</v>
      </c>
    </row>
    <row r="2993" spans="1:13">
      <c r="A2993" s="6">
        <v>43516</v>
      </c>
      <c r="B2993" s="7">
        <v>0.49513888888888885</v>
      </c>
      <c r="C2993" s="17" t="str">
        <f>"FES1162674203"</f>
        <v>FES1162674203</v>
      </c>
      <c r="D2993" s="17" t="s">
        <v>18</v>
      </c>
      <c r="E2993" s="17" t="s">
        <v>100</v>
      </c>
      <c r="F2993" s="17" t="str">
        <f>"2170675247 "</f>
        <v xml:space="preserve">2170675247 </v>
      </c>
      <c r="G2993" s="17" t="str">
        <f t="shared" si="86"/>
        <v>ON1</v>
      </c>
      <c r="H2993" s="17" t="s">
        <v>20</v>
      </c>
      <c r="I2993" s="17" t="s">
        <v>101</v>
      </c>
      <c r="J2993" s="17" t="str">
        <f>""</f>
        <v/>
      </c>
      <c r="K2993" s="17" t="str">
        <f>"PFES1162674203_0001"</f>
        <v>PFES1162674203_0001</v>
      </c>
      <c r="L2993" s="17">
        <v>1</v>
      </c>
      <c r="M2993" s="17">
        <v>1</v>
      </c>
    </row>
    <row r="2994" spans="1:13">
      <c r="A2994" s="6">
        <v>43516</v>
      </c>
      <c r="B2994" s="7">
        <v>0.49513888888888885</v>
      </c>
      <c r="C2994" s="17" t="str">
        <f>"FES1162674209"</f>
        <v>FES1162674209</v>
      </c>
      <c r="D2994" s="17" t="s">
        <v>18</v>
      </c>
      <c r="E2994" s="17" t="s">
        <v>296</v>
      </c>
      <c r="F2994" s="17" t="str">
        <f>"2170675263 "</f>
        <v xml:space="preserve">2170675263 </v>
      </c>
      <c r="G2994" s="17" t="str">
        <f t="shared" si="86"/>
        <v>ON1</v>
      </c>
      <c r="H2994" s="17" t="s">
        <v>20</v>
      </c>
      <c r="I2994" s="17" t="s">
        <v>93</v>
      </c>
      <c r="J2994" s="17" t="str">
        <f>""</f>
        <v/>
      </c>
      <c r="K2994" s="17" t="str">
        <f>"PFES1162674209_0001"</f>
        <v>PFES1162674209_0001</v>
      </c>
      <c r="L2994" s="17">
        <v>1</v>
      </c>
      <c r="M2994" s="17">
        <v>1</v>
      </c>
    </row>
    <row r="2995" spans="1:13">
      <c r="A2995" s="6">
        <v>43516</v>
      </c>
      <c r="B2995" s="7">
        <v>0.49444444444444446</v>
      </c>
      <c r="C2995" s="17" t="str">
        <f>"FES1162674208"</f>
        <v>FES1162674208</v>
      </c>
      <c r="D2995" s="17" t="s">
        <v>18</v>
      </c>
      <c r="E2995" s="17" t="s">
        <v>19</v>
      </c>
      <c r="F2995" s="17" t="str">
        <f>"2170675261 "</f>
        <v xml:space="preserve">2170675261 </v>
      </c>
      <c r="G2995" s="17" t="str">
        <f t="shared" si="86"/>
        <v>ON1</v>
      </c>
      <c r="H2995" s="17" t="s">
        <v>20</v>
      </c>
      <c r="I2995" s="17" t="s">
        <v>21</v>
      </c>
      <c r="J2995" s="17" t="str">
        <f>""</f>
        <v/>
      </c>
      <c r="K2995" s="17" t="str">
        <f>"PFES1162674208_0001"</f>
        <v>PFES1162674208_0001</v>
      </c>
      <c r="L2995" s="17">
        <v>1</v>
      </c>
      <c r="M2995" s="17">
        <v>1</v>
      </c>
    </row>
    <row r="2996" spans="1:13">
      <c r="A2996" s="6">
        <v>43516</v>
      </c>
      <c r="B2996" s="7">
        <v>0.49444444444444446</v>
      </c>
      <c r="C2996" s="17" t="str">
        <f>"FES1162674143"</f>
        <v>FES1162674143</v>
      </c>
      <c r="D2996" s="17" t="s">
        <v>18</v>
      </c>
      <c r="E2996" s="17" t="s">
        <v>129</v>
      </c>
      <c r="F2996" s="17" t="str">
        <f>"2170675223 "</f>
        <v xml:space="preserve">2170675223 </v>
      </c>
      <c r="G2996" s="17" t="str">
        <f t="shared" si="86"/>
        <v>ON1</v>
      </c>
      <c r="H2996" s="17" t="s">
        <v>20</v>
      </c>
      <c r="I2996" s="17" t="s">
        <v>130</v>
      </c>
      <c r="J2996" s="17" t="str">
        <f>""</f>
        <v/>
      </c>
      <c r="K2996" s="17" t="str">
        <f>"PFES1162674143_0001"</f>
        <v>PFES1162674143_0001</v>
      </c>
      <c r="L2996" s="17">
        <v>1</v>
      </c>
      <c r="M2996" s="17">
        <v>1</v>
      </c>
    </row>
    <row r="2997" spans="1:13">
      <c r="A2997" s="6">
        <v>43516</v>
      </c>
      <c r="B2997" s="7">
        <v>0.49374999999999997</v>
      </c>
      <c r="C2997" s="17" t="str">
        <f>"FES1162674200"</f>
        <v>FES1162674200</v>
      </c>
      <c r="D2997" s="17" t="s">
        <v>18</v>
      </c>
      <c r="E2997" s="17" t="s">
        <v>337</v>
      </c>
      <c r="F2997" s="17" t="str">
        <f>"2170675240 "</f>
        <v xml:space="preserve">2170675240 </v>
      </c>
      <c r="G2997" s="17" t="str">
        <f t="shared" si="86"/>
        <v>ON1</v>
      </c>
      <c r="H2997" s="17" t="s">
        <v>20</v>
      </c>
      <c r="I2997" s="17" t="s">
        <v>338</v>
      </c>
      <c r="J2997" s="17" t="str">
        <f>""</f>
        <v/>
      </c>
      <c r="K2997" s="17" t="str">
        <f>"PFES1162674200_0001"</f>
        <v>PFES1162674200_0001</v>
      </c>
      <c r="L2997" s="17">
        <v>1</v>
      </c>
      <c r="M2997" s="17">
        <v>1</v>
      </c>
    </row>
    <row r="2998" spans="1:13">
      <c r="A2998" s="6">
        <v>43516</v>
      </c>
      <c r="B2998" s="7">
        <v>0.49374999999999997</v>
      </c>
      <c r="C2998" s="17" t="str">
        <f>"FES1162674172"</f>
        <v>FES1162674172</v>
      </c>
      <c r="D2998" s="17" t="s">
        <v>18</v>
      </c>
      <c r="E2998" s="17" t="s">
        <v>334</v>
      </c>
      <c r="F2998" s="17" t="str">
        <f>"2170674615 "</f>
        <v xml:space="preserve">2170674615 </v>
      </c>
      <c r="G2998" s="17" t="str">
        <f t="shared" si="86"/>
        <v>ON1</v>
      </c>
      <c r="H2998" s="17" t="s">
        <v>20</v>
      </c>
      <c r="I2998" s="17" t="s">
        <v>242</v>
      </c>
      <c r="J2998" s="17" t="str">
        <f>""</f>
        <v/>
      </c>
      <c r="K2998" s="17" t="str">
        <f>"PFES1162674172_0001"</f>
        <v>PFES1162674172_0001</v>
      </c>
      <c r="L2998" s="17">
        <v>1</v>
      </c>
      <c r="M2998" s="17">
        <v>1</v>
      </c>
    </row>
    <row r="2999" spans="1:13">
      <c r="A2999" s="6">
        <v>43516</v>
      </c>
      <c r="B2999" s="7">
        <v>0.49305555555555558</v>
      </c>
      <c r="C2999" s="17" t="str">
        <f>"FES1162674202"</f>
        <v>FES1162674202</v>
      </c>
      <c r="D2999" s="17" t="s">
        <v>18</v>
      </c>
      <c r="E2999" s="17" t="s">
        <v>556</v>
      </c>
      <c r="F2999" s="17" t="str">
        <f>"2170675244 "</f>
        <v xml:space="preserve">2170675244 </v>
      </c>
      <c r="G2999" s="17" t="str">
        <f t="shared" si="86"/>
        <v>ON1</v>
      </c>
      <c r="H2999" s="17" t="s">
        <v>20</v>
      </c>
      <c r="I2999" s="17" t="s">
        <v>435</v>
      </c>
      <c r="J2999" s="17" t="str">
        <f>""</f>
        <v/>
      </c>
      <c r="K2999" s="17" t="str">
        <f>"PFES1162674202_0001"</f>
        <v>PFES1162674202_0001</v>
      </c>
      <c r="L2999" s="17">
        <v>1</v>
      </c>
      <c r="M2999" s="17">
        <v>1</v>
      </c>
    </row>
    <row r="3000" spans="1:13">
      <c r="A3000" s="6">
        <v>43516</v>
      </c>
      <c r="B3000" s="7">
        <v>0.49305555555555558</v>
      </c>
      <c r="C3000" s="17" t="str">
        <f>"FES1162674211"</f>
        <v>FES1162674211</v>
      </c>
      <c r="D3000" s="17" t="s">
        <v>18</v>
      </c>
      <c r="E3000" s="17" t="s">
        <v>138</v>
      </c>
      <c r="F3000" s="17" t="str">
        <f>"2170675267 "</f>
        <v xml:space="preserve">2170675267 </v>
      </c>
      <c r="G3000" s="17" t="str">
        <f t="shared" si="86"/>
        <v>ON1</v>
      </c>
      <c r="H3000" s="17" t="s">
        <v>20</v>
      </c>
      <c r="I3000" s="17" t="s">
        <v>139</v>
      </c>
      <c r="J3000" s="17" t="str">
        <f>""</f>
        <v/>
      </c>
      <c r="K3000" s="17" t="str">
        <f>"PFES1162674211_0001"</f>
        <v>PFES1162674211_0001</v>
      </c>
      <c r="L3000" s="17">
        <v>1</v>
      </c>
      <c r="M3000" s="17">
        <v>1</v>
      </c>
    </row>
    <row r="3001" spans="1:13">
      <c r="A3001" s="6">
        <v>43516</v>
      </c>
      <c r="B3001" s="7">
        <v>0.49305555555555558</v>
      </c>
      <c r="C3001" s="17" t="str">
        <f>"FES1162674232"</f>
        <v>FES1162674232</v>
      </c>
      <c r="D3001" s="17" t="s">
        <v>18</v>
      </c>
      <c r="E3001" s="17" t="s">
        <v>1084</v>
      </c>
      <c r="F3001" s="17" t="str">
        <f>"2170674925 "</f>
        <v xml:space="preserve">2170674925 </v>
      </c>
      <c r="G3001" s="17" t="str">
        <f t="shared" si="86"/>
        <v>ON1</v>
      </c>
      <c r="H3001" s="17" t="s">
        <v>20</v>
      </c>
      <c r="I3001" s="17" t="s">
        <v>81</v>
      </c>
      <c r="J3001" s="17" t="str">
        <f>""</f>
        <v/>
      </c>
      <c r="K3001" s="17" t="str">
        <f>"PFES1162674232_0001"</f>
        <v>PFES1162674232_0001</v>
      </c>
      <c r="L3001" s="17">
        <v>1</v>
      </c>
      <c r="M3001" s="17">
        <v>1</v>
      </c>
    </row>
    <row r="3002" spans="1:13">
      <c r="A3002" s="6">
        <v>43516</v>
      </c>
      <c r="B3002" s="7">
        <v>0.49236111111111108</v>
      </c>
      <c r="C3002" s="17" t="str">
        <f>"FES1162674164"</f>
        <v>FES1162674164</v>
      </c>
      <c r="D3002" s="17" t="s">
        <v>18</v>
      </c>
      <c r="E3002" s="17" t="s">
        <v>601</v>
      </c>
      <c r="F3002" s="17" t="str">
        <f>"2170673189 "</f>
        <v xml:space="preserve">2170673189 </v>
      </c>
      <c r="G3002" s="17" t="str">
        <f t="shared" si="86"/>
        <v>ON1</v>
      </c>
      <c r="H3002" s="17" t="s">
        <v>20</v>
      </c>
      <c r="I3002" s="17" t="s">
        <v>602</v>
      </c>
      <c r="J3002" s="17" t="str">
        <f>""</f>
        <v/>
      </c>
      <c r="K3002" s="17" t="str">
        <f>"PFES1162674164_0001"</f>
        <v>PFES1162674164_0001</v>
      </c>
      <c r="L3002" s="17">
        <v>1</v>
      </c>
      <c r="M3002" s="17">
        <v>1</v>
      </c>
    </row>
    <row r="3003" spans="1:13">
      <c r="A3003" s="6">
        <v>43516</v>
      </c>
      <c r="B3003" s="7">
        <v>0.49236111111111108</v>
      </c>
      <c r="C3003" s="17" t="str">
        <f>"FES1162674223"</f>
        <v>FES1162674223</v>
      </c>
      <c r="D3003" s="17" t="s">
        <v>18</v>
      </c>
      <c r="E3003" s="17" t="s">
        <v>722</v>
      </c>
      <c r="F3003" s="17" t="str">
        <f>"2170675281 "</f>
        <v xml:space="preserve">2170675281 </v>
      </c>
      <c r="G3003" s="17" t="str">
        <f t="shared" si="86"/>
        <v>ON1</v>
      </c>
      <c r="H3003" s="17" t="s">
        <v>20</v>
      </c>
      <c r="I3003" s="17" t="s">
        <v>723</v>
      </c>
      <c r="J3003" s="17" t="str">
        <f>""</f>
        <v/>
      </c>
      <c r="K3003" s="17" t="str">
        <f>"PFES1162674223_0001"</f>
        <v>PFES1162674223_0001</v>
      </c>
      <c r="L3003" s="17">
        <v>1</v>
      </c>
      <c r="M3003" s="17">
        <v>1</v>
      </c>
    </row>
    <row r="3004" spans="1:13">
      <c r="A3004" s="6">
        <v>43516</v>
      </c>
      <c r="B3004" s="7">
        <v>0.49236111111111108</v>
      </c>
      <c r="C3004" s="17" t="str">
        <f>"FES1162674195"</f>
        <v>FES1162674195</v>
      </c>
      <c r="D3004" s="17" t="s">
        <v>18</v>
      </c>
      <c r="E3004" s="17" t="s">
        <v>907</v>
      </c>
      <c r="F3004" s="17" t="str">
        <f>"2170675252 "</f>
        <v xml:space="preserve">2170675252 </v>
      </c>
      <c r="G3004" s="17" t="str">
        <f t="shared" si="86"/>
        <v>ON1</v>
      </c>
      <c r="H3004" s="17" t="s">
        <v>20</v>
      </c>
      <c r="I3004" s="17" t="s">
        <v>635</v>
      </c>
      <c r="J3004" s="17" t="str">
        <f>""</f>
        <v/>
      </c>
      <c r="K3004" s="17" t="str">
        <f>"PFES1162674195_0001"</f>
        <v>PFES1162674195_0001</v>
      </c>
      <c r="L3004" s="17">
        <v>1</v>
      </c>
      <c r="M3004" s="17">
        <v>1</v>
      </c>
    </row>
    <row r="3005" spans="1:13">
      <c r="A3005" s="6">
        <v>43516</v>
      </c>
      <c r="B3005" s="7">
        <v>0.4916666666666667</v>
      </c>
      <c r="C3005" s="17" t="str">
        <f>"FES1162674162"</f>
        <v>FES1162674162</v>
      </c>
      <c r="D3005" s="17" t="s">
        <v>18</v>
      </c>
      <c r="E3005" s="17" t="s">
        <v>1091</v>
      </c>
      <c r="F3005" s="17" t="str">
        <f>"2170673125 "</f>
        <v xml:space="preserve">2170673125 </v>
      </c>
      <c r="G3005" s="17" t="str">
        <f t="shared" si="86"/>
        <v>ON1</v>
      </c>
      <c r="H3005" s="17" t="s">
        <v>20</v>
      </c>
      <c r="I3005" s="17" t="s">
        <v>921</v>
      </c>
      <c r="J3005" s="17" t="str">
        <f>""</f>
        <v/>
      </c>
      <c r="K3005" s="17" t="str">
        <f>"PFES1162674162_0001"</f>
        <v>PFES1162674162_0001</v>
      </c>
      <c r="L3005" s="17">
        <v>1</v>
      </c>
      <c r="M3005" s="17">
        <v>1</v>
      </c>
    </row>
    <row r="3006" spans="1:13">
      <c r="A3006" s="6">
        <v>43516</v>
      </c>
      <c r="B3006" s="7">
        <v>0.4909722222222222</v>
      </c>
      <c r="C3006" s="17" t="str">
        <f>"FES1162674174"</f>
        <v>FES1162674174</v>
      </c>
      <c r="D3006" s="17" t="s">
        <v>18</v>
      </c>
      <c r="E3006" s="17" t="s">
        <v>306</v>
      </c>
      <c r="F3006" s="17" t="str">
        <f>"2170674799 "</f>
        <v xml:space="preserve">2170674799 </v>
      </c>
      <c r="G3006" s="17" t="str">
        <f t="shared" si="86"/>
        <v>ON1</v>
      </c>
      <c r="H3006" s="17" t="s">
        <v>20</v>
      </c>
      <c r="I3006" s="17" t="s">
        <v>237</v>
      </c>
      <c r="J3006" s="17" t="str">
        <f>""</f>
        <v/>
      </c>
      <c r="K3006" s="17" t="str">
        <f>"PFES1162674174_0001"</f>
        <v>PFES1162674174_0001</v>
      </c>
      <c r="L3006" s="17">
        <v>1</v>
      </c>
      <c r="M3006" s="17">
        <v>1</v>
      </c>
    </row>
    <row r="3007" spans="1:13">
      <c r="A3007" s="6">
        <v>43516</v>
      </c>
      <c r="B3007" s="7">
        <v>0.4909722222222222</v>
      </c>
      <c r="C3007" s="17" t="str">
        <f>"FES1162674249"</f>
        <v>FES1162674249</v>
      </c>
      <c r="D3007" s="17" t="s">
        <v>18</v>
      </c>
      <c r="E3007" s="17" t="s">
        <v>129</v>
      </c>
      <c r="F3007" s="17" t="str">
        <f>"2170675311 "</f>
        <v xml:space="preserve">2170675311 </v>
      </c>
      <c r="G3007" s="17" t="str">
        <f t="shared" si="86"/>
        <v>ON1</v>
      </c>
      <c r="H3007" s="17" t="s">
        <v>20</v>
      </c>
      <c r="I3007" s="17" t="s">
        <v>130</v>
      </c>
      <c r="J3007" s="17" t="str">
        <f>""</f>
        <v/>
      </c>
      <c r="K3007" s="17" t="str">
        <f>"PFES1162674249_0001"</f>
        <v>PFES1162674249_0001</v>
      </c>
      <c r="L3007" s="17">
        <v>1</v>
      </c>
      <c r="M3007" s="17">
        <v>1</v>
      </c>
    </row>
    <row r="3008" spans="1:13">
      <c r="A3008" s="6">
        <v>43516</v>
      </c>
      <c r="B3008" s="7">
        <v>0.49027777777777781</v>
      </c>
      <c r="C3008" s="17" t="str">
        <f>"FES1162674168"</f>
        <v>FES1162674168</v>
      </c>
      <c r="D3008" s="17" t="s">
        <v>18</v>
      </c>
      <c r="E3008" s="17" t="s">
        <v>299</v>
      </c>
      <c r="F3008" s="17" t="str">
        <f>"2170673582 "</f>
        <v xml:space="preserve">2170673582 </v>
      </c>
      <c r="G3008" s="17" t="str">
        <f t="shared" si="86"/>
        <v>ON1</v>
      </c>
      <c r="H3008" s="17" t="s">
        <v>20</v>
      </c>
      <c r="I3008" s="17" t="s">
        <v>43</v>
      </c>
      <c r="J3008" s="17" t="str">
        <f>""</f>
        <v/>
      </c>
      <c r="K3008" s="17" t="str">
        <f>"PFES1162674168_0001"</f>
        <v>PFES1162674168_0001</v>
      </c>
      <c r="L3008" s="17">
        <v>1</v>
      </c>
      <c r="M3008" s="17">
        <v>1</v>
      </c>
    </row>
    <row r="3009" spans="1:13">
      <c r="A3009" s="6">
        <v>43516</v>
      </c>
      <c r="B3009" s="7">
        <v>0.49027777777777781</v>
      </c>
      <c r="C3009" s="17" t="str">
        <f>"FES1162674187"</f>
        <v>FES1162674187</v>
      </c>
      <c r="D3009" s="17" t="s">
        <v>18</v>
      </c>
      <c r="E3009" s="17" t="s">
        <v>880</v>
      </c>
      <c r="F3009" s="17" t="str">
        <f>"2170675235 "</f>
        <v xml:space="preserve">2170675235 </v>
      </c>
      <c r="G3009" s="17" t="str">
        <f t="shared" si="86"/>
        <v>ON1</v>
      </c>
      <c r="H3009" s="17" t="s">
        <v>20</v>
      </c>
      <c r="I3009" s="17" t="s">
        <v>233</v>
      </c>
      <c r="J3009" s="17" t="str">
        <f>""</f>
        <v/>
      </c>
      <c r="K3009" s="17" t="str">
        <f>"PFES1162674187_0001"</f>
        <v>PFES1162674187_0001</v>
      </c>
      <c r="L3009" s="17">
        <v>1</v>
      </c>
      <c r="M3009" s="17">
        <v>1</v>
      </c>
    </row>
    <row r="3010" spans="1:13">
      <c r="A3010" s="6">
        <v>43516</v>
      </c>
      <c r="B3010" s="7">
        <v>0.48958333333333331</v>
      </c>
      <c r="C3010" s="17" t="str">
        <f>"FES1162674159"</f>
        <v>FES1162674159</v>
      </c>
      <c r="D3010" s="17" t="s">
        <v>18</v>
      </c>
      <c r="E3010" s="17" t="s">
        <v>299</v>
      </c>
      <c r="F3010" s="17" t="str">
        <f>"2170672679 "</f>
        <v xml:space="preserve">2170672679 </v>
      </c>
      <c r="G3010" s="17" t="str">
        <f t="shared" si="86"/>
        <v>ON1</v>
      </c>
      <c r="H3010" s="17" t="s">
        <v>20</v>
      </c>
      <c r="I3010" s="17" t="s">
        <v>570</v>
      </c>
      <c r="J3010" s="17" t="str">
        <f>""</f>
        <v/>
      </c>
      <c r="K3010" s="17" t="str">
        <f>"PFES1162674159_0001"</f>
        <v>PFES1162674159_0001</v>
      </c>
      <c r="L3010" s="17">
        <v>1</v>
      </c>
      <c r="M3010" s="17">
        <v>1</v>
      </c>
    </row>
    <row r="3011" spans="1:13">
      <c r="A3011" s="6">
        <v>43516</v>
      </c>
      <c r="B3011" s="7">
        <v>0.48958333333333331</v>
      </c>
      <c r="C3011" s="17" t="str">
        <f>"FES1162674154"</f>
        <v>FES1162674154</v>
      </c>
      <c r="D3011" s="17" t="s">
        <v>18</v>
      </c>
      <c r="E3011" s="17" t="s">
        <v>132</v>
      </c>
      <c r="F3011" s="17" t="str">
        <f>"21706766830 "</f>
        <v xml:space="preserve">21706766830 </v>
      </c>
      <c r="G3011" s="17" t="str">
        <f t="shared" si="86"/>
        <v>ON1</v>
      </c>
      <c r="H3011" s="17" t="s">
        <v>20</v>
      </c>
      <c r="I3011" s="17" t="s">
        <v>133</v>
      </c>
      <c r="J3011" s="17" t="str">
        <f>""</f>
        <v/>
      </c>
      <c r="K3011" s="17" t="str">
        <f>"PFES1162674154_0001"</f>
        <v>PFES1162674154_0001</v>
      </c>
      <c r="L3011" s="17">
        <v>1</v>
      </c>
      <c r="M3011" s="17">
        <v>1</v>
      </c>
    </row>
    <row r="3012" spans="1:13">
      <c r="A3012" s="6">
        <v>43516</v>
      </c>
      <c r="B3012" s="7">
        <v>0.48958333333333331</v>
      </c>
      <c r="C3012" s="17" t="str">
        <f>"FES1162674230"</f>
        <v>FES1162674230</v>
      </c>
      <c r="D3012" s="17" t="s">
        <v>18</v>
      </c>
      <c r="E3012" s="17" t="s">
        <v>924</v>
      </c>
      <c r="F3012" s="17" t="str">
        <f>"2170675245 "</f>
        <v xml:space="preserve">2170675245 </v>
      </c>
      <c r="G3012" s="17" t="str">
        <f t="shared" si="86"/>
        <v>ON1</v>
      </c>
      <c r="H3012" s="17" t="s">
        <v>20</v>
      </c>
      <c r="I3012" s="17" t="s">
        <v>441</v>
      </c>
      <c r="J3012" s="17" t="str">
        <f>""</f>
        <v/>
      </c>
      <c r="K3012" s="17" t="str">
        <f>"PFES1162674230_0001"</f>
        <v>PFES1162674230_0001</v>
      </c>
      <c r="L3012" s="17">
        <v>1</v>
      </c>
      <c r="M3012" s="17">
        <v>1</v>
      </c>
    </row>
    <row r="3013" spans="1:13">
      <c r="A3013" s="6">
        <v>43516</v>
      </c>
      <c r="B3013" s="7">
        <v>0.48888888888888887</v>
      </c>
      <c r="C3013" s="17" t="str">
        <f>"FES1162674142"</f>
        <v>FES1162674142</v>
      </c>
      <c r="D3013" s="17" t="s">
        <v>18</v>
      </c>
      <c r="E3013" s="17" t="s">
        <v>482</v>
      </c>
      <c r="F3013" s="17" t="str">
        <f>"2170675218 "</f>
        <v xml:space="preserve">2170675218 </v>
      </c>
      <c r="G3013" s="17" t="str">
        <f t="shared" si="86"/>
        <v>ON1</v>
      </c>
      <c r="H3013" s="17" t="s">
        <v>20</v>
      </c>
      <c r="I3013" s="17" t="s">
        <v>272</v>
      </c>
      <c r="J3013" s="17" t="str">
        <f>""</f>
        <v/>
      </c>
      <c r="K3013" s="17" t="str">
        <f>"PFES1162674142_0001"</f>
        <v>PFES1162674142_0001</v>
      </c>
      <c r="L3013" s="17">
        <v>1</v>
      </c>
      <c r="M3013" s="17">
        <v>1</v>
      </c>
    </row>
    <row r="3014" spans="1:13">
      <c r="A3014" s="6">
        <v>43516</v>
      </c>
      <c r="B3014" s="7">
        <v>0.48888888888888887</v>
      </c>
      <c r="C3014" s="17" t="str">
        <f>"FES1162674214"</f>
        <v>FES1162674214</v>
      </c>
      <c r="D3014" s="17" t="s">
        <v>18</v>
      </c>
      <c r="E3014" s="17" t="s">
        <v>562</v>
      </c>
      <c r="F3014" s="17" t="str">
        <f>"2170675270 "</f>
        <v xml:space="preserve">2170675270 </v>
      </c>
      <c r="G3014" s="17" t="str">
        <f t="shared" si="86"/>
        <v>ON1</v>
      </c>
      <c r="H3014" s="17" t="s">
        <v>20</v>
      </c>
      <c r="I3014" s="17" t="s">
        <v>563</v>
      </c>
      <c r="J3014" s="17" t="str">
        <f>""</f>
        <v/>
      </c>
      <c r="K3014" s="17" t="str">
        <f>"PFES1162674214_0001"</f>
        <v>PFES1162674214_0001</v>
      </c>
      <c r="L3014" s="17">
        <v>1</v>
      </c>
      <c r="M3014" s="17">
        <v>1</v>
      </c>
    </row>
    <row r="3015" spans="1:13">
      <c r="A3015" s="6">
        <v>43516</v>
      </c>
      <c r="B3015" s="7">
        <v>0.48819444444444443</v>
      </c>
      <c r="C3015" s="17" t="str">
        <f>"FES1162674176"</f>
        <v>FES1162674176</v>
      </c>
      <c r="D3015" s="17" t="s">
        <v>18</v>
      </c>
      <c r="E3015" s="17" t="s">
        <v>301</v>
      </c>
      <c r="F3015" s="17" t="str">
        <f>"2170675057 "</f>
        <v xml:space="preserve">2170675057 </v>
      </c>
      <c r="G3015" s="17" t="str">
        <f t="shared" si="86"/>
        <v>ON1</v>
      </c>
      <c r="H3015" s="17" t="s">
        <v>20</v>
      </c>
      <c r="I3015" s="17" t="s">
        <v>302</v>
      </c>
      <c r="J3015" s="17" t="str">
        <f>""</f>
        <v/>
      </c>
      <c r="K3015" s="17" t="str">
        <f>"PFES1162674176_0001"</f>
        <v>PFES1162674176_0001</v>
      </c>
      <c r="L3015" s="17">
        <v>1</v>
      </c>
      <c r="M3015" s="17">
        <v>1</v>
      </c>
    </row>
    <row r="3016" spans="1:13">
      <c r="A3016" s="6">
        <v>43516</v>
      </c>
      <c r="B3016" s="7">
        <v>0.48819444444444443</v>
      </c>
      <c r="C3016" s="17" t="str">
        <f>"FES1162671326"</f>
        <v>FES1162671326</v>
      </c>
      <c r="D3016" s="17" t="s">
        <v>18</v>
      </c>
      <c r="E3016" s="17" t="s">
        <v>524</v>
      </c>
      <c r="F3016" s="17" t="str">
        <f>"2170672681 "</f>
        <v xml:space="preserve">2170672681 </v>
      </c>
      <c r="G3016" s="17" t="str">
        <f t="shared" si="86"/>
        <v>ON1</v>
      </c>
      <c r="H3016" s="17" t="s">
        <v>20</v>
      </c>
      <c r="I3016" s="17" t="s">
        <v>525</v>
      </c>
      <c r="J3016" s="17" t="str">
        <f>""</f>
        <v/>
      </c>
      <c r="K3016" s="17" t="str">
        <f>"PFES1162671326_0001"</f>
        <v>PFES1162671326_0001</v>
      </c>
      <c r="L3016" s="17">
        <v>1</v>
      </c>
      <c r="M3016" s="17">
        <v>1</v>
      </c>
    </row>
    <row r="3017" spans="1:13">
      <c r="A3017" s="6">
        <v>43516</v>
      </c>
      <c r="B3017" s="7">
        <v>0.48749999999999999</v>
      </c>
      <c r="C3017" s="17" t="str">
        <f>"FES1162674177"</f>
        <v>FES1162674177</v>
      </c>
      <c r="D3017" s="17" t="s">
        <v>18</v>
      </c>
      <c r="E3017" s="17" t="s">
        <v>305</v>
      </c>
      <c r="F3017" s="17" t="str">
        <f>"2170675090 "</f>
        <v xml:space="preserve">2170675090 </v>
      </c>
      <c r="G3017" s="17" t="str">
        <f t="shared" si="86"/>
        <v>ON1</v>
      </c>
      <c r="H3017" s="17" t="s">
        <v>20</v>
      </c>
      <c r="I3017" s="17" t="s">
        <v>197</v>
      </c>
      <c r="J3017" s="17" t="str">
        <f>""</f>
        <v/>
      </c>
      <c r="K3017" s="17" t="str">
        <f>"PFES1162674177_0001"</f>
        <v>PFES1162674177_0001</v>
      </c>
      <c r="L3017" s="17">
        <v>1</v>
      </c>
      <c r="M3017" s="17">
        <v>1</v>
      </c>
    </row>
    <row r="3018" spans="1:13">
      <c r="A3018" s="6">
        <v>43516</v>
      </c>
      <c r="B3018" s="7">
        <v>0.48749999999999999</v>
      </c>
      <c r="C3018" s="17" t="str">
        <f>"FES1162674204"</f>
        <v>FES1162674204</v>
      </c>
      <c r="D3018" s="17" t="s">
        <v>18</v>
      </c>
      <c r="E3018" s="17" t="s">
        <v>116</v>
      </c>
      <c r="F3018" s="17" t="str">
        <f>"2170675254 "</f>
        <v xml:space="preserve">2170675254 </v>
      </c>
      <c r="G3018" s="17" t="str">
        <f t="shared" si="86"/>
        <v>ON1</v>
      </c>
      <c r="H3018" s="17" t="s">
        <v>20</v>
      </c>
      <c r="I3018" s="17" t="s">
        <v>117</v>
      </c>
      <c r="J3018" s="17" t="str">
        <f>""</f>
        <v/>
      </c>
      <c r="K3018" s="17" t="str">
        <f>"PFES1162674204_0001"</f>
        <v>PFES1162674204_0001</v>
      </c>
      <c r="L3018" s="17">
        <v>1</v>
      </c>
      <c r="M3018" s="17">
        <v>1</v>
      </c>
    </row>
    <row r="3019" spans="1:13">
      <c r="A3019" s="6">
        <v>43516</v>
      </c>
      <c r="B3019" s="7">
        <v>0.48680555555555555</v>
      </c>
      <c r="C3019" s="17" t="str">
        <f>"FES1162674179"</f>
        <v>FES1162674179</v>
      </c>
      <c r="D3019" s="17" t="s">
        <v>18</v>
      </c>
      <c r="E3019" s="17" t="s">
        <v>305</v>
      </c>
      <c r="F3019" s="17" t="str">
        <f>"2170675095 "</f>
        <v xml:space="preserve">2170675095 </v>
      </c>
      <c r="G3019" s="17" t="str">
        <f t="shared" si="86"/>
        <v>ON1</v>
      </c>
      <c r="H3019" s="17" t="s">
        <v>20</v>
      </c>
      <c r="I3019" s="17" t="s">
        <v>197</v>
      </c>
      <c r="J3019" s="17" t="str">
        <f>""</f>
        <v/>
      </c>
      <c r="K3019" s="17" t="str">
        <f>"PFES1162674179_0001"</f>
        <v>PFES1162674179_0001</v>
      </c>
      <c r="L3019" s="17">
        <v>1</v>
      </c>
      <c r="M3019" s="17">
        <v>1</v>
      </c>
    </row>
    <row r="3020" spans="1:13">
      <c r="A3020" s="6">
        <v>43516</v>
      </c>
      <c r="B3020" s="7">
        <v>0.48680555555555555</v>
      </c>
      <c r="C3020" s="17" t="str">
        <f>"FES1162674158"</f>
        <v>FES1162674158</v>
      </c>
      <c r="D3020" s="17" t="s">
        <v>18</v>
      </c>
      <c r="E3020" s="17" t="s">
        <v>376</v>
      </c>
      <c r="F3020" s="17" t="str">
        <f>"2170672270 "</f>
        <v xml:space="preserve">2170672270 </v>
      </c>
      <c r="G3020" s="17" t="str">
        <f t="shared" si="86"/>
        <v>ON1</v>
      </c>
      <c r="H3020" s="17" t="s">
        <v>20</v>
      </c>
      <c r="I3020" s="17" t="s">
        <v>228</v>
      </c>
      <c r="J3020" s="17" t="str">
        <f>""</f>
        <v/>
      </c>
      <c r="K3020" s="17" t="str">
        <f>"PFES1162674158_0001"</f>
        <v>PFES1162674158_0001</v>
      </c>
      <c r="L3020" s="17">
        <v>1</v>
      </c>
      <c r="M3020" s="17">
        <v>1</v>
      </c>
    </row>
    <row r="3021" spans="1:13">
      <c r="A3021" s="6">
        <v>43516</v>
      </c>
      <c r="B3021" s="7">
        <v>0.4861111111111111</v>
      </c>
      <c r="C3021" s="17" t="str">
        <f>"FES1162674238"</f>
        <v>FES1162674238</v>
      </c>
      <c r="D3021" s="17" t="s">
        <v>18</v>
      </c>
      <c r="E3021" s="17" t="s">
        <v>834</v>
      </c>
      <c r="F3021" s="17" t="str">
        <f>"2170675292 "</f>
        <v xml:space="preserve">2170675292 </v>
      </c>
      <c r="G3021" s="17" t="str">
        <f t="shared" si="86"/>
        <v>ON1</v>
      </c>
      <c r="H3021" s="17" t="s">
        <v>20</v>
      </c>
      <c r="I3021" s="17" t="s">
        <v>708</v>
      </c>
      <c r="J3021" s="17" t="str">
        <f>""</f>
        <v/>
      </c>
      <c r="K3021" s="17" t="str">
        <f>"PFES1162674238_0001"</f>
        <v>PFES1162674238_0001</v>
      </c>
      <c r="L3021" s="17">
        <v>1</v>
      </c>
      <c r="M3021" s="17">
        <v>1</v>
      </c>
    </row>
    <row r="3022" spans="1:13">
      <c r="A3022" s="6">
        <v>43516</v>
      </c>
      <c r="B3022" s="7">
        <v>0.4861111111111111</v>
      </c>
      <c r="C3022" s="17" t="str">
        <f>"FES1162674183"</f>
        <v>FES1162674183</v>
      </c>
      <c r="D3022" s="17" t="s">
        <v>18</v>
      </c>
      <c r="E3022" s="17" t="s">
        <v>328</v>
      </c>
      <c r="F3022" s="17" t="str">
        <f>"2170675225 "</f>
        <v xml:space="preserve">2170675225 </v>
      </c>
      <c r="G3022" s="17" t="str">
        <f t="shared" si="86"/>
        <v>ON1</v>
      </c>
      <c r="H3022" s="17" t="s">
        <v>20</v>
      </c>
      <c r="I3022" s="17" t="s">
        <v>29</v>
      </c>
      <c r="J3022" s="17" t="str">
        <f>""</f>
        <v/>
      </c>
      <c r="K3022" s="17" t="str">
        <f>"PFES1162674183_0001"</f>
        <v>PFES1162674183_0001</v>
      </c>
      <c r="L3022" s="17">
        <v>1</v>
      </c>
      <c r="M3022" s="17">
        <v>1</v>
      </c>
    </row>
    <row r="3023" spans="1:13">
      <c r="A3023" s="6">
        <v>43516</v>
      </c>
      <c r="B3023" s="7">
        <v>0.4861111111111111</v>
      </c>
      <c r="C3023" s="17" t="str">
        <f>"FES1162674252"</f>
        <v>FES1162674252</v>
      </c>
      <c r="D3023" s="17" t="s">
        <v>18</v>
      </c>
      <c r="E3023" s="17" t="s">
        <v>140</v>
      </c>
      <c r="F3023" s="17" t="str">
        <f>"2170675314 "</f>
        <v xml:space="preserve">2170675314 </v>
      </c>
      <c r="G3023" s="17" t="str">
        <f t="shared" si="86"/>
        <v>ON1</v>
      </c>
      <c r="H3023" s="17" t="s">
        <v>20</v>
      </c>
      <c r="I3023" s="17" t="s">
        <v>141</v>
      </c>
      <c r="J3023" s="17" t="str">
        <f>""</f>
        <v/>
      </c>
      <c r="K3023" s="17" t="str">
        <f>"PFES1162674252_0001"</f>
        <v>PFES1162674252_0001</v>
      </c>
      <c r="L3023" s="17">
        <v>1</v>
      </c>
      <c r="M3023" s="17">
        <v>1</v>
      </c>
    </row>
    <row r="3024" spans="1:13">
      <c r="A3024" s="6">
        <v>43516</v>
      </c>
      <c r="B3024" s="7">
        <v>0.48541666666666666</v>
      </c>
      <c r="C3024" s="17" t="str">
        <f>"FES1162674186"</f>
        <v>FES1162674186</v>
      </c>
      <c r="D3024" s="17" t="s">
        <v>18</v>
      </c>
      <c r="E3024" s="17" t="s">
        <v>253</v>
      </c>
      <c r="F3024" s="17" t="str">
        <f>"2170675232 "</f>
        <v xml:space="preserve">2170675232 </v>
      </c>
      <c r="G3024" s="17" t="str">
        <f t="shared" si="86"/>
        <v>ON1</v>
      </c>
      <c r="H3024" s="17" t="s">
        <v>20</v>
      </c>
      <c r="I3024" s="17" t="s">
        <v>226</v>
      </c>
      <c r="J3024" s="17" t="str">
        <f>""</f>
        <v/>
      </c>
      <c r="K3024" s="17" t="str">
        <f>"PFES1162674186_0001"</f>
        <v>PFES1162674186_0001</v>
      </c>
      <c r="L3024" s="17">
        <v>1</v>
      </c>
      <c r="M3024" s="17">
        <v>1</v>
      </c>
    </row>
    <row r="3025" spans="1:13">
      <c r="A3025" s="6">
        <v>43516</v>
      </c>
      <c r="B3025" s="7">
        <v>0.48541666666666666</v>
      </c>
      <c r="C3025" s="17" t="str">
        <f>"FES1162674178"</f>
        <v>FES1162674178</v>
      </c>
      <c r="D3025" s="17" t="s">
        <v>18</v>
      </c>
      <c r="E3025" s="17" t="s">
        <v>305</v>
      </c>
      <c r="F3025" s="17" t="str">
        <f>"2170675093 "</f>
        <v xml:space="preserve">2170675093 </v>
      </c>
      <c r="G3025" s="17" t="str">
        <f t="shared" si="86"/>
        <v>ON1</v>
      </c>
      <c r="H3025" s="17" t="s">
        <v>20</v>
      </c>
      <c r="I3025" s="17" t="s">
        <v>197</v>
      </c>
      <c r="J3025" s="17" t="str">
        <f>""</f>
        <v/>
      </c>
      <c r="K3025" s="17" t="str">
        <f>"PFES1162674178_0001"</f>
        <v>PFES1162674178_0001</v>
      </c>
      <c r="L3025" s="17">
        <v>1</v>
      </c>
      <c r="M3025" s="17">
        <v>1</v>
      </c>
    </row>
    <row r="3026" spans="1:13">
      <c r="A3026" s="6">
        <v>43516</v>
      </c>
      <c r="B3026" s="7">
        <v>0.48541666666666666</v>
      </c>
      <c r="C3026" s="17" t="str">
        <f>"FES1162674257"</f>
        <v>FES1162674257</v>
      </c>
      <c r="D3026" s="17" t="s">
        <v>18</v>
      </c>
      <c r="E3026" s="17" t="s">
        <v>501</v>
      </c>
      <c r="F3026" s="17" t="str">
        <f>"2170675319 "</f>
        <v xml:space="preserve">2170675319 </v>
      </c>
      <c r="G3026" s="17" t="str">
        <f t="shared" si="86"/>
        <v>ON1</v>
      </c>
      <c r="H3026" s="17" t="s">
        <v>20</v>
      </c>
      <c r="I3026" s="17" t="s">
        <v>286</v>
      </c>
      <c r="J3026" s="17" t="str">
        <f>""</f>
        <v/>
      </c>
      <c r="K3026" s="17" t="str">
        <f>"PFES1162674257_0001"</f>
        <v>PFES1162674257_0001</v>
      </c>
      <c r="L3026" s="17">
        <v>1</v>
      </c>
      <c r="M3026" s="17">
        <v>1</v>
      </c>
    </row>
    <row r="3027" spans="1:13">
      <c r="A3027" s="6">
        <v>43516</v>
      </c>
      <c r="B3027" s="7">
        <v>0.48472222222222222</v>
      </c>
      <c r="C3027" s="17" t="str">
        <f>"FES1162674181"</f>
        <v>FES1162674181</v>
      </c>
      <c r="D3027" s="17" t="s">
        <v>18</v>
      </c>
      <c r="E3027" s="17" t="s">
        <v>305</v>
      </c>
      <c r="F3027" s="17" t="str">
        <f>"2170675099 "</f>
        <v xml:space="preserve">2170675099 </v>
      </c>
      <c r="G3027" s="17" t="str">
        <f t="shared" si="86"/>
        <v>ON1</v>
      </c>
      <c r="H3027" s="17" t="s">
        <v>20</v>
      </c>
      <c r="I3027" s="17" t="s">
        <v>197</v>
      </c>
      <c r="J3027" s="17" t="str">
        <f>""</f>
        <v/>
      </c>
      <c r="K3027" s="17" t="str">
        <f>"PFES1162674181_0001"</f>
        <v>PFES1162674181_0001</v>
      </c>
      <c r="L3027" s="17">
        <v>1</v>
      </c>
      <c r="M3027" s="17">
        <v>1</v>
      </c>
    </row>
    <row r="3028" spans="1:13">
      <c r="A3028" s="6">
        <v>43516</v>
      </c>
      <c r="B3028" s="7">
        <v>0.48472222222222222</v>
      </c>
      <c r="C3028" s="17" t="str">
        <f>"FES1162674191"</f>
        <v>FES1162674191</v>
      </c>
      <c r="D3028" s="17" t="s">
        <v>18</v>
      </c>
      <c r="E3028" s="17" t="s">
        <v>757</v>
      </c>
      <c r="F3028" s="17" t="str">
        <f>"2170675246 "</f>
        <v xml:space="preserve">2170675246 </v>
      </c>
      <c r="G3028" s="17" t="str">
        <f t="shared" si="86"/>
        <v>ON1</v>
      </c>
      <c r="H3028" s="17" t="s">
        <v>20</v>
      </c>
      <c r="I3028" s="17" t="s">
        <v>61</v>
      </c>
      <c r="J3028" s="17" t="str">
        <f>""</f>
        <v/>
      </c>
      <c r="K3028" s="17" t="str">
        <f>"PFES1162674191_0001"</f>
        <v>PFES1162674191_0001</v>
      </c>
      <c r="L3028" s="17">
        <v>1</v>
      </c>
      <c r="M3028" s="17">
        <v>1</v>
      </c>
    </row>
    <row r="3029" spans="1:13">
      <c r="A3029" s="6">
        <v>43516</v>
      </c>
      <c r="B3029" s="7">
        <v>0.48402777777777778</v>
      </c>
      <c r="C3029" s="17" t="str">
        <f>"FES1162674149"</f>
        <v>FES1162674149</v>
      </c>
      <c r="D3029" s="17" t="s">
        <v>18</v>
      </c>
      <c r="E3029" s="17" t="s">
        <v>870</v>
      </c>
      <c r="F3029" s="17" t="str">
        <f>"2170675226 "</f>
        <v xml:space="preserve">2170675226 </v>
      </c>
      <c r="G3029" s="17" t="str">
        <f t="shared" si="86"/>
        <v>ON1</v>
      </c>
      <c r="H3029" s="17" t="s">
        <v>20</v>
      </c>
      <c r="I3029" s="17" t="s">
        <v>89</v>
      </c>
      <c r="J3029" s="17" t="str">
        <f>""</f>
        <v/>
      </c>
      <c r="K3029" s="17" t="str">
        <f>"PFES1162674149_0001"</f>
        <v>PFES1162674149_0001</v>
      </c>
      <c r="L3029" s="17">
        <v>1</v>
      </c>
      <c r="M3029" s="17">
        <v>1</v>
      </c>
    </row>
    <row r="3030" spans="1:13">
      <c r="A3030" s="6">
        <v>43516</v>
      </c>
      <c r="B3030" s="7">
        <v>0.48402777777777778</v>
      </c>
      <c r="C3030" s="17" t="str">
        <f>"FES1162674180"</f>
        <v>FES1162674180</v>
      </c>
      <c r="D3030" s="17" t="s">
        <v>18</v>
      </c>
      <c r="E3030" s="17" t="s">
        <v>305</v>
      </c>
      <c r="F3030" s="17" t="str">
        <f>"2170675096 "</f>
        <v xml:space="preserve">2170675096 </v>
      </c>
      <c r="G3030" s="17" t="str">
        <f t="shared" si="86"/>
        <v>ON1</v>
      </c>
      <c r="H3030" s="17" t="s">
        <v>20</v>
      </c>
      <c r="I3030" s="17" t="s">
        <v>197</v>
      </c>
      <c r="J3030" s="17" t="str">
        <f>""</f>
        <v/>
      </c>
      <c r="K3030" s="17" t="str">
        <f>"PFES1162674180_0001"</f>
        <v>PFES1162674180_0001</v>
      </c>
      <c r="L3030" s="17">
        <v>1</v>
      </c>
      <c r="M3030" s="17">
        <v>1</v>
      </c>
    </row>
    <row r="3031" spans="1:13">
      <c r="A3031" s="6">
        <v>43516</v>
      </c>
      <c r="B3031" s="7">
        <v>0.48402777777777778</v>
      </c>
      <c r="C3031" s="17" t="str">
        <f>"FES1162674247"</f>
        <v>FES1162674247</v>
      </c>
      <c r="D3031" s="17" t="s">
        <v>18</v>
      </c>
      <c r="E3031" s="17" t="s">
        <v>195</v>
      </c>
      <c r="F3031" s="17" t="str">
        <f>"2170675307 "</f>
        <v xml:space="preserve">2170675307 </v>
      </c>
      <c r="G3031" s="17" t="str">
        <f t="shared" si="86"/>
        <v>ON1</v>
      </c>
      <c r="H3031" s="17" t="s">
        <v>20</v>
      </c>
      <c r="I3031" s="17" t="s">
        <v>96</v>
      </c>
      <c r="J3031" s="17" t="str">
        <f>""</f>
        <v/>
      </c>
      <c r="K3031" s="17" t="str">
        <f>"PFES1162674247_0001"</f>
        <v>PFES1162674247_0001</v>
      </c>
      <c r="L3031" s="17">
        <v>1</v>
      </c>
      <c r="M3031" s="17">
        <v>1</v>
      </c>
    </row>
    <row r="3032" spans="1:13">
      <c r="A3032" s="6">
        <v>43516</v>
      </c>
      <c r="B3032" s="7">
        <v>0.48333333333333334</v>
      </c>
      <c r="C3032" s="17" t="str">
        <f>"FES1162674161"</f>
        <v>FES1162674161</v>
      </c>
      <c r="D3032" s="17" t="s">
        <v>18</v>
      </c>
      <c r="E3032" s="17" t="s">
        <v>846</v>
      </c>
      <c r="F3032" s="17" t="str">
        <f>"2170672931 "</f>
        <v xml:space="preserve">2170672931 </v>
      </c>
      <c r="G3032" s="17" t="str">
        <f t="shared" si="86"/>
        <v>ON1</v>
      </c>
      <c r="H3032" s="17" t="s">
        <v>20</v>
      </c>
      <c r="I3032" s="17" t="s">
        <v>650</v>
      </c>
      <c r="J3032" s="17" t="str">
        <f>""</f>
        <v/>
      </c>
      <c r="K3032" s="17" t="str">
        <f>"PFES1162674161_0001"</f>
        <v>PFES1162674161_0001</v>
      </c>
      <c r="L3032" s="17">
        <v>1</v>
      </c>
      <c r="M3032" s="17">
        <v>1</v>
      </c>
    </row>
    <row r="3033" spans="1:13">
      <c r="A3033" s="6">
        <v>43516</v>
      </c>
      <c r="B3033" s="7">
        <v>0.48333333333333334</v>
      </c>
      <c r="C3033" s="17" t="str">
        <f>"FES1162674251"</f>
        <v>FES1162674251</v>
      </c>
      <c r="D3033" s="17" t="s">
        <v>18</v>
      </c>
      <c r="E3033" s="17" t="s">
        <v>1092</v>
      </c>
      <c r="F3033" s="17" t="str">
        <f>"2170675313 "</f>
        <v xml:space="preserve">2170675313 </v>
      </c>
      <c r="G3033" s="17" t="str">
        <f t="shared" si="86"/>
        <v>ON1</v>
      </c>
      <c r="H3033" s="17" t="s">
        <v>20</v>
      </c>
      <c r="I3033" s="17" t="s">
        <v>137</v>
      </c>
      <c r="J3033" s="17" t="str">
        <f>""</f>
        <v/>
      </c>
      <c r="K3033" s="17" t="str">
        <f>"PFES1162674251_0001"</f>
        <v>PFES1162674251_0001</v>
      </c>
      <c r="L3033" s="17">
        <v>1</v>
      </c>
      <c r="M3033" s="17">
        <v>1</v>
      </c>
    </row>
    <row r="3034" spans="1:13">
      <c r="A3034" s="6">
        <v>43516</v>
      </c>
      <c r="B3034" s="7">
        <v>0.48194444444444445</v>
      </c>
      <c r="C3034" s="17" t="str">
        <f>"009935723163"</f>
        <v>009935723163</v>
      </c>
      <c r="D3034" s="17" t="s">
        <v>18</v>
      </c>
      <c r="E3034" s="17" t="s">
        <v>47</v>
      </c>
      <c r="F3034" s="17" t="str">
        <f>"1162671055 "</f>
        <v xml:space="preserve">1162671055 </v>
      </c>
      <c r="G3034" s="17" t="str">
        <f t="shared" ref="G3034:G3040" si="87">"ON1"</f>
        <v>ON1</v>
      </c>
      <c r="H3034" s="17" t="s">
        <v>20</v>
      </c>
      <c r="I3034" s="17" t="s">
        <v>48</v>
      </c>
      <c r="J3034" s="17" t="str">
        <f>"SHORT SUPPLIERD"</f>
        <v>SHORT SUPPLIERD</v>
      </c>
      <c r="K3034" s="17" t="str">
        <f>"P009935723163_0001"</f>
        <v>P009935723163_0001</v>
      </c>
      <c r="L3034" s="17">
        <v>1</v>
      </c>
      <c r="M3034" s="17">
        <v>1</v>
      </c>
    </row>
    <row r="3035" spans="1:13">
      <c r="A3035" s="6">
        <v>43516</v>
      </c>
      <c r="B3035" s="7">
        <v>0.48125000000000001</v>
      </c>
      <c r="C3035" s="17" t="str">
        <f>"009935723162"</f>
        <v>009935723162</v>
      </c>
      <c r="D3035" s="17" t="s">
        <v>18</v>
      </c>
      <c r="E3035" s="17" t="s">
        <v>537</v>
      </c>
      <c r="F3035" s="17" t="str">
        <f>"1162667523 "</f>
        <v xml:space="preserve">1162667523 </v>
      </c>
      <c r="G3035" s="17" t="str">
        <f t="shared" si="87"/>
        <v>ON1</v>
      </c>
      <c r="H3035" s="17" t="s">
        <v>20</v>
      </c>
      <c r="I3035" s="17" t="s">
        <v>93</v>
      </c>
      <c r="J3035" s="17" t="str">
        <f>"RESEND"</f>
        <v>RESEND</v>
      </c>
      <c r="K3035" s="17" t="str">
        <f>"P009935723162_0001"</f>
        <v>P009935723162_0001</v>
      </c>
      <c r="L3035" s="17">
        <v>1</v>
      </c>
      <c r="M3035" s="17">
        <v>1</v>
      </c>
    </row>
    <row r="3036" spans="1:13">
      <c r="A3036" s="6">
        <v>43516</v>
      </c>
      <c r="B3036" s="7">
        <v>0.48055555555555557</v>
      </c>
      <c r="C3036" s="17" t="str">
        <f>"009935723161"</f>
        <v>009935723161</v>
      </c>
      <c r="D3036" s="17" t="s">
        <v>18</v>
      </c>
      <c r="E3036" s="17" t="s">
        <v>47</v>
      </c>
      <c r="F3036" s="17" t="str">
        <f>"1162672675 "</f>
        <v xml:space="preserve">1162672675 </v>
      </c>
      <c r="G3036" s="17" t="str">
        <f t="shared" si="87"/>
        <v>ON1</v>
      </c>
      <c r="H3036" s="17" t="s">
        <v>20</v>
      </c>
      <c r="I3036" s="17" t="s">
        <v>48</v>
      </c>
      <c r="J3036" s="17" t="str">
        <f>"SHORT SUPPLIED"</f>
        <v>SHORT SUPPLIED</v>
      </c>
      <c r="K3036" s="17" t="str">
        <f>"P009935723161_0001"</f>
        <v>P009935723161_0001</v>
      </c>
      <c r="L3036" s="17">
        <v>1</v>
      </c>
      <c r="M3036" s="17">
        <v>1</v>
      </c>
    </row>
    <row r="3037" spans="1:13">
      <c r="A3037" s="6">
        <v>43516</v>
      </c>
      <c r="B3037" s="7">
        <v>0.47916666666666669</v>
      </c>
      <c r="C3037" s="17" t="str">
        <f>"FES1162674194"</f>
        <v>FES1162674194</v>
      </c>
      <c r="D3037" s="17" t="s">
        <v>18</v>
      </c>
      <c r="E3037" s="17" t="s">
        <v>405</v>
      </c>
      <c r="F3037" s="17" t="str">
        <f>"2170675251 "</f>
        <v xml:space="preserve">2170675251 </v>
      </c>
      <c r="G3037" s="17" t="str">
        <f t="shared" si="87"/>
        <v>ON1</v>
      </c>
      <c r="H3037" s="17" t="s">
        <v>20</v>
      </c>
      <c r="I3037" s="17" t="s">
        <v>239</v>
      </c>
      <c r="J3037" s="17" t="str">
        <f>""</f>
        <v/>
      </c>
      <c r="K3037" s="17" t="str">
        <f>"PFES1162674194_0001"</f>
        <v>PFES1162674194_0001</v>
      </c>
      <c r="L3037" s="17">
        <v>1</v>
      </c>
      <c r="M3037" s="17">
        <v>11</v>
      </c>
    </row>
    <row r="3038" spans="1:13">
      <c r="A3038" s="6">
        <v>43516</v>
      </c>
      <c r="B3038" s="7">
        <v>0.47152777777777777</v>
      </c>
      <c r="C3038" s="17" t="str">
        <f>"FES1162674163"</f>
        <v>FES1162674163</v>
      </c>
      <c r="D3038" s="17" t="s">
        <v>18</v>
      </c>
      <c r="E3038" s="17" t="s">
        <v>350</v>
      </c>
      <c r="F3038" s="17" t="str">
        <f>"2170673135 "</f>
        <v xml:space="preserve">2170673135 </v>
      </c>
      <c r="G3038" s="17" t="str">
        <f t="shared" si="87"/>
        <v>ON1</v>
      </c>
      <c r="H3038" s="17" t="s">
        <v>20</v>
      </c>
      <c r="I3038" s="17" t="s">
        <v>351</v>
      </c>
      <c r="J3038" s="17" t="str">
        <f>""</f>
        <v/>
      </c>
      <c r="K3038" s="17" t="str">
        <f>"PFES1162674163_0001"</f>
        <v>PFES1162674163_0001</v>
      </c>
      <c r="L3038" s="17">
        <v>1</v>
      </c>
      <c r="M3038" s="17">
        <v>4</v>
      </c>
    </row>
    <row r="3039" spans="1:13">
      <c r="A3039" s="6">
        <v>43516</v>
      </c>
      <c r="B3039" s="7">
        <v>0.47013888888888888</v>
      </c>
      <c r="C3039" s="17" t="str">
        <f>"FES1162674169"</f>
        <v>FES1162674169</v>
      </c>
      <c r="D3039" s="17" t="s">
        <v>18</v>
      </c>
      <c r="E3039" s="17" t="s">
        <v>299</v>
      </c>
      <c r="F3039" s="17" t="str">
        <f>"2170673583 "</f>
        <v xml:space="preserve">2170673583 </v>
      </c>
      <c r="G3039" s="17" t="str">
        <f t="shared" si="87"/>
        <v>ON1</v>
      </c>
      <c r="H3039" s="17" t="s">
        <v>20</v>
      </c>
      <c r="I3039" s="17" t="s">
        <v>43</v>
      </c>
      <c r="J3039" s="17" t="str">
        <f>""</f>
        <v/>
      </c>
      <c r="K3039" s="17" t="str">
        <f>"PFES1162674169_0001"</f>
        <v>PFES1162674169_0001</v>
      </c>
      <c r="L3039" s="17">
        <v>1</v>
      </c>
      <c r="M3039" s="17">
        <v>2</v>
      </c>
    </row>
    <row r="3040" spans="1:13">
      <c r="A3040" s="6">
        <v>43516</v>
      </c>
      <c r="B3040" s="7">
        <v>0.44861111111111113</v>
      </c>
      <c r="C3040" s="17" t="str">
        <f>"FES1162674201"</f>
        <v>FES1162674201</v>
      </c>
      <c r="D3040" s="17" t="s">
        <v>18</v>
      </c>
      <c r="E3040" s="17" t="s">
        <v>157</v>
      </c>
      <c r="F3040" s="17" t="str">
        <f>"2170675242 "</f>
        <v xml:space="preserve">2170675242 </v>
      </c>
      <c r="G3040" s="17" t="str">
        <f t="shared" si="87"/>
        <v>ON1</v>
      </c>
      <c r="H3040" s="17" t="s">
        <v>20</v>
      </c>
      <c r="I3040" s="17" t="s">
        <v>158</v>
      </c>
      <c r="J3040" s="17" t="str">
        <f>""</f>
        <v/>
      </c>
      <c r="K3040" s="17" t="str">
        <f>"PFES1162674201_0001"</f>
        <v>PFES1162674201_0001</v>
      </c>
      <c r="L3040" s="17">
        <v>1</v>
      </c>
      <c r="M3040" s="17">
        <v>6</v>
      </c>
    </row>
    <row r="3041" spans="1:13">
      <c r="A3041" s="6">
        <v>43516</v>
      </c>
      <c r="B3041" s="7">
        <v>0.4465277777777778</v>
      </c>
      <c r="C3041" s="17" t="str">
        <f>"FES1162674170"</f>
        <v>FES1162674170</v>
      </c>
      <c r="D3041" s="17" t="s">
        <v>18</v>
      </c>
      <c r="E3041" s="17" t="s">
        <v>756</v>
      </c>
      <c r="F3041" s="17" t="str">
        <f>"2170673595 "</f>
        <v xml:space="preserve">2170673595 </v>
      </c>
      <c r="G3041" s="17" t="str">
        <f>"DBC"</f>
        <v>DBC</v>
      </c>
      <c r="H3041" s="17" t="s">
        <v>20</v>
      </c>
      <c r="I3041" s="17" t="s">
        <v>55</v>
      </c>
      <c r="J3041" s="17" t="str">
        <f>"FRAGILE OIL"</f>
        <v>FRAGILE OIL</v>
      </c>
      <c r="K3041" s="17" t="str">
        <f>"PFES1162674170_0001"</f>
        <v>PFES1162674170_0001</v>
      </c>
      <c r="L3041" s="17">
        <v>1</v>
      </c>
      <c r="M3041" s="17">
        <v>5</v>
      </c>
    </row>
    <row r="3042" spans="1:13">
      <c r="A3042" s="6">
        <v>43516</v>
      </c>
      <c r="B3042" s="7">
        <v>0.4458333333333333</v>
      </c>
      <c r="C3042" s="17" t="str">
        <f>"FES1162674212"</f>
        <v>FES1162674212</v>
      </c>
      <c r="D3042" s="17" t="s">
        <v>18</v>
      </c>
      <c r="E3042" s="17" t="s">
        <v>19</v>
      </c>
      <c r="F3042" s="17" t="str">
        <f>"2170675268 "</f>
        <v xml:space="preserve">2170675268 </v>
      </c>
      <c r="G3042" s="17" t="str">
        <f>"ON1"</f>
        <v>ON1</v>
      </c>
      <c r="H3042" s="17" t="s">
        <v>20</v>
      </c>
      <c r="I3042" s="17" t="s">
        <v>21</v>
      </c>
      <c r="J3042" s="17" t="str">
        <f>""</f>
        <v/>
      </c>
      <c r="K3042" s="17" t="str">
        <f>"PFES1162674212_0001"</f>
        <v>PFES1162674212_0001</v>
      </c>
      <c r="L3042" s="17">
        <v>1</v>
      </c>
      <c r="M3042" s="17">
        <v>6</v>
      </c>
    </row>
    <row r="3043" spans="1:13">
      <c r="A3043" s="6">
        <v>43516</v>
      </c>
      <c r="B3043" s="7">
        <v>0.44444444444444442</v>
      </c>
      <c r="C3043" s="17" t="str">
        <f>"FES1162674156"</f>
        <v>FES1162674156</v>
      </c>
      <c r="D3043" s="17" t="s">
        <v>18</v>
      </c>
      <c r="E3043" s="17" t="s">
        <v>306</v>
      </c>
      <c r="F3043" s="17" t="str">
        <f>"2170670307 "</f>
        <v xml:space="preserve">2170670307 </v>
      </c>
      <c r="G3043" s="17" t="str">
        <f>"ON1"</f>
        <v>ON1</v>
      </c>
      <c r="H3043" s="17" t="s">
        <v>20</v>
      </c>
      <c r="I3043" s="17" t="s">
        <v>228</v>
      </c>
      <c r="J3043" s="17" t="str">
        <f>""</f>
        <v/>
      </c>
      <c r="K3043" s="17" t="str">
        <f>"PFES1162674156_0001"</f>
        <v>PFES1162674156_0001</v>
      </c>
      <c r="L3043" s="17">
        <v>1</v>
      </c>
      <c r="M3043" s="17">
        <v>2</v>
      </c>
    </row>
    <row r="3044" spans="1:13">
      <c r="A3044" s="6">
        <v>43516</v>
      </c>
      <c r="B3044" s="7">
        <v>0.44375000000000003</v>
      </c>
      <c r="C3044" s="17" t="str">
        <f>"FES1162674193"</f>
        <v>FES1162674193</v>
      </c>
      <c r="D3044" s="17" t="s">
        <v>18</v>
      </c>
      <c r="E3044" s="17" t="s">
        <v>253</v>
      </c>
      <c r="F3044" s="17" t="str">
        <f>"2170675250 "</f>
        <v xml:space="preserve">2170675250 </v>
      </c>
      <c r="G3044" s="17" t="str">
        <f>"ON1"</f>
        <v>ON1</v>
      </c>
      <c r="H3044" s="17" t="s">
        <v>20</v>
      </c>
      <c r="I3044" s="17" t="s">
        <v>226</v>
      </c>
      <c r="J3044" s="17" t="str">
        <f>""</f>
        <v/>
      </c>
      <c r="K3044" s="17" t="str">
        <f>"PFES1162674193_0001"</f>
        <v>PFES1162674193_0001</v>
      </c>
      <c r="L3044" s="17">
        <v>1</v>
      </c>
      <c r="M3044" s="17">
        <v>2</v>
      </c>
    </row>
    <row r="3045" spans="1:13">
      <c r="A3045" s="6">
        <v>43516</v>
      </c>
      <c r="B3045" s="7">
        <v>0.44305555555555554</v>
      </c>
      <c r="C3045" s="17" t="str">
        <f>"FES1162674173"</f>
        <v>FES1162674173</v>
      </c>
      <c r="D3045" s="17" t="s">
        <v>18</v>
      </c>
      <c r="E3045" s="17" t="s">
        <v>609</v>
      </c>
      <c r="F3045" s="17" t="str">
        <f>"2170674636 "</f>
        <v xml:space="preserve">2170674636 </v>
      </c>
      <c r="G3045" s="17" t="str">
        <f>"ON1"</f>
        <v>ON1</v>
      </c>
      <c r="H3045" s="17" t="s">
        <v>20</v>
      </c>
      <c r="I3045" s="17" t="s">
        <v>61</v>
      </c>
      <c r="J3045" s="17" t="str">
        <f>""</f>
        <v/>
      </c>
      <c r="K3045" s="17" t="str">
        <f>"PFES1162674173_0001"</f>
        <v>PFES1162674173_0001</v>
      </c>
      <c r="L3045" s="17">
        <v>1</v>
      </c>
      <c r="M3045" s="17">
        <v>2</v>
      </c>
    </row>
    <row r="3046" spans="1:13">
      <c r="A3046" s="6">
        <v>43516</v>
      </c>
      <c r="B3046" s="7">
        <v>0.44027777777777777</v>
      </c>
      <c r="C3046" s="17" t="str">
        <f>"FES1162674182"</f>
        <v>FES1162674182</v>
      </c>
      <c r="D3046" s="17" t="s">
        <v>18</v>
      </c>
      <c r="E3046" s="17" t="s">
        <v>305</v>
      </c>
      <c r="F3046" s="17" t="str">
        <f>"2170675106 "</f>
        <v xml:space="preserve">2170675106 </v>
      </c>
      <c r="G3046" s="17" t="str">
        <f>"ON1"</f>
        <v>ON1</v>
      </c>
      <c r="H3046" s="17" t="s">
        <v>20</v>
      </c>
      <c r="I3046" s="17" t="s">
        <v>197</v>
      </c>
      <c r="J3046" s="17" t="str">
        <f>""</f>
        <v/>
      </c>
      <c r="K3046" s="17" t="str">
        <f>"PFES1162674182_0001"</f>
        <v>PFES1162674182_0001</v>
      </c>
      <c r="L3046" s="17">
        <v>1</v>
      </c>
      <c r="M3046" s="17">
        <v>4</v>
      </c>
    </row>
    <row r="3047" spans="1:13">
      <c r="A3047" s="6">
        <v>43517</v>
      </c>
      <c r="B3047" s="7">
        <v>0.69513888888888886</v>
      </c>
      <c r="C3047" s="18" t="str">
        <f>"FES1162674621"</f>
        <v>FES1162674621</v>
      </c>
      <c r="D3047" s="18" t="s">
        <v>18</v>
      </c>
      <c r="E3047" s="18" t="s">
        <v>1093</v>
      </c>
      <c r="F3047" s="18" t="str">
        <f>"2170675710 "</f>
        <v xml:space="preserve">2170675710 </v>
      </c>
      <c r="G3047" s="18" t="str">
        <f t="shared" ref="G3047:G3110" si="88">"ON1"</f>
        <v>ON1</v>
      </c>
      <c r="H3047" s="18" t="s">
        <v>20</v>
      </c>
      <c r="I3047" s="18" t="s">
        <v>137</v>
      </c>
      <c r="J3047" s="18" t="str">
        <f>""</f>
        <v/>
      </c>
      <c r="K3047" s="18" t="str">
        <f>"PFES1162674621_0001"</f>
        <v>PFES1162674621_0001</v>
      </c>
      <c r="L3047" s="18">
        <v>1</v>
      </c>
      <c r="M3047" s="18">
        <v>15</v>
      </c>
    </row>
    <row r="3048" spans="1:13">
      <c r="A3048" s="6">
        <v>43517</v>
      </c>
      <c r="B3048" s="7">
        <v>0.69513888888888886</v>
      </c>
      <c r="C3048" s="18" t="str">
        <f>"FES1162674626"</f>
        <v>FES1162674626</v>
      </c>
      <c r="D3048" s="18" t="s">
        <v>18</v>
      </c>
      <c r="E3048" s="18" t="s">
        <v>19</v>
      </c>
      <c r="F3048" s="18" t="str">
        <f>"2170675719 "</f>
        <v xml:space="preserve">2170675719 </v>
      </c>
      <c r="G3048" s="18" t="str">
        <f t="shared" si="88"/>
        <v>ON1</v>
      </c>
      <c r="H3048" s="18" t="s">
        <v>20</v>
      </c>
      <c r="I3048" s="18" t="s">
        <v>21</v>
      </c>
      <c r="J3048" s="18" t="str">
        <f>""</f>
        <v/>
      </c>
      <c r="K3048" s="18" t="str">
        <f>"PFES1162674626_0001"</f>
        <v>PFES1162674626_0001</v>
      </c>
      <c r="L3048" s="18">
        <v>1</v>
      </c>
      <c r="M3048" s="18">
        <v>4</v>
      </c>
    </row>
    <row r="3049" spans="1:13">
      <c r="A3049" s="6">
        <v>43517</v>
      </c>
      <c r="B3049" s="7">
        <v>0.69374999999999998</v>
      </c>
      <c r="C3049" s="18" t="str">
        <f>"FES1162674612"</f>
        <v>FES1162674612</v>
      </c>
      <c r="D3049" s="18" t="s">
        <v>18</v>
      </c>
      <c r="E3049" s="18" t="s">
        <v>850</v>
      </c>
      <c r="F3049" s="18" t="str">
        <f>"2170675622 "</f>
        <v xml:space="preserve">2170675622 </v>
      </c>
      <c r="G3049" s="18" t="str">
        <f t="shared" si="88"/>
        <v>ON1</v>
      </c>
      <c r="H3049" s="18" t="s">
        <v>20</v>
      </c>
      <c r="I3049" s="18" t="s">
        <v>276</v>
      </c>
      <c r="J3049" s="18" t="str">
        <f>""</f>
        <v/>
      </c>
      <c r="K3049" s="18" t="str">
        <f>"PFES1162674612_0001"</f>
        <v>PFES1162674612_0001</v>
      </c>
      <c r="L3049" s="18">
        <v>1</v>
      </c>
      <c r="M3049" s="18">
        <v>4</v>
      </c>
    </row>
    <row r="3050" spans="1:13">
      <c r="A3050" s="6">
        <v>43517</v>
      </c>
      <c r="B3050" s="7">
        <v>0.69305555555555554</v>
      </c>
      <c r="C3050" s="18" t="str">
        <f>"FES1162674642"</f>
        <v>FES1162674642</v>
      </c>
      <c r="D3050" s="18" t="s">
        <v>18</v>
      </c>
      <c r="E3050" s="18" t="s">
        <v>405</v>
      </c>
      <c r="F3050" s="18" t="str">
        <f>"2170666228 "</f>
        <v xml:space="preserve">2170666228 </v>
      </c>
      <c r="G3050" s="18" t="str">
        <f t="shared" si="88"/>
        <v>ON1</v>
      </c>
      <c r="H3050" s="18" t="s">
        <v>20</v>
      </c>
      <c r="I3050" s="18" t="s">
        <v>239</v>
      </c>
      <c r="J3050" s="18" t="str">
        <f>""</f>
        <v/>
      </c>
      <c r="K3050" s="18" t="str">
        <f>"PFES1162674642_0001"</f>
        <v>PFES1162674642_0001</v>
      </c>
      <c r="L3050" s="18">
        <v>1</v>
      </c>
      <c r="M3050" s="18">
        <v>4</v>
      </c>
    </row>
    <row r="3051" spans="1:13">
      <c r="A3051" s="6">
        <v>43517</v>
      </c>
      <c r="B3051" s="7">
        <v>0.69236111111111109</v>
      </c>
      <c r="C3051" s="18" t="str">
        <f>"FES1162674625"</f>
        <v>FES1162674625</v>
      </c>
      <c r="D3051" s="18" t="s">
        <v>18</v>
      </c>
      <c r="E3051" s="18" t="s">
        <v>19</v>
      </c>
      <c r="F3051" s="18" t="str">
        <f>"2170675714 "</f>
        <v xml:space="preserve">2170675714 </v>
      </c>
      <c r="G3051" s="18" t="str">
        <f t="shared" si="88"/>
        <v>ON1</v>
      </c>
      <c r="H3051" s="18" t="s">
        <v>20</v>
      </c>
      <c r="I3051" s="18" t="s">
        <v>21</v>
      </c>
      <c r="J3051" s="18" t="str">
        <f>""</f>
        <v/>
      </c>
      <c r="K3051" s="18" t="str">
        <f>"PFES1162674625_0001"</f>
        <v>PFES1162674625_0001</v>
      </c>
      <c r="L3051" s="18">
        <v>1</v>
      </c>
      <c r="M3051" s="18">
        <v>3</v>
      </c>
    </row>
    <row r="3052" spans="1:13">
      <c r="A3052" s="6">
        <v>43517</v>
      </c>
      <c r="B3052" s="7">
        <v>0.69166666666666676</v>
      </c>
      <c r="C3052" s="18" t="str">
        <f>"FES1162674628"</f>
        <v>FES1162674628</v>
      </c>
      <c r="D3052" s="18" t="s">
        <v>18</v>
      </c>
      <c r="E3052" s="18" t="s">
        <v>1094</v>
      </c>
      <c r="F3052" s="18" t="str">
        <f>"2170675723 "</f>
        <v xml:space="preserve">2170675723 </v>
      </c>
      <c r="G3052" s="18" t="str">
        <f t="shared" si="88"/>
        <v>ON1</v>
      </c>
      <c r="H3052" s="18" t="s">
        <v>20</v>
      </c>
      <c r="I3052" s="18" t="s">
        <v>1095</v>
      </c>
      <c r="J3052" s="18" t="str">
        <f>""</f>
        <v/>
      </c>
      <c r="K3052" s="18" t="str">
        <f>"PFES1162674628_0001"</f>
        <v>PFES1162674628_0001</v>
      </c>
      <c r="L3052" s="18">
        <v>2</v>
      </c>
      <c r="M3052" s="18">
        <v>7</v>
      </c>
    </row>
    <row r="3053" spans="1:13">
      <c r="A3053" s="6">
        <v>43496</v>
      </c>
      <c r="B3053" s="7">
        <v>0.68402777777777779</v>
      </c>
      <c r="C3053" s="18" t="str">
        <f>"FES1162674628"</f>
        <v>FES1162674628</v>
      </c>
      <c r="D3053" s="18" t="s">
        <v>18</v>
      </c>
      <c r="E3053" s="18" t="s">
        <v>34</v>
      </c>
      <c r="F3053" s="18" t="str">
        <f>"2170672037 "</f>
        <v xml:space="preserve">2170672037 </v>
      </c>
      <c r="G3053" s="18" t="str">
        <f t="shared" si="88"/>
        <v>ON1</v>
      </c>
      <c r="H3053" s="18" t="s">
        <v>20</v>
      </c>
      <c r="I3053" s="18" t="s">
        <v>35</v>
      </c>
      <c r="J3053" s="18" t="str">
        <f>""</f>
        <v/>
      </c>
      <c r="K3053" s="18" t="str">
        <f>"PFES1162674628_0002"</f>
        <v>PFES1162674628_0002</v>
      </c>
      <c r="L3053" s="18">
        <v>1</v>
      </c>
      <c r="M3053" s="18">
        <v>18</v>
      </c>
    </row>
    <row r="3054" spans="1:13">
      <c r="A3054" s="6">
        <v>43517</v>
      </c>
      <c r="B3054" s="7">
        <v>0.68888888888888899</v>
      </c>
      <c r="C3054" s="18" t="str">
        <f>"FES1162674629"</f>
        <v>FES1162674629</v>
      </c>
      <c r="D3054" s="18" t="s">
        <v>18</v>
      </c>
      <c r="E3054" s="18" t="s">
        <v>214</v>
      </c>
      <c r="F3054" s="18" t="str">
        <f>"2170675724 "</f>
        <v xml:space="preserve">2170675724 </v>
      </c>
      <c r="G3054" s="18" t="str">
        <f t="shared" si="88"/>
        <v>ON1</v>
      </c>
      <c r="H3054" s="18" t="s">
        <v>20</v>
      </c>
      <c r="I3054" s="18" t="s">
        <v>215</v>
      </c>
      <c r="J3054" s="18" t="str">
        <f>""</f>
        <v/>
      </c>
      <c r="K3054" s="18" t="str">
        <f>"PFES1162674629_0001"</f>
        <v>PFES1162674629_0001</v>
      </c>
      <c r="L3054" s="18">
        <v>1</v>
      </c>
      <c r="M3054" s="18">
        <v>1</v>
      </c>
    </row>
    <row r="3055" spans="1:13">
      <c r="A3055" s="6">
        <v>43517</v>
      </c>
      <c r="B3055" s="7">
        <v>0.68819444444444444</v>
      </c>
      <c r="C3055" s="18" t="str">
        <f>"FES1162674633"</f>
        <v>FES1162674633</v>
      </c>
      <c r="D3055" s="18" t="s">
        <v>18</v>
      </c>
      <c r="E3055" s="18" t="s">
        <v>140</v>
      </c>
      <c r="F3055" s="18" t="str">
        <f>"2170675729 "</f>
        <v xml:space="preserve">2170675729 </v>
      </c>
      <c r="G3055" s="18" t="str">
        <f t="shared" si="88"/>
        <v>ON1</v>
      </c>
      <c r="H3055" s="18" t="s">
        <v>20</v>
      </c>
      <c r="I3055" s="18" t="s">
        <v>141</v>
      </c>
      <c r="J3055" s="18" t="str">
        <f>""</f>
        <v/>
      </c>
      <c r="K3055" s="18" t="str">
        <f>"PFES1162674633_0001"</f>
        <v>PFES1162674633_0001</v>
      </c>
      <c r="L3055" s="18">
        <v>1</v>
      </c>
      <c r="M3055" s="18">
        <v>1</v>
      </c>
    </row>
    <row r="3056" spans="1:13">
      <c r="A3056" s="6">
        <v>43517</v>
      </c>
      <c r="B3056" s="7">
        <v>0.68819444444444444</v>
      </c>
      <c r="C3056" s="18" t="str">
        <f>"FES1162674643"</f>
        <v>FES1162674643</v>
      </c>
      <c r="D3056" s="18" t="s">
        <v>18</v>
      </c>
      <c r="E3056" s="18" t="s">
        <v>629</v>
      </c>
      <c r="F3056" s="18" t="str">
        <f>"2170674684 "</f>
        <v xml:space="preserve">2170674684 </v>
      </c>
      <c r="G3056" s="18" t="str">
        <f t="shared" si="88"/>
        <v>ON1</v>
      </c>
      <c r="H3056" s="18" t="s">
        <v>20</v>
      </c>
      <c r="I3056" s="18" t="s">
        <v>420</v>
      </c>
      <c r="J3056" s="18" t="str">
        <f>""</f>
        <v/>
      </c>
      <c r="K3056" s="18" t="str">
        <f>"PFES1162674643_0001"</f>
        <v>PFES1162674643_0001</v>
      </c>
      <c r="L3056" s="18">
        <v>1</v>
      </c>
      <c r="M3056" s="18">
        <v>1</v>
      </c>
    </row>
    <row r="3057" spans="1:13">
      <c r="A3057" s="6">
        <v>43517</v>
      </c>
      <c r="B3057" s="7">
        <v>0.68819444444444444</v>
      </c>
      <c r="C3057" s="18" t="str">
        <f>"FES1162674641"</f>
        <v>FES1162674641</v>
      </c>
      <c r="D3057" s="18" t="s">
        <v>18</v>
      </c>
      <c r="E3057" s="18" t="s">
        <v>307</v>
      </c>
      <c r="F3057" s="18" t="str">
        <f>"2170675743 "</f>
        <v xml:space="preserve">2170675743 </v>
      </c>
      <c r="G3057" s="18" t="str">
        <f t="shared" si="88"/>
        <v>ON1</v>
      </c>
      <c r="H3057" s="18" t="s">
        <v>20</v>
      </c>
      <c r="I3057" s="18" t="s">
        <v>41</v>
      </c>
      <c r="J3057" s="18" t="str">
        <f>""</f>
        <v/>
      </c>
      <c r="K3057" s="18" t="str">
        <f>"PFES1162674641_0001"</f>
        <v>PFES1162674641_0001</v>
      </c>
      <c r="L3057" s="18">
        <v>1</v>
      </c>
      <c r="M3057" s="18">
        <v>1</v>
      </c>
    </row>
    <row r="3058" spans="1:13">
      <c r="A3058" s="6">
        <v>43517</v>
      </c>
      <c r="B3058" s="7">
        <v>0.68402777777777779</v>
      </c>
      <c r="C3058" s="18" t="str">
        <f>"FES1162674552"</f>
        <v>FES1162674552</v>
      </c>
      <c r="D3058" s="18" t="s">
        <v>18</v>
      </c>
      <c r="E3058" s="18" t="s">
        <v>180</v>
      </c>
      <c r="F3058" s="18" t="str">
        <f>"2170675465 "</f>
        <v xml:space="preserve">2170675465 </v>
      </c>
      <c r="G3058" s="18" t="str">
        <f t="shared" si="88"/>
        <v>ON1</v>
      </c>
      <c r="H3058" s="18" t="s">
        <v>20</v>
      </c>
      <c r="I3058" s="18" t="s">
        <v>93</v>
      </c>
      <c r="J3058" s="18" t="str">
        <f>""</f>
        <v/>
      </c>
      <c r="K3058" s="18" t="str">
        <f>"PFES1162674552_0001"</f>
        <v>PFES1162674552_0001</v>
      </c>
      <c r="L3058" s="18">
        <v>1</v>
      </c>
      <c r="M3058" s="18">
        <v>2</v>
      </c>
    </row>
    <row r="3059" spans="1:13">
      <c r="A3059" s="6">
        <v>43517</v>
      </c>
      <c r="B3059" s="7">
        <v>0.68263888888888891</v>
      </c>
      <c r="C3059" s="18" t="str">
        <f>"FES1162674622"</f>
        <v>FES1162674622</v>
      </c>
      <c r="D3059" s="18" t="s">
        <v>18</v>
      </c>
      <c r="E3059" s="18" t="s">
        <v>259</v>
      </c>
      <c r="F3059" s="18" t="str">
        <f>"2170675711 "</f>
        <v xml:space="preserve">2170675711 </v>
      </c>
      <c r="G3059" s="18" t="str">
        <f t="shared" si="88"/>
        <v>ON1</v>
      </c>
      <c r="H3059" s="18" t="s">
        <v>20</v>
      </c>
      <c r="I3059" s="18" t="s">
        <v>260</v>
      </c>
      <c r="J3059" s="18" t="str">
        <f>""</f>
        <v/>
      </c>
      <c r="K3059" s="18" t="str">
        <f>"PFES1162674622_0001"</f>
        <v>PFES1162674622_0001</v>
      </c>
      <c r="L3059" s="18">
        <v>1</v>
      </c>
      <c r="M3059" s="18">
        <v>8</v>
      </c>
    </row>
    <row r="3060" spans="1:13">
      <c r="A3060" s="6">
        <v>43517</v>
      </c>
      <c r="B3060" s="7">
        <v>0.68194444444444446</v>
      </c>
      <c r="C3060" s="18" t="str">
        <f>"FES1162674617"</f>
        <v>FES1162674617</v>
      </c>
      <c r="D3060" s="18" t="s">
        <v>18</v>
      </c>
      <c r="E3060" s="18" t="s">
        <v>1072</v>
      </c>
      <c r="F3060" s="18" t="str">
        <f>"2170674044 "</f>
        <v xml:space="preserve">2170674044 </v>
      </c>
      <c r="G3060" s="18" t="str">
        <f t="shared" si="88"/>
        <v>ON1</v>
      </c>
      <c r="H3060" s="18" t="s">
        <v>20</v>
      </c>
      <c r="I3060" s="18" t="s">
        <v>139</v>
      </c>
      <c r="J3060" s="18" t="str">
        <f>""</f>
        <v/>
      </c>
      <c r="K3060" s="18" t="str">
        <f>"PFES1162674617_0001"</f>
        <v>PFES1162674617_0001</v>
      </c>
      <c r="L3060" s="18">
        <v>1</v>
      </c>
      <c r="M3060" s="18">
        <v>6</v>
      </c>
    </row>
    <row r="3061" spans="1:13">
      <c r="A3061" s="6">
        <v>43517</v>
      </c>
      <c r="B3061" s="7">
        <v>0.68055555555555547</v>
      </c>
      <c r="C3061" s="18" t="str">
        <f>"FES1162674631"</f>
        <v>FES1162674631</v>
      </c>
      <c r="D3061" s="18" t="s">
        <v>18</v>
      </c>
      <c r="E3061" s="18" t="s">
        <v>305</v>
      </c>
      <c r="F3061" s="18" t="str">
        <f>"2170674635 "</f>
        <v xml:space="preserve">2170674635 </v>
      </c>
      <c r="G3061" s="18" t="str">
        <f t="shared" si="88"/>
        <v>ON1</v>
      </c>
      <c r="H3061" s="18" t="s">
        <v>20</v>
      </c>
      <c r="I3061" s="18" t="s">
        <v>197</v>
      </c>
      <c r="J3061" s="18" t="str">
        <f>""</f>
        <v/>
      </c>
      <c r="K3061" s="18" t="str">
        <f>"PFES1162674631_0001"</f>
        <v>PFES1162674631_0001</v>
      </c>
      <c r="L3061" s="18">
        <v>1</v>
      </c>
      <c r="M3061" s="18">
        <v>6</v>
      </c>
    </row>
    <row r="3062" spans="1:13">
      <c r="A3062" s="6">
        <v>43517</v>
      </c>
      <c r="B3062" s="7">
        <v>0.6777777777777777</v>
      </c>
      <c r="C3062" s="18" t="str">
        <f>"FES1162674604"</f>
        <v>FES1162674604</v>
      </c>
      <c r="D3062" s="18" t="s">
        <v>18</v>
      </c>
      <c r="E3062" s="18" t="s">
        <v>560</v>
      </c>
      <c r="F3062" s="18" t="str">
        <f>"2170675690 "</f>
        <v xml:space="preserve">2170675690 </v>
      </c>
      <c r="G3062" s="18" t="str">
        <f t="shared" si="88"/>
        <v>ON1</v>
      </c>
      <c r="H3062" s="18" t="s">
        <v>20</v>
      </c>
      <c r="I3062" s="18" t="s">
        <v>561</v>
      </c>
      <c r="J3062" s="18" t="str">
        <f>""</f>
        <v/>
      </c>
      <c r="K3062" s="18" t="str">
        <f>"PFES1162674604_0001"</f>
        <v>PFES1162674604_0001</v>
      </c>
      <c r="L3062" s="18">
        <v>1</v>
      </c>
      <c r="M3062" s="18">
        <v>4</v>
      </c>
    </row>
    <row r="3063" spans="1:13">
      <c r="A3063" s="6">
        <v>43517</v>
      </c>
      <c r="B3063" s="7">
        <v>0.67708333333333337</v>
      </c>
      <c r="C3063" s="18" t="str">
        <f>"FES1162674630"</f>
        <v>FES1162674630</v>
      </c>
      <c r="D3063" s="18" t="s">
        <v>18</v>
      </c>
      <c r="E3063" s="18" t="s">
        <v>19</v>
      </c>
      <c r="F3063" s="18" t="str">
        <f>"2170675725 "</f>
        <v xml:space="preserve">2170675725 </v>
      </c>
      <c r="G3063" s="18" t="str">
        <f t="shared" si="88"/>
        <v>ON1</v>
      </c>
      <c r="H3063" s="18" t="s">
        <v>20</v>
      </c>
      <c r="I3063" s="18" t="s">
        <v>21</v>
      </c>
      <c r="J3063" s="18" t="str">
        <f>""</f>
        <v/>
      </c>
      <c r="K3063" s="18" t="str">
        <f>"PFES1162674630_0001"</f>
        <v>PFES1162674630_0001</v>
      </c>
      <c r="L3063" s="18">
        <v>1</v>
      </c>
      <c r="M3063" s="18">
        <v>1</v>
      </c>
    </row>
    <row r="3064" spans="1:13">
      <c r="A3064" s="6">
        <v>43517</v>
      </c>
      <c r="B3064" s="7">
        <v>0.67499999999999993</v>
      </c>
      <c r="C3064" s="18" t="str">
        <f>"FES1162674601"</f>
        <v>FES1162674601</v>
      </c>
      <c r="D3064" s="18" t="s">
        <v>18</v>
      </c>
      <c r="E3064" s="18" t="s">
        <v>1096</v>
      </c>
      <c r="F3064" s="18" t="str">
        <f>"2170675679 "</f>
        <v xml:space="preserve">2170675679 </v>
      </c>
      <c r="G3064" s="18" t="str">
        <f t="shared" si="88"/>
        <v>ON1</v>
      </c>
      <c r="H3064" s="18" t="s">
        <v>20</v>
      </c>
      <c r="I3064" s="18" t="s">
        <v>686</v>
      </c>
      <c r="J3064" s="18" t="str">
        <f>""</f>
        <v/>
      </c>
      <c r="K3064" s="18" t="str">
        <f>"PFES1162674601_0001"</f>
        <v>PFES1162674601_0001</v>
      </c>
      <c r="L3064" s="18">
        <v>1</v>
      </c>
      <c r="M3064" s="18">
        <v>6</v>
      </c>
    </row>
    <row r="3065" spans="1:13">
      <c r="A3065" s="6">
        <v>43517</v>
      </c>
      <c r="B3065" s="7">
        <v>0.6743055555555556</v>
      </c>
      <c r="C3065" s="18" t="str">
        <f>"FES1162674637"</f>
        <v>FES1162674637</v>
      </c>
      <c r="D3065" s="18" t="s">
        <v>18</v>
      </c>
      <c r="E3065" s="18" t="s">
        <v>234</v>
      </c>
      <c r="F3065" s="18" t="str">
        <f>"2170675728 "</f>
        <v xml:space="preserve">2170675728 </v>
      </c>
      <c r="G3065" s="18" t="str">
        <f t="shared" si="88"/>
        <v>ON1</v>
      </c>
      <c r="H3065" s="18" t="s">
        <v>20</v>
      </c>
      <c r="I3065" s="18" t="s">
        <v>233</v>
      </c>
      <c r="J3065" s="18" t="str">
        <f>""</f>
        <v/>
      </c>
      <c r="K3065" s="18" t="str">
        <f>"PFES1162674637_0001"</f>
        <v>PFES1162674637_0001</v>
      </c>
      <c r="L3065" s="18">
        <v>1</v>
      </c>
      <c r="M3065" s="18">
        <v>1</v>
      </c>
    </row>
    <row r="3066" spans="1:13">
      <c r="A3066" s="6">
        <v>43517</v>
      </c>
      <c r="B3066" s="7">
        <v>0.6743055555555556</v>
      </c>
      <c r="C3066" s="18" t="str">
        <f>"FES1162674638"</f>
        <v>FES1162674638</v>
      </c>
      <c r="D3066" s="18" t="s">
        <v>18</v>
      </c>
      <c r="E3066" s="18" t="s">
        <v>47</v>
      </c>
      <c r="F3066" s="18" t="str">
        <f>"2170673736 "</f>
        <v xml:space="preserve">2170673736 </v>
      </c>
      <c r="G3066" s="18" t="str">
        <f t="shared" si="88"/>
        <v>ON1</v>
      </c>
      <c r="H3066" s="18" t="s">
        <v>20</v>
      </c>
      <c r="I3066" s="18" t="s">
        <v>48</v>
      </c>
      <c r="J3066" s="18" t="str">
        <f>""</f>
        <v/>
      </c>
      <c r="K3066" s="18" t="str">
        <f>"PFES1162674638_0001"</f>
        <v>PFES1162674638_0001</v>
      </c>
      <c r="L3066" s="18">
        <v>1</v>
      </c>
      <c r="M3066" s="18">
        <v>1</v>
      </c>
    </row>
    <row r="3067" spans="1:13">
      <c r="A3067" s="6">
        <v>43517</v>
      </c>
      <c r="B3067" s="7">
        <v>0.66875000000000007</v>
      </c>
      <c r="C3067" s="18" t="str">
        <f>"FES1162674632"</f>
        <v>FES1162674632</v>
      </c>
      <c r="D3067" s="18" t="s">
        <v>18</v>
      </c>
      <c r="E3067" s="18" t="s">
        <v>1097</v>
      </c>
      <c r="F3067" s="18" t="str">
        <f>"2170675034 "</f>
        <v xml:space="preserve">2170675034 </v>
      </c>
      <c r="G3067" s="18" t="str">
        <f t="shared" si="88"/>
        <v>ON1</v>
      </c>
      <c r="H3067" s="18" t="s">
        <v>20</v>
      </c>
      <c r="I3067" s="18" t="s">
        <v>1098</v>
      </c>
      <c r="J3067" s="18" t="str">
        <f>""</f>
        <v/>
      </c>
      <c r="K3067" s="18" t="str">
        <f>"PFES1162674632_0001"</f>
        <v>PFES1162674632_0001</v>
      </c>
      <c r="L3067" s="18">
        <v>1</v>
      </c>
      <c r="M3067" s="18">
        <v>1</v>
      </c>
    </row>
    <row r="3068" spans="1:13">
      <c r="A3068" s="6">
        <v>43517</v>
      </c>
      <c r="B3068" s="7">
        <v>0.66875000000000007</v>
      </c>
      <c r="C3068" s="18" t="str">
        <f>"FES1162674614"</f>
        <v>FES1162674614</v>
      </c>
      <c r="D3068" s="18" t="s">
        <v>18</v>
      </c>
      <c r="E3068" s="18" t="s">
        <v>88</v>
      </c>
      <c r="F3068" s="18" t="str">
        <f>"2170675708 "</f>
        <v xml:space="preserve">2170675708 </v>
      </c>
      <c r="G3068" s="18" t="str">
        <f t="shared" si="88"/>
        <v>ON1</v>
      </c>
      <c r="H3068" s="18" t="s">
        <v>20</v>
      </c>
      <c r="I3068" s="18" t="s">
        <v>53</v>
      </c>
      <c r="J3068" s="18" t="str">
        <f>""</f>
        <v/>
      </c>
      <c r="K3068" s="18" t="str">
        <f>"PFES1162674614_0001"</f>
        <v>PFES1162674614_0001</v>
      </c>
      <c r="L3068" s="18">
        <v>1</v>
      </c>
      <c r="M3068" s="18">
        <v>1</v>
      </c>
    </row>
    <row r="3069" spans="1:13">
      <c r="A3069" s="6">
        <v>43517</v>
      </c>
      <c r="B3069" s="7">
        <v>0.66805555555555562</v>
      </c>
      <c r="C3069" s="18" t="str">
        <f>"FES1162674613"</f>
        <v>FES1162674613</v>
      </c>
      <c r="D3069" s="18" t="s">
        <v>18</v>
      </c>
      <c r="E3069" s="18" t="s">
        <v>275</v>
      </c>
      <c r="F3069" s="18" t="str">
        <f>"2170675703 "</f>
        <v xml:space="preserve">2170675703 </v>
      </c>
      <c r="G3069" s="18" t="str">
        <f t="shared" si="88"/>
        <v>ON1</v>
      </c>
      <c r="H3069" s="18" t="s">
        <v>20</v>
      </c>
      <c r="I3069" s="18" t="s">
        <v>276</v>
      </c>
      <c r="J3069" s="18" t="str">
        <f>""</f>
        <v/>
      </c>
      <c r="K3069" s="18" t="str">
        <f>"PFES1162674613_0001"</f>
        <v>PFES1162674613_0001</v>
      </c>
      <c r="L3069" s="18">
        <v>1</v>
      </c>
      <c r="M3069" s="18">
        <v>1</v>
      </c>
    </row>
    <row r="3070" spans="1:13">
      <c r="A3070" s="6">
        <v>43517</v>
      </c>
      <c r="B3070" s="7">
        <v>0.66805555555555562</v>
      </c>
      <c r="C3070" s="18" t="str">
        <f>"FES1162674616"</f>
        <v>FES1162674616</v>
      </c>
      <c r="D3070" s="18" t="s">
        <v>18</v>
      </c>
      <c r="E3070" s="18" t="s">
        <v>1072</v>
      </c>
      <c r="F3070" s="18" t="str">
        <f>"2170673730 "</f>
        <v xml:space="preserve">2170673730 </v>
      </c>
      <c r="G3070" s="18" t="str">
        <f t="shared" si="88"/>
        <v>ON1</v>
      </c>
      <c r="H3070" s="18" t="s">
        <v>20</v>
      </c>
      <c r="I3070" s="18" t="s">
        <v>139</v>
      </c>
      <c r="J3070" s="18" t="str">
        <f>""</f>
        <v/>
      </c>
      <c r="K3070" s="18" t="str">
        <f>"PFES1162674616_0001"</f>
        <v>PFES1162674616_0001</v>
      </c>
      <c r="L3070" s="18">
        <v>1</v>
      </c>
      <c r="M3070" s="18">
        <v>12</v>
      </c>
    </row>
    <row r="3071" spans="1:13">
      <c r="A3071" s="6">
        <v>43517</v>
      </c>
      <c r="B3071" s="7">
        <v>0.66736111111111107</v>
      </c>
      <c r="C3071" s="18" t="str">
        <f>"FES1162674624"</f>
        <v>FES1162674624</v>
      </c>
      <c r="D3071" s="18" t="s">
        <v>18</v>
      </c>
      <c r="E3071" s="18" t="s">
        <v>150</v>
      </c>
      <c r="F3071" s="18" t="str">
        <f>"217067517 "</f>
        <v xml:space="preserve">217067517 </v>
      </c>
      <c r="G3071" s="18" t="str">
        <f t="shared" si="88"/>
        <v>ON1</v>
      </c>
      <c r="H3071" s="18" t="s">
        <v>20</v>
      </c>
      <c r="I3071" s="18" t="s">
        <v>137</v>
      </c>
      <c r="J3071" s="18" t="str">
        <f>""</f>
        <v/>
      </c>
      <c r="K3071" s="18" t="str">
        <f>"PFES1162674624_0001"</f>
        <v>PFES1162674624_0001</v>
      </c>
      <c r="L3071" s="18">
        <v>1</v>
      </c>
      <c r="M3071" s="18">
        <v>1</v>
      </c>
    </row>
    <row r="3072" spans="1:13">
      <c r="A3072" s="6">
        <v>43517</v>
      </c>
      <c r="B3072" s="7">
        <v>0.66666666666666663</v>
      </c>
      <c r="C3072" s="18" t="str">
        <f>"FES1162674627"</f>
        <v>FES1162674627</v>
      </c>
      <c r="D3072" s="18" t="s">
        <v>18</v>
      </c>
      <c r="E3072" s="18" t="s">
        <v>395</v>
      </c>
      <c r="F3072" s="18" t="str">
        <f>"2170675720 "</f>
        <v xml:space="preserve">2170675720 </v>
      </c>
      <c r="G3072" s="18" t="str">
        <f t="shared" si="88"/>
        <v>ON1</v>
      </c>
      <c r="H3072" s="18" t="s">
        <v>20</v>
      </c>
      <c r="I3072" s="18" t="s">
        <v>396</v>
      </c>
      <c r="J3072" s="18" t="str">
        <f>""</f>
        <v/>
      </c>
      <c r="K3072" s="18" t="str">
        <f>"PFES1162674627_0001"</f>
        <v>PFES1162674627_0001</v>
      </c>
      <c r="L3072" s="18">
        <v>1</v>
      </c>
      <c r="M3072" s="18">
        <v>1</v>
      </c>
    </row>
    <row r="3073" spans="1:13">
      <c r="A3073" s="6">
        <v>43517</v>
      </c>
      <c r="B3073" s="7">
        <v>0.66180555555555554</v>
      </c>
      <c r="C3073" s="18" t="str">
        <f>"FES1162674623"</f>
        <v>FES1162674623</v>
      </c>
      <c r="D3073" s="18" t="s">
        <v>18</v>
      </c>
      <c r="E3073" s="18" t="s">
        <v>151</v>
      </c>
      <c r="F3073" s="18" t="str">
        <f>"21706756712 "</f>
        <v xml:space="preserve">21706756712 </v>
      </c>
      <c r="G3073" s="18" t="str">
        <f t="shared" si="88"/>
        <v>ON1</v>
      </c>
      <c r="H3073" s="18" t="s">
        <v>20</v>
      </c>
      <c r="I3073" s="18" t="s">
        <v>63</v>
      </c>
      <c r="J3073" s="18" t="str">
        <f>""</f>
        <v/>
      </c>
      <c r="K3073" s="18" t="str">
        <f>"PFES1162674623_0001"</f>
        <v>PFES1162674623_0001</v>
      </c>
      <c r="L3073" s="18">
        <v>1</v>
      </c>
      <c r="M3073" s="18">
        <v>1</v>
      </c>
    </row>
    <row r="3074" spans="1:13">
      <c r="A3074" s="6">
        <v>43517</v>
      </c>
      <c r="B3074" s="7">
        <v>0.66180555555555554</v>
      </c>
      <c r="C3074" s="18" t="str">
        <f>"FES1162674594"</f>
        <v>FES1162674594</v>
      </c>
      <c r="D3074" s="18" t="s">
        <v>18</v>
      </c>
      <c r="E3074" s="18" t="s">
        <v>185</v>
      </c>
      <c r="F3074" s="18" t="str">
        <f>"2170674037 "</f>
        <v xml:space="preserve">2170674037 </v>
      </c>
      <c r="G3074" s="18" t="str">
        <f t="shared" si="88"/>
        <v>ON1</v>
      </c>
      <c r="H3074" s="18" t="s">
        <v>20</v>
      </c>
      <c r="I3074" s="18" t="s">
        <v>93</v>
      </c>
      <c r="J3074" s="18" t="str">
        <f>""</f>
        <v/>
      </c>
      <c r="K3074" s="18" t="str">
        <f>"PFES1162674594_0001"</f>
        <v>PFES1162674594_0001</v>
      </c>
      <c r="L3074" s="18">
        <v>1</v>
      </c>
      <c r="M3074" s="18">
        <v>1</v>
      </c>
    </row>
    <row r="3075" spans="1:13">
      <c r="A3075" s="6">
        <v>43517</v>
      </c>
      <c r="B3075" s="7">
        <v>0.66180555555555554</v>
      </c>
      <c r="C3075" s="18" t="str">
        <f>"FES1162674619"</f>
        <v>FES1162674619</v>
      </c>
      <c r="D3075" s="18" t="s">
        <v>18</v>
      </c>
      <c r="E3075" s="18" t="s">
        <v>178</v>
      </c>
      <c r="F3075" s="18" t="str">
        <f>"2170675458 "</f>
        <v xml:space="preserve">2170675458 </v>
      </c>
      <c r="G3075" s="18" t="str">
        <f t="shared" si="88"/>
        <v>ON1</v>
      </c>
      <c r="H3075" s="18" t="s">
        <v>20</v>
      </c>
      <c r="I3075" s="18" t="s">
        <v>31</v>
      </c>
      <c r="J3075" s="18" t="str">
        <f>""</f>
        <v/>
      </c>
      <c r="K3075" s="18" t="str">
        <f>"PFES1162674619_0001"</f>
        <v>PFES1162674619_0001</v>
      </c>
      <c r="L3075" s="18">
        <v>1</v>
      </c>
      <c r="M3075" s="18">
        <v>1</v>
      </c>
    </row>
    <row r="3076" spans="1:13">
      <c r="A3076" s="6">
        <v>43517</v>
      </c>
      <c r="B3076" s="7">
        <v>0.65347222222222223</v>
      </c>
      <c r="C3076" s="18" t="str">
        <f>"FES1162674599"</f>
        <v>FES1162674599</v>
      </c>
      <c r="D3076" s="18" t="s">
        <v>18</v>
      </c>
      <c r="E3076" s="18" t="s">
        <v>212</v>
      </c>
      <c r="F3076" s="18" t="str">
        <f>"2170675673 "</f>
        <v xml:space="preserve">2170675673 </v>
      </c>
      <c r="G3076" s="18" t="str">
        <f t="shared" si="88"/>
        <v>ON1</v>
      </c>
      <c r="H3076" s="18" t="s">
        <v>20</v>
      </c>
      <c r="I3076" s="18" t="s">
        <v>213</v>
      </c>
      <c r="J3076" s="18" t="str">
        <f>""</f>
        <v/>
      </c>
      <c r="K3076" s="18" t="str">
        <f>"PFES1162674599_0001"</f>
        <v>PFES1162674599_0001</v>
      </c>
      <c r="L3076" s="18">
        <v>1</v>
      </c>
      <c r="M3076" s="18">
        <v>3</v>
      </c>
    </row>
    <row r="3077" spans="1:13">
      <c r="A3077" s="6">
        <v>43517</v>
      </c>
      <c r="B3077" s="7">
        <v>0.65138888888888891</v>
      </c>
      <c r="C3077" s="18" t="str">
        <f>"FES1162674597"</f>
        <v>FES1162674597</v>
      </c>
      <c r="D3077" s="18" t="s">
        <v>18</v>
      </c>
      <c r="E3077" s="18" t="s">
        <v>337</v>
      </c>
      <c r="F3077" s="18" t="str">
        <f>"2170675667 "</f>
        <v xml:space="preserve">2170675667 </v>
      </c>
      <c r="G3077" s="18" t="str">
        <f t="shared" si="88"/>
        <v>ON1</v>
      </c>
      <c r="H3077" s="18" t="s">
        <v>20</v>
      </c>
      <c r="I3077" s="18" t="s">
        <v>338</v>
      </c>
      <c r="J3077" s="18" t="str">
        <f>""</f>
        <v/>
      </c>
      <c r="K3077" s="18" t="str">
        <f>"PFES1162674597_0001"</f>
        <v>PFES1162674597_0001</v>
      </c>
      <c r="L3077" s="18">
        <v>1</v>
      </c>
      <c r="M3077" s="18">
        <v>5</v>
      </c>
    </row>
    <row r="3078" spans="1:13">
      <c r="A3078" s="6">
        <v>43517</v>
      </c>
      <c r="B3078" s="7">
        <v>0.64861111111111114</v>
      </c>
      <c r="C3078" s="18" t="str">
        <f>"FES1162674575"</f>
        <v>FES1162674575</v>
      </c>
      <c r="D3078" s="18" t="s">
        <v>18</v>
      </c>
      <c r="E3078" s="18" t="s">
        <v>164</v>
      </c>
      <c r="F3078" s="18" t="str">
        <f>"2170675432 "</f>
        <v xml:space="preserve">2170675432 </v>
      </c>
      <c r="G3078" s="18" t="str">
        <f t="shared" si="88"/>
        <v>ON1</v>
      </c>
      <c r="H3078" s="18" t="s">
        <v>20</v>
      </c>
      <c r="I3078" s="18" t="s">
        <v>165</v>
      </c>
      <c r="J3078" s="18" t="str">
        <f>""</f>
        <v/>
      </c>
      <c r="K3078" s="18" t="str">
        <f>"PFES1162674575_0001"</f>
        <v>PFES1162674575_0001</v>
      </c>
      <c r="L3078" s="18">
        <v>1</v>
      </c>
      <c r="M3078" s="18">
        <v>5</v>
      </c>
    </row>
    <row r="3079" spans="1:13">
      <c r="A3079" s="6">
        <v>43517</v>
      </c>
      <c r="B3079" s="7">
        <v>0.64652777777777781</v>
      </c>
      <c r="C3079" s="18" t="str">
        <f>"FES1162674595"</f>
        <v>FES1162674595</v>
      </c>
      <c r="D3079" s="18" t="s">
        <v>18</v>
      </c>
      <c r="E3079" s="18" t="s">
        <v>1039</v>
      </c>
      <c r="F3079" s="18" t="str">
        <f>"2170675481 "</f>
        <v xml:space="preserve">2170675481 </v>
      </c>
      <c r="G3079" s="18" t="str">
        <f t="shared" si="88"/>
        <v>ON1</v>
      </c>
      <c r="H3079" s="18" t="s">
        <v>20</v>
      </c>
      <c r="I3079" s="18" t="s">
        <v>153</v>
      </c>
      <c r="J3079" s="18" t="str">
        <f>""</f>
        <v/>
      </c>
      <c r="K3079" s="18" t="str">
        <f>"PFES1162674595_0001"</f>
        <v>PFES1162674595_0001</v>
      </c>
      <c r="L3079" s="18">
        <v>1</v>
      </c>
      <c r="M3079" s="18">
        <v>4</v>
      </c>
    </row>
    <row r="3080" spans="1:13">
      <c r="A3080" s="6">
        <v>43517</v>
      </c>
      <c r="B3080" s="7">
        <v>0.64513888888888882</v>
      </c>
      <c r="C3080" s="18" t="str">
        <f>"FES1162674598"</f>
        <v>FES1162674598</v>
      </c>
      <c r="D3080" s="18" t="s">
        <v>18</v>
      </c>
      <c r="E3080" s="18" t="s">
        <v>234</v>
      </c>
      <c r="F3080" s="18" t="str">
        <f>"2170675672 "</f>
        <v xml:space="preserve">2170675672 </v>
      </c>
      <c r="G3080" s="18" t="str">
        <f t="shared" si="88"/>
        <v>ON1</v>
      </c>
      <c r="H3080" s="18" t="s">
        <v>20</v>
      </c>
      <c r="I3080" s="18" t="s">
        <v>233</v>
      </c>
      <c r="J3080" s="18" t="str">
        <f>""</f>
        <v/>
      </c>
      <c r="K3080" s="18" t="str">
        <f>"PFES1162674598_0001"</f>
        <v>PFES1162674598_0001</v>
      </c>
      <c r="L3080" s="18">
        <v>1</v>
      </c>
      <c r="M3080" s="18">
        <v>9</v>
      </c>
    </row>
    <row r="3081" spans="1:13">
      <c r="A3081" s="6">
        <v>43517</v>
      </c>
      <c r="B3081" s="7">
        <v>0.6333333333333333</v>
      </c>
      <c r="C3081" s="18" t="str">
        <f>"FES1162674608"</f>
        <v>FES1162674608</v>
      </c>
      <c r="D3081" s="18" t="s">
        <v>18</v>
      </c>
      <c r="E3081" s="18" t="s">
        <v>138</v>
      </c>
      <c r="F3081" s="18" t="str">
        <f>"2170675698 "</f>
        <v xml:space="preserve">2170675698 </v>
      </c>
      <c r="G3081" s="18" t="str">
        <f t="shared" si="88"/>
        <v>ON1</v>
      </c>
      <c r="H3081" s="18" t="s">
        <v>20</v>
      </c>
      <c r="I3081" s="18" t="s">
        <v>139</v>
      </c>
      <c r="J3081" s="18" t="str">
        <f>""</f>
        <v/>
      </c>
      <c r="K3081" s="18" t="str">
        <f>"PFES1162674608_0001"</f>
        <v>PFES1162674608_0001</v>
      </c>
      <c r="L3081" s="18">
        <v>1</v>
      </c>
      <c r="M3081" s="18">
        <v>1</v>
      </c>
    </row>
    <row r="3082" spans="1:13">
      <c r="A3082" s="6">
        <v>43517</v>
      </c>
      <c r="B3082" s="7">
        <v>0.625</v>
      </c>
      <c r="C3082" s="18" t="str">
        <f>"FES1162674609"</f>
        <v>FES1162674609</v>
      </c>
      <c r="D3082" s="18" t="s">
        <v>18</v>
      </c>
      <c r="E3082" s="18" t="s">
        <v>538</v>
      </c>
      <c r="F3082" s="18" t="str">
        <f>"2170675699 "</f>
        <v xml:space="preserve">2170675699 </v>
      </c>
      <c r="G3082" s="18" t="str">
        <f t="shared" si="88"/>
        <v>ON1</v>
      </c>
      <c r="H3082" s="18" t="s">
        <v>20</v>
      </c>
      <c r="I3082" s="18" t="s">
        <v>539</v>
      </c>
      <c r="J3082" s="18" t="str">
        <f>""</f>
        <v/>
      </c>
      <c r="K3082" s="18" t="str">
        <f>"PFES1162674609_0001"</f>
        <v>PFES1162674609_0001</v>
      </c>
      <c r="L3082" s="18">
        <v>1</v>
      </c>
      <c r="M3082" s="18">
        <v>1</v>
      </c>
    </row>
    <row r="3083" spans="1:13">
      <c r="A3083" s="6">
        <v>43517</v>
      </c>
      <c r="B3083" s="7">
        <v>0.62430555555555556</v>
      </c>
      <c r="C3083" s="18" t="str">
        <f>"FES1162674603"</f>
        <v>FES1162674603</v>
      </c>
      <c r="D3083" s="18" t="s">
        <v>18</v>
      </c>
      <c r="E3083" s="18" t="s">
        <v>160</v>
      </c>
      <c r="F3083" s="18" t="str">
        <f>"2170675688 "</f>
        <v xml:space="preserve">2170675688 </v>
      </c>
      <c r="G3083" s="18" t="str">
        <f t="shared" si="88"/>
        <v>ON1</v>
      </c>
      <c r="H3083" s="18" t="s">
        <v>20</v>
      </c>
      <c r="I3083" s="18" t="s">
        <v>161</v>
      </c>
      <c r="J3083" s="18" t="str">
        <f>""</f>
        <v/>
      </c>
      <c r="K3083" s="18" t="str">
        <f>"PFES1162674603_0001"</f>
        <v>PFES1162674603_0001</v>
      </c>
      <c r="L3083" s="18">
        <v>1</v>
      </c>
      <c r="M3083" s="18">
        <v>1</v>
      </c>
    </row>
    <row r="3084" spans="1:13">
      <c r="A3084" s="6">
        <v>43517</v>
      </c>
      <c r="B3084" s="7">
        <v>0.62430555555555556</v>
      </c>
      <c r="C3084" s="18" t="str">
        <f>"FES1162674606"</f>
        <v>FES1162674606</v>
      </c>
      <c r="D3084" s="18" t="s">
        <v>18</v>
      </c>
      <c r="E3084" s="18" t="s">
        <v>372</v>
      </c>
      <c r="F3084" s="18" t="str">
        <f>"2170675684 "</f>
        <v xml:space="preserve">2170675684 </v>
      </c>
      <c r="G3084" s="18" t="str">
        <f t="shared" si="88"/>
        <v>ON1</v>
      </c>
      <c r="H3084" s="18" t="s">
        <v>20</v>
      </c>
      <c r="I3084" s="18" t="s">
        <v>143</v>
      </c>
      <c r="J3084" s="18" t="str">
        <f>""</f>
        <v/>
      </c>
      <c r="K3084" s="18" t="str">
        <f>"PFES1162674606_0001"</f>
        <v>PFES1162674606_0001</v>
      </c>
      <c r="L3084" s="18">
        <v>1</v>
      </c>
      <c r="M3084" s="18">
        <v>1</v>
      </c>
    </row>
    <row r="3085" spans="1:13">
      <c r="A3085" s="6">
        <v>43517</v>
      </c>
      <c r="B3085" s="7">
        <v>0.62361111111111112</v>
      </c>
      <c r="C3085" s="18" t="str">
        <f>"FES1162674607"</f>
        <v>FES1162674607</v>
      </c>
      <c r="D3085" s="18" t="s">
        <v>18</v>
      </c>
      <c r="E3085" s="18" t="s">
        <v>166</v>
      </c>
      <c r="F3085" s="18" t="str">
        <f>"2170675687 "</f>
        <v xml:space="preserve">2170675687 </v>
      </c>
      <c r="G3085" s="18" t="str">
        <f t="shared" si="88"/>
        <v>ON1</v>
      </c>
      <c r="H3085" s="18" t="s">
        <v>20</v>
      </c>
      <c r="I3085" s="18" t="s">
        <v>167</v>
      </c>
      <c r="J3085" s="18" t="str">
        <f>""</f>
        <v/>
      </c>
      <c r="K3085" s="18" t="str">
        <f>"PFES1162674607_0001"</f>
        <v>PFES1162674607_0001</v>
      </c>
      <c r="L3085" s="18">
        <v>1</v>
      </c>
      <c r="M3085" s="18">
        <v>1</v>
      </c>
    </row>
    <row r="3086" spans="1:13">
      <c r="A3086" s="6">
        <v>43517</v>
      </c>
      <c r="B3086" s="7">
        <v>0.61944444444444446</v>
      </c>
      <c r="C3086" s="18" t="str">
        <f>"FES1162674576"</f>
        <v>FES1162674576</v>
      </c>
      <c r="D3086" s="18" t="s">
        <v>18</v>
      </c>
      <c r="E3086" s="18" t="s">
        <v>734</v>
      </c>
      <c r="F3086" s="18" t="str">
        <f>"2170675433 "</f>
        <v xml:space="preserve">2170675433 </v>
      </c>
      <c r="G3086" s="18" t="str">
        <f t="shared" si="88"/>
        <v>ON1</v>
      </c>
      <c r="H3086" s="18" t="s">
        <v>20</v>
      </c>
      <c r="I3086" s="18" t="s">
        <v>29</v>
      </c>
      <c r="J3086" s="18" t="str">
        <f>""</f>
        <v/>
      </c>
      <c r="K3086" s="18" t="str">
        <f>"PFES1162674576_0001"</f>
        <v>PFES1162674576_0001</v>
      </c>
      <c r="L3086" s="18">
        <v>1</v>
      </c>
      <c r="M3086" s="18">
        <v>5</v>
      </c>
    </row>
    <row r="3087" spans="1:13">
      <c r="A3087" s="6">
        <v>43517</v>
      </c>
      <c r="B3087" s="7">
        <v>0.6166666666666667</v>
      </c>
      <c r="C3087" s="18" t="str">
        <f>"FES1162674596"</f>
        <v>FES1162674596</v>
      </c>
      <c r="D3087" s="18" t="s">
        <v>18</v>
      </c>
      <c r="E3087" s="18" t="s">
        <v>823</v>
      </c>
      <c r="F3087" s="18" t="str">
        <f>"2170675554 "</f>
        <v xml:space="preserve">2170675554 </v>
      </c>
      <c r="G3087" s="18" t="str">
        <f t="shared" si="88"/>
        <v>ON1</v>
      </c>
      <c r="H3087" s="18" t="s">
        <v>20</v>
      </c>
      <c r="I3087" s="18" t="s">
        <v>99</v>
      </c>
      <c r="J3087" s="18" t="str">
        <f>""</f>
        <v/>
      </c>
      <c r="K3087" s="18" t="str">
        <f>"PFES1162674596_0001"</f>
        <v>PFES1162674596_0001</v>
      </c>
      <c r="L3087" s="18">
        <v>1</v>
      </c>
      <c r="M3087" s="18">
        <v>1</v>
      </c>
    </row>
    <row r="3088" spans="1:13">
      <c r="A3088" s="6">
        <v>43517</v>
      </c>
      <c r="B3088" s="7">
        <v>0.61597222222222225</v>
      </c>
      <c r="C3088" s="18" t="str">
        <f>"FES1162674589"</f>
        <v>FES1162674589</v>
      </c>
      <c r="D3088" s="18" t="s">
        <v>18</v>
      </c>
      <c r="E3088" s="18" t="s">
        <v>1099</v>
      </c>
      <c r="F3088" s="18" t="str">
        <f>"2170675660 "</f>
        <v xml:space="preserve">2170675660 </v>
      </c>
      <c r="G3088" s="18" t="str">
        <f t="shared" si="88"/>
        <v>ON1</v>
      </c>
      <c r="H3088" s="18" t="s">
        <v>20</v>
      </c>
      <c r="I3088" s="18" t="s">
        <v>137</v>
      </c>
      <c r="J3088" s="18" t="str">
        <f>""</f>
        <v/>
      </c>
      <c r="K3088" s="18" t="str">
        <f>"PFES1162674589_0001"</f>
        <v>PFES1162674589_0001</v>
      </c>
      <c r="L3088" s="18">
        <v>1</v>
      </c>
      <c r="M3088" s="18">
        <v>2</v>
      </c>
    </row>
    <row r="3089" spans="1:13">
      <c r="A3089" s="6">
        <v>43517</v>
      </c>
      <c r="B3089" s="7">
        <v>0.61458333333333337</v>
      </c>
      <c r="C3089" s="18" t="str">
        <f>"FES1162674579"</f>
        <v>FES1162674579</v>
      </c>
      <c r="D3089" s="18" t="s">
        <v>18</v>
      </c>
      <c r="E3089" s="18" t="s">
        <v>203</v>
      </c>
      <c r="F3089" s="18" t="str">
        <f>"2170675649 "</f>
        <v xml:space="preserve">2170675649 </v>
      </c>
      <c r="G3089" s="18" t="str">
        <f t="shared" si="88"/>
        <v>ON1</v>
      </c>
      <c r="H3089" s="18" t="s">
        <v>20</v>
      </c>
      <c r="I3089" s="18" t="s">
        <v>204</v>
      </c>
      <c r="J3089" s="18" t="str">
        <f>""</f>
        <v/>
      </c>
      <c r="K3089" s="18" t="str">
        <f>"PFES1162674579_0001"</f>
        <v>PFES1162674579_0001</v>
      </c>
      <c r="L3089" s="18">
        <v>1</v>
      </c>
      <c r="M3089" s="18">
        <v>1</v>
      </c>
    </row>
    <row r="3090" spans="1:13">
      <c r="A3090" s="6">
        <v>43517</v>
      </c>
      <c r="B3090" s="7">
        <v>0.61388888888888882</v>
      </c>
      <c r="C3090" s="18" t="str">
        <f>"FES1162674574"</f>
        <v>FES1162674574</v>
      </c>
      <c r="D3090" s="18" t="s">
        <v>18</v>
      </c>
      <c r="E3090" s="18" t="s">
        <v>798</v>
      </c>
      <c r="F3090" s="18" t="str">
        <f>"2170675047 "</f>
        <v xml:space="preserve">2170675047 </v>
      </c>
      <c r="G3090" s="18" t="str">
        <f t="shared" si="88"/>
        <v>ON1</v>
      </c>
      <c r="H3090" s="18" t="s">
        <v>20</v>
      </c>
      <c r="I3090" s="18" t="s">
        <v>708</v>
      </c>
      <c r="J3090" s="18" t="str">
        <f>""</f>
        <v/>
      </c>
      <c r="K3090" s="18" t="str">
        <f>"PFES1162674574_0001"</f>
        <v>PFES1162674574_0001</v>
      </c>
      <c r="L3090" s="18">
        <v>1</v>
      </c>
      <c r="M3090" s="18">
        <v>2</v>
      </c>
    </row>
    <row r="3091" spans="1:13">
      <c r="A3091" s="6">
        <v>43517</v>
      </c>
      <c r="B3091" s="7">
        <v>0.61249999999999993</v>
      </c>
      <c r="C3091" s="18" t="str">
        <f>"FES1162674588"</f>
        <v>FES1162674588</v>
      </c>
      <c r="D3091" s="18" t="s">
        <v>18</v>
      </c>
      <c r="E3091" s="18" t="s">
        <v>772</v>
      </c>
      <c r="F3091" s="18" t="str">
        <f>"2170675659 "</f>
        <v xml:space="preserve">2170675659 </v>
      </c>
      <c r="G3091" s="18" t="str">
        <f t="shared" si="88"/>
        <v>ON1</v>
      </c>
      <c r="H3091" s="18" t="s">
        <v>20</v>
      </c>
      <c r="I3091" s="18" t="s">
        <v>773</v>
      </c>
      <c r="J3091" s="18" t="str">
        <f>""</f>
        <v/>
      </c>
      <c r="K3091" s="18" t="str">
        <f>"PFES1162674588_0001"</f>
        <v>PFES1162674588_0001</v>
      </c>
      <c r="L3091" s="18">
        <v>1</v>
      </c>
      <c r="M3091" s="18">
        <v>3</v>
      </c>
    </row>
    <row r="3092" spans="1:13">
      <c r="A3092" s="6">
        <v>43517</v>
      </c>
      <c r="B3092" s="7">
        <v>0.6118055555555556</v>
      </c>
      <c r="C3092" s="18" t="str">
        <f>"FES1162674592"</f>
        <v>FES1162674592</v>
      </c>
      <c r="D3092" s="18" t="s">
        <v>18</v>
      </c>
      <c r="E3092" s="18" t="s">
        <v>138</v>
      </c>
      <c r="F3092" s="18" t="str">
        <f>"2170675664 "</f>
        <v xml:space="preserve">2170675664 </v>
      </c>
      <c r="G3092" s="18" t="str">
        <f t="shared" si="88"/>
        <v>ON1</v>
      </c>
      <c r="H3092" s="18" t="s">
        <v>20</v>
      </c>
      <c r="I3092" s="18" t="s">
        <v>139</v>
      </c>
      <c r="J3092" s="18" t="str">
        <f>""</f>
        <v/>
      </c>
      <c r="K3092" s="18" t="str">
        <f>"PFES1162674592_0001"</f>
        <v>PFES1162674592_0001</v>
      </c>
      <c r="L3092" s="18">
        <v>1</v>
      </c>
      <c r="M3092" s="18">
        <v>18</v>
      </c>
    </row>
    <row r="3093" spans="1:13">
      <c r="A3093" s="6">
        <v>43517</v>
      </c>
      <c r="B3093" s="7">
        <v>0.60625000000000007</v>
      </c>
      <c r="C3093" s="18" t="str">
        <f>"FES1162674600"</f>
        <v>FES1162674600</v>
      </c>
      <c r="D3093" s="18" t="s">
        <v>18</v>
      </c>
      <c r="E3093" s="18" t="s">
        <v>140</v>
      </c>
      <c r="F3093" s="18" t="str">
        <f>"2170675678 "</f>
        <v xml:space="preserve">2170675678 </v>
      </c>
      <c r="G3093" s="18" t="str">
        <f t="shared" si="88"/>
        <v>ON1</v>
      </c>
      <c r="H3093" s="18" t="s">
        <v>20</v>
      </c>
      <c r="I3093" s="18" t="s">
        <v>141</v>
      </c>
      <c r="J3093" s="18" t="str">
        <f>""</f>
        <v/>
      </c>
      <c r="K3093" s="18" t="str">
        <f>"PFES1162674600_0001"</f>
        <v>PFES1162674600_0001</v>
      </c>
      <c r="L3093" s="18">
        <v>1</v>
      </c>
      <c r="M3093" s="18">
        <v>1</v>
      </c>
    </row>
    <row r="3094" spans="1:13">
      <c r="A3094" s="6">
        <v>43517</v>
      </c>
      <c r="B3094" s="7">
        <v>0.57708333333333328</v>
      </c>
      <c r="C3094" s="18" t="str">
        <f>"FES1162674565"</f>
        <v>FES1162674565</v>
      </c>
      <c r="D3094" s="18" t="s">
        <v>18</v>
      </c>
      <c r="E3094" s="18" t="s">
        <v>344</v>
      </c>
      <c r="F3094" s="18" t="str">
        <f>"2170675636 "</f>
        <v xml:space="preserve">2170675636 </v>
      </c>
      <c r="G3094" s="18" t="str">
        <f t="shared" si="88"/>
        <v>ON1</v>
      </c>
      <c r="H3094" s="18" t="s">
        <v>20</v>
      </c>
      <c r="I3094" s="18" t="s">
        <v>345</v>
      </c>
      <c r="J3094" s="18" t="str">
        <f>""</f>
        <v/>
      </c>
      <c r="K3094" s="18" t="str">
        <f>"PFES1162674565_0001"</f>
        <v>PFES1162674565_0001</v>
      </c>
      <c r="L3094" s="18">
        <v>1</v>
      </c>
      <c r="M3094" s="18">
        <v>1</v>
      </c>
    </row>
    <row r="3095" spans="1:13">
      <c r="A3095" s="6">
        <v>43517</v>
      </c>
      <c r="B3095" s="7">
        <v>0.57638888888888895</v>
      </c>
      <c r="C3095" s="18" t="str">
        <f>"FES1162674585"</f>
        <v>FES1162674585</v>
      </c>
      <c r="D3095" s="18" t="s">
        <v>18</v>
      </c>
      <c r="E3095" s="18" t="s">
        <v>780</v>
      </c>
      <c r="F3095" s="18" t="str">
        <f>"2170675657 "</f>
        <v xml:space="preserve">2170675657 </v>
      </c>
      <c r="G3095" s="18" t="str">
        <f t="shared" si="88"/>
        <v>ON1</v>
      </c>
      <c r="H3095" s="18" t="s">
        <v>20</v>
      </c>
      <c r="I3095" s="18" t="s">
        <v>781</v>
      </c>
      <c r="J3095" s="18" t="str">
        <f>""</f>
        <v/>
      </c>
      <c r="K3095" s="18" t="str">
        <f>"PFES1162674585_0001"</f>
        <v>PFES1162674585_0001</v>
      </c>
      <c r="L3095" s="18">
        <v>1</v>
      </c>
      <c r="M3095" s="18">
        <v>1</v>
      </c>
    </row>
    <row r="3096" spans="1:13">
      <c r="A3096" s="6">
        <v>43517</v>
      </c>
      <c r="B3096" s="7">
        <v>0.57638888888888895</v>
      </c>
      <c r="C3096" s="18" t="str">
        <f>"FES1162674577"</f>
        <v>FES1162674577</v>
      </c>
      <c r="D3096" s="18" t="s">
        <v>18</v>
      </c>
      <c r="E3096" s="18" t="s">
        <v>537</v>
      </c>
      <c r="F3096" s="18" t="str">
        <f>"217675592 "</f>
        <v xml:space="preserve">217675592 </v>
      </c>
      <c r="G3096" s="18" t="str">
        <f t="shared" si="88"/>
        <v>ON1</v>
      </c>
      <c r="H3096" s="18" t="s">
        <v>20</v>
      </c>
      <c r="I3096" s="18" t="s">
        <v>93</v>
      </c>
      <c r="J3096" s="18" t="str">
        <f>""</f>
        <v/>
      </c>
      <c r="K3096" s="18" t="str">
        <f>"PFES1162674577_0001"</f>
        <v>PFES1162674577_0001</v>
      </c>
      <c r="L3096" s="18">
        <v>1</v>
      </c>
      <c r="M3096" s="18">
        <v>1</v>
      </c>
    </row>
    <row r="3097" spans="1:13">
      <c r="A3097" s="6">
        <v>43517</v>
      </c>
      <c r="B3097" s="7">
        <v>0.5756944444444444</v>
      </c>
      <c r="C3097" s="18" t="str">
        <f>"FES1162674583"</f>
        <v>FES1162674583</v>
      </c>
      <c r="D3097" s="18" t="s">
        <v>18</v>
      </c>
      <c r="E3097" s="18" t="s">
        <v>88</v>
      </c>
      <c r="F3097" s="18" t="str">
        <f>"2170675652 "</f>
        <v xml:space="preserve">2170675652 </v>
      </c>
      <c r="G3097" s="18" t="str">
        <f t="shared" si="88"/>
        <v>ON1</v>
      </c>
      <c r="H3097" s="18" t="s">
        <v>20</v>
      </c>
      <c r="I3097" s="18" t="s">
        <v>53</v>
      </c>
      <c r="J3097" s="18" t="str">
        <f>""</f>
        <v/>
      </c>
      <c r="K3097" s="18" t="str">
        <f>"PFES1162674583_0001"</f>
        <v>PFES1162674583_0001</v>
      </c>
      <c r="L3097" s="18">
        <v>1</v>
      </c>
      <c r="M3097" s="18">
        <v>1</v>
      </c>
    </row>
    <row r="3098" spans="1:13">
      <c r="A3098" s="6">
        <v>43517</v>
      </c>
      <c r="B3098" s="7">
        <v>0.5756944444444444</v>
      </c>
      <c r="C3098" s="18" t="str">
        <f>"FES1162674570"</f>
        <v>FES1162674570</v>
      </c>
      <c r="D3098" s="18" t="s">
        <v>18</v>
      </c>
      <c r="E3098" s="18" t="s">
        <v>84</v>
      </c>
      <c r="F3098" s="18" t="str">
        <f>"2170675643 "</f>
        <v xml:space="preserve">2170675643 </v>
      </c>
      <c r="G3098" s="18" t="str">
        <f t="shared" si="88"/>
        <v>ON1</v>
      </c>
      <c r="H3098" s="18" t="s">
        <v>20</v>
      </c>
      <c r="I3098" s="18" t="s">
        <v>85</v>
      </c>
      <c r="J3098" s="18" t="str">
        <f>""</f>
        <v/>
      </c>
      <c r="K3098" s="18" t="str">
        <f>"PFES1162674570_0001"</f>
        <v>PFES1162674570_0001</v>
      </c>
      <c r="L3098" s="18">
        <v>1</v>
      </c>
      <c r="M3098" s="18">
        <v>1</v>
      </c>
    </row>
    <row r="3099" spans="1:13">
      <c r="A3099" s="6">
        <v>43517</v>
      </c>
      <c r="B3099" s="7">
        <v>0.5756944444444444</v>
      </c>
      <c r="C3099" s="18" t="str">
        <f>"FES1162674582"</f>
        <v>FES1162674582</v>
      </c>
      <c r="D3099" s="18" t="s">
        <v>18</v>
      </c>
      <c r="E3099" s="18" t="s">
        <v>120</v>
      </c>
      <c r="F3099" s="18" t="str">
        <f>"2170675651 "</f>
        <v xml:space="preserve">2170675651 </v>
      </c>
      <c r="G3099" s="18" t="str">
        <f t="shared" si="88"/>
        <v>ON1</v>
      </c>
      <c r="H3099" s="18" t="s">
        <v>20</v>
      </c>
      <c r="I3099" s="18" t="s">
        <v>121</v>
      </c>
      <c r="J3099" s="18" t="str">
        <f>""</f>
        <v/>
      </c>
      <c r="K3099" s="18" t="str">
        <f>"PFES1162674582_0001"</f>
        <v>PFES1162674582_0001</v>
      </c>
      <c r="L3099" s="18">
        <v>1</v>
      </c>
      <c r="M3099" s="18">
        <v>1</v>
      </c>
    </row>
    <row r="3100" spans="1:13">
      <c r="A3100" s="6">
        <v>43517</v>
      </c>
      <c r="B3100" s="7">
        <v>0.57500000000000007</v>
      </c>
      <c r="C3100" s="18" t="str">
        <f>"FES1162674567"</f>
        <v>FES1162674567</v>
      </c>
      <c r="D3100" s="18" t="s">
        <v>18</v>
      </c>
      <c r="E3100" s="18" t="s">
        <v>195</v>
      </c>
      <c r="F3100" s="18" t="str">
        <f>"2170675638 "</f>
        <v xml:space="preserve">2170675638 </v>
      </c>
      <c r="G3100" s="18" t="str">
        <f t="shared" si="88"/>
        <v>ON1</v>
      </c>
      <c r="H3100" s="18" t="s">
        <v>20</v>
      </c>
      <c r="I3100" s="18" t="s">
        <v>96</v>
      </c>
      <c r="J3100" s="18" t="str">
        <f>""</f>
        <v/>
      </c>
      <c r="K3100" s="18" t="str">
        <f>"PFES1162674567_0001"</f>
        <v>PFES1162674567_0001</v>
      </c>
      <c r="L3100" s="18">
        <v>1</v>
      </c>
      <c r="M3100" s="18">
        <v>1</v>
      </c>
    </row>
    <row r="3101" spans="1:13">
      <c r="A3101" s="6">
        <v>43517</v>
      </c>
      <c r="B3101" s="7">
        <v>0.57500000000000007</v>
      </c>
      <c r="C3101" s="18" t="str">
        <f>"FES1162674568"</f>
        <v>FES1162674568</v>
      </c>
      <c r="D3101" s="18" t="s">
        <v>18</v>
      </c>
      <c r="E3101" s="18" t="s">
        <v>729</v>
      </c>
      <c r="F3101" s="18" t="str">
        <f>"21706754641 "</f>
        <v xml:space="preserve">21706754641 </v>
      </c>
      <c r="G3101" s="18" t="str">
        <f t="shared" si="88"/>
        <v>ON1</v>
      </c>
      <c r="H3101" s="18" t="s">
        <v>20</v>
      </c>
      <c r="I3101" s="18" t="s">
        <v>435</v>
      </c>
      <c r="J3101" s="18" t="str">
        <f>""</f>
        <v/>
      </c>
      <c r="K3101" s="18" t="str">
        <f>"PFES1162674568_0001"</f>
        <v>PFES1162674568_0001</v>
      </c>
      <c r="L3101" s="18">
        <v>1</v>
      </c>
      <c r="M3101" s="18">
        <v>1</v>
      </c>
    </row>
    <row r="3102" spans="1:13">
      <c r="A3102" s="6">
        <v>43517</v>
      </c>
      <c r="B3102" s="7">
        <v>0.57013888888888886</v>
      </c>
      <c r="C3102" s="18" t="str">
        <f>"FES1162674578"</f>
        <v>FES1162674578</v>
      </c>
      <c r="D3102" s="18" t="s">
        <v>18</v>
      </c>
      <c r="E3102" s="18" t="s">
        <v>537</v>
      </c>
      <c r="F3102" s="18" t="str">
        <f>"2170675604 "</f>
        <v xml:space="preserve">2170675604 </v>
      </c>
      <c r="G3102" s="18" t="str">
        <f t="shared" si="88"/>
        <v>ON1</v>
      </c>
      <c r="H3102" s="18" t="s">
        <v>20</v>
      </c>
      <c r="I3102" s="18" t="s">
        <v>93</v>
      </c>
      <c r="J3102" s="18" t="str">
        <f>""</f>
        <v/>
      </c>
      <c r="K3102" s="18" t="str">
        <f>"PFES1162674578_0001"</f>
        <v>PFES1162674578_0001</v>
      </c>
      <c r="L3102" s="18">
        <v>2</v>
      </c>
      <c r="M3102" s="18">
        <v>18</v>
      </c>
    </row>
    <row r="3103" spans="1:13">
      <c r="A3103" s="6">
        <v>43496</v>
      </c>
      <c r="B3103" s="7">
        <v>0.62638888888888888</v>
      </c>
      <c r="C3103" s="18" t="str">
        <f>"FES1162674578"</f>
        <v>FES1162674578</v>
      </c>
      <c r="D3103" s="18" t="s">
        <v>18</v>
      </c>
      <c r="E3103" s="18" t="s">
        <v>1100</v>
      </c>
      <c r="F3103" s="18" t="str">
        <f>"2170671955 "</f>
        <v xml:space="preserve">2170671955 </v>
      </c>
      <c r="G3103" s="18" t="str">
        <f t="shared" si="88"/>
        <v>ON1</v>
      </c>
      <c r="H3103" s="18" t="s">
        <v>20</v>
      </c>
      <c r="I3103" s="18" t="s">
        <v>1101</v>
      </c>
      <c r="J3103" s="18" t="str">
        <f>""</f>
        <v/>
      </c>
      <c r="K3103" s="18" t="str">
        <f>"PFES1162674578_0002"</f>
        <v>PFES1162674578_0002</v>
      </c>
      <c r="L3103" s="18">
        <v>1</v>
      </c>
      <c r="M3103" s="18">
        <v>1</v>
      </c>
    </row>
    <row r="3104" spans="1:13">
      <c r="A3104" s="6">
        <v>43517</v>
      </c>
      <c r="B3104" s="7">
        <v>0.56874999999999998</v>
      </c>
      <c r="C3104" s="18" t="str">
        <f>"FES1162674560"</f>
        <v>FES1162674560</v>
      </c>
      <c r="D3104" s="18" t="s">
        <v>18</v>
      </c>
      <c r="E3104" s="18" t="s">
        <v>214</v>
      </c>
      <c r="F3104" s="18" t="str">
        <f>"2170675627 "</f>
        <v xml:space="preserve">2170675627 </v>
      </c>
      <c r="G3104" s="18" t="str">
        <f t="shared" si="88"/>
        <v>ON1</v>
      </c>
      <c r="H3104" s="18" t="s">
        <v>20</v>
      </c>
      <c r="I3104" s="18" t="s">
        <v>215</v>
      </c>
      <c r="J3104" s="18" t="str">
        <f>""</f>
        <v/>
      </c>
      <c r="K3104" s="18" t="str">
        <f>"PFES1162674560_0001"</f>
        <v>PFES1162674560_0001</v>
      </c>
      <c r="L3104" s="18">
        <v>1</v>
      </c>
      <c r="M3104" s="18">
        <v>1</v>
      </c>
    </row>
    <row r="3105" spans="1:13">
      <c r="A3105" s="6">
        <v>43517</v>
      </c>
      <c r="B3105" s="7">
        <v>0.56597222222222221</v>
      </c>
      <c r="C3105" s="18" t="str">
        <f>"FES1162674538"</f>
        <v>FES1162674538</v>
      </c>
      <c r="D3105" s="18" t="s">
        <v>18</v>
      </c>
      <c r="E3105" s="18" t="s">
        <v>885</v>
      </c>
      <c r="F3105" s="18" t="str">
        <f>"2170675609 "</f>
        <v xml:space="preserve">2170675609 </v>
      </c>
      <c r="G3105" s="18" t="str">
        <f t="shared" si="88"/>
        <v>ON1</v>
      </c>
      <c r="H3105" s="18" t="s">
        <v>20</v>
      </c>
      <c r="I3105" s="18" t="s">
        <v>886</v>
      </c>
      <c r="J3105" s="18" t="str">
        <f>""</f>
        <v/>
      </c>
      <c r="K3105" s="18" t="str">
        <f>"PFES1162674538_0001"</f>
        <v>PFES1162674538_0001</v>
      </c>
      <c r="L3105" s="18">
        <v>1</v>
      </c>
      <c r="M3105" s="18">
        <v>4</v>
      </c>
    </row>
    <row r="3106" spans="1:13">
      <c r="A3106" s="6">
        <v>43517</v>
      </c>
      <c r="B3106" s="7">
        <v>0.55555555555555558</v>
      </c>
      <c r="C3106" s="18" t="str">
        <f>"FES1162674550"</f>
        <v>FES1162674550</v>
      </c>
      <c r="D3106" s="18" t="s">
        <v>18</v>
      </c>
      <c r="E3106" s="18" t="s">
        <v>377</v>
      </c>
      <c r="F3106" s="18" t="str">
        <f>"2170675338 "</f>
        <v xml:space="preserve">2170675338 </v>
      </c>
      <c r="G3106" s="18" t="str">
        <f t="shared" si="88"/>
        <v>ON1</v>
      </c>
      <c r="H3106" s="18" t="s">
        <v>20</v>
      </c>
      <c r="I3106" s="18" t="s">
        <v>378</v>
      </c>
      <c r="J3106" s="18" t="str">
        <f>""</f>
        <v/>
      </c>
      <c r="K3106" s="18" t="str">
        <f>"PFES1162674550_0001"</f>
        <v>PFES1162674550_0001</v>
      </c>
      <c r="L3106" s="18">
        <v>1</v>
      </c>
      <c r="M3106" s="18">
        <v>14</v>
      </c>
    </row>
    <row r="3107" spans="1:13">
      <c r="A3107" s="6">
        <v>43517</v>
      </c>
      <c r="B3107" s="7">
        <v>0.55486111111111114</v>
      </c>
      <c r="C3107" s="18" t="str">
        <f>"FES1162674561"</f>
        <v>FES1162674561</v>
      </c>
      <c r="D3107" s="18" t="s">
        <v>18</v>
      </c>
      <c r="E3107" s="18" t="s">
        <v>1102</v>
      </c>
      <c r="F3107" s="18" t="str">
        <f>"2170675621 "</f>
        <v xml:space="preserve">2170675621 </v>
      </c>
      <c r="G3107" s="18" t="str">
        <f t="shared" si="88"/>
        <v>ON1</v>
      </c>
      <c r="H3107" s="18" t="s">
        <v>20</v>
      </c>
      <c r="I3107" s="18" t="s">
        <v>46</v>
      </c>
      <c r="J3107" s="18" t="str">
        <f>""</f>
        <v/>
      </c>
      <c r="K3107" s="18" t="str">
        <f>"PFES1162674561_0001"</f>
        <v>PFES1162674561_0001</v>
      </c>
      <c r="L3107" s="18">
        <v>1</v>
      </c>
      <c r="M3107" s="18">
        <v>2</v>
      </c>
    </row>
    <row r="3108" spans="1:13">
      <c r="A3108" s="6">
        <v>43517</v>
      </c>
      <c r="B3108" s="7">
        <v>0.55347222222222225</v>
      </c>
      <c r="C3108" s="18" t="str">
        <f>"FES1162674573"</f>
        <v>FES1162674573</v>
      </c>
      <c r="D3108" s="18" t="s">
        <v>18</v>
      </c>
      <c r="E3108" s="18" t="s">
        <v>1103</v>
      </c>
      <c r="F3108" s="18" t="str">
        <f>"2170674507 "</f>
        <v xml:space="preserve">2170674507 </v>
      </c>
      <c r="G3108" s="18" t="str">
        <f t="shared" si="88"/>
        <v>ON1</v>
      </c>
      <c r="H3108" s="18" t="s">
        <v>20</v>
      </c>
      <c r="I3108" s="18" t="s">
        <v>208</v>
      </c>
      <c r="J3108" s="18" t="str">
        <f>""</f>
        <v/>
      </c>
      <c r="K3108" s="18" t="str">
        <f>"PFES1162674573_0001"</f>
        <v>PFES1162674573_0001</v>
      </c>
      <c r="L3108" s="18">
        <v>2</v>
      </c>
      <c r="M3108" s="18">
        <v>10</v>
      </c>
    </row>
    <row r="3109" spans="1:13">
      <c r="A3109" s="6">
        <v>43496</v>
      </c>
      <c r="B3109" s="7">
        <v>0.62430555555555556</v>
      </c>
      <c r="C3109" s="18" t="str">
        <f>"FES1162674573"</f>
        <v>FES1162674573</v>
      </c>
      <c r="D3109" s="18" t="s">
        <v>18</v>
      </c>
      <c r="E3109" s="18" t="s">
        <v>614</v>
      </c>
      <c r="F3109" s="18" t="str">
        <f>"2170671980 "</f>
        <v xml:space="preserve">2170671980 </v>
      </c>
      <c r="G3109" s="18" t="str">
        <f t="shared" si="88"/>
        <v>ON1</v>
      </c>
      <c r="H3109" s="18" t="s">
        <v>20</v>
      </c>
      <c r="I3109" s="18" t="s">
        <v>128</v>
      </c>
      <c r="J3109" s="18" t="str">
        <f>""</f>
        <v/>
      </c>
      <c r="K3109" s="18" t="str">
        <f>"PFES1162674573_0002"</f>
        <v>PFES1162674573_0002</v>
      </c>
      <c r="L3109" s="18">
        <v>1</v>
      </c>
      <c r="M3109" s="18">
        <v>1</v>
      </c>
    </row>
    <row r="3110" spans="1:13">
      <c r="A3110" s="6">
        <v>43517</v>
      </c>
      <c r="B3110" s="7">
        <v>0.55208333333333337</v>
      </c>
      <c r="C3110" s="18" t="str">
        <f>"FES1162674524"</f>
        <v>FES1162674524</v>
      </c>
      <c r="D3110" s="18" t="s">
        <v>18</v>
      </c>
      <c r="E3110" s="18" t="s">
        <v>601</v>
      </c>
      <c r="F3110" s="18" t="str">
        <f>"2170675581 "</f>
        <v xml:space="preserve">2170675581 </v>
      </c>
      <c r="G3110" s="18" t="str">
        <f t="shared" si="88"/>
        <v>ON1</v>
      </c>
      <c r="H3110" s="18" t="s">
        <v>20</v>
      </c>
      <c r="I3110" s="18" t="s">
        <v>602</v>
      </c>
      <c r="J3110" s="18" t="str">
        <f>""</f>
        <v/>
      </c>
      <c r="K3110" s="18" t="str">
        <f>"PFES1162674524_0001"</f>
        <v>PFES1162674524_0001</v>
      </c>
      <c r="L3110" s="18">
        <v>1</v>
      </c>
      <c r="M3110" s="18">
        <v>1</v>
      </c>
    </row>
    <row r="3111" spans="1:13">
      <c r="A3111" s="6">
        <v>43517</v>
      </c>
      <c r="B3111" s="7">
        <v>0.55138888888888882</v>
      </c>
      <c r="C3111" s="18" t="str">
        <f>"FES1162674554"</f>
        <v>FES1162674554</v>
      </c>
      <c r="D3111" s="18" t="s">
        <v>18</v>
      </c>
      <c r="E3111" s="18" t="s">
        <v>146</v>
      </c>
      <c r="F3111" s="18" t="str">
        <f>"2170675543 "</f>
        <v xml:space="preserve">2170675543 </v>
      </c>
      <c r="G3111" s="18" t="str">
        <f t="shared" ref="G3111:G3174" si="89">"ON1"</f>
        <v>ON1</v>
      </c>
      <c r="H3111" s="18" t="s">
        <v>20</v>
      </c>
      <c r="I3111" s="18" t="s">
        <v>147</v>
      </c>
      <c r="J3111" s="18" t="str">
        <f>""</f>
        <v/>
      </c>
      <c r="K3111" s="18" t="str">
        <f>"PFES1162674554_0001"</f>
        <v>PFES1162674554_0001</v>
      </c>
      <c r="L3111" s="18">
        <v>1</v>
      </c>
      <c r="M3111" s="18">
        <v>3</v>
      </c>
    </row>
    <row r="3112" spans="1:13">
      <c r="A3112" s="6">
        <v>43517</v>
      </c>
      <c r="B3112" s="7">
        <v>0.54999999999999993</v>
      </c>
      <c r="C3112" s="18" t="str">
        <f>"FES1162674546"</f>
        <v>FES1162674546</v>
      </c>
      <c r="D3112" s="18" t="s">
        <v>18</v>
      </c>
      <c r="E3112" s="18" t="s">
        <v>470</v>
      </c>
      <c r="F3112" s="18" t="str">
        <f>"2170674512 "</f>
        <v xml:space="preserve">2170674512 </v>
      </c>
      <c r="G3112" s="18" t="str">
        <f t="shared" si="89"/>
        <v>ON1</v>
      </c>
      <c r="H3112" s="18" t="s">
        <v>20</v>
      </c>
      <c r="I3112" s="18" t="s">
        <v>471</v>
      </c>
      <c r="J3112" s="18" t="str">
        <f>""</f>
        <v/>
      </c>
      <c r="K3112" s="18" t="str">
        <f>"PFES1162674546_0001"</f>
        <v>PFES1162674546_0001</v>
      </c>
      <c r="L3112" s="18">
        <v>1</v>
      </c>
      <c r="M3112" s="18">
        <v>2</v>
      </c>
    </row>
    <row r="3113" spans="1:13">
      <c r="A3113" s="6">
        <v>43517</v>
      </c>
      <c r="B3113" s="7">
        <v>0.54027777777777775</v>
      </c>
      <c r="C3113" s="18" t="str">
        <f>"FES1162674527"</f>
        <v>FES1162674527</v>
      </c>
      <c r="D3113" s="18" t="s">
        <v>18</v>
      </c>
      <c r="E3113" s="18" t="s">
        <v>1104</v>
      </c>
      <c r="F3113" s="18" t="str">
        <f>"2170675589 "</f>
        <v xml:space="preserve">2170675589 </v>
      </c>
      <c r="G3113" s="18" t="str">
        <f t="shared" si="89"/>
        <v>ON1</v>
      </c>
      <c r="H3113" s="18" t="s">
        <v>20</v>
      </c>
      <c r="I3113" s="18" t="s">
        <v>810</v>
      </c>
      <c r="J3113" s="18" t="str">
        <f>""</f>
        <v/>
      </c>
      <c r="K3113" s="18" t="str">
        <f>"PFES1162674527_0001"</f>
        <v>PFES1162674527_0001</v>
      </c>
      <c r="L3113" s="18">
        <v>1</v>
      </c>
      <c r="M3113" s="18">
        <v>1</v>
      </c>
    </row>
    <row r="3114" spans="1:13">
      <c r="A3114" s="6">
        <v>43517</v>
      </c>
      <c r="B3114" s="7">
        <v>0.53888888888888886</v>
      </c>
      <c r="C3114" s="18" t="str">
        <f>"FES1162674442"</f>
        <v>FES1162674442</v>
      </c>
      <c r="D3114" s="18" t="s">
        <v>18</v>
      </c>
      <c r="E3114" s="18" t="s">
        <v>22</v>
      </c>
      <c r="F3114" s="18" t="str">
        <f>"2170674155 "</f>
        <v xml:space="preserve">2170674155 </v>
      </c>
      <c r="G3114" s="18" t="str">
        <f t="shared" si="89"/>
        <v>ON1</v>
      </c>
      <c r="H3114" s="18" t="s">
        <v>20</v>
      </c>
      <c r="I3114" s="18" t="s">
        <v>23</v>
      </c>
      <c r="J3114" s="18" t="str">
        <f>""</f>
        <v/>
      </c>
      <c r="K3114" s="18" t="str">
        <f>"PFES1162674442_0001"</f>
        <v>PFES1162674442_0001</v>
      </c>
      <c r="L3114" s="18">
        <v>1</v>
      </c>
      <c r="M3114" s="18">
        <v>3</v>
      </c>
    </row>
    <row r="3115" spans="1:13">
      <c r="A3115" s="6">
        <v>43517</v>
      </c>
      <c r="B3115" s="7">
        <v>0.53749999999999998</v>
      </c>
      <c r="C3115" s="18" t="str">
        <f>"FES1162674532"</f>
        <v>FES1162674532</v>
      </c>
      <c r="D3115" s="18" t="s">
        <v>18</v>
      </c>
      <c r="E3115" s="18" t="s">
        <v>366</v>
      </c>
      <c r="F3115" s="18" t="str">
        <f>"2170675599 "</f>
        <v xml:space="preserve">2170675599 </v>
      </c>
      <c r="G3115" s="18" t="str">
        <f t="shared" si="89"/>
        <v>ON1</v>
      </c>
      <c r="H3115" s="18" t="s">
        <v>20</v>
      </c>
      <c r="I3115" s="18" t="s">
        <v>367</v>
      </c>
      <c r="J3115" s="18" t="str">
        <f>""</f>
        <v/>
      </c>
      <c r="K3115" s="18" t="str">
        <f>"PFES1162674532_0001"</f>
        <v>PFES1162674532_0001</v>
      </c>
      <c r="L3115" s="18">
        <v>1</v>
      </c>
      <c r="M3115" s="18">
        <v>3</v>
      </c>
    </row>
    <row r="3116" spans="1:13">
      <c r="A3116" s="6">
        <v>43517</v>
      </c>
      <c r="B3116" s="7">
        <v>0.53611111111111109</v>
      </c>
      <c r="C3116" s="18" t="str">
        <f>"FES1162674488"</f>
        <v>FES1162674488</v>
      </c>
      <c r="D3116" s="18" t="s">
        <v>18</v>
      </c>
      <c r="E3116" s="18" t="s">
        <v>1062</v>
      </c>
      <c r="F3116" s="18" t="str">
        <f>"2170675114 "</f>
        <v xml:space="preserve">2170675114 </v>
      </c>
      <c r="G3116" s="18" t="str">
        <f t="shared" si="89"/>
        <v>ON1</v>
      </c>
      <c r="H3116" s="18" t="s">
        <v>20</v>
      </c>
      <c r="I3116" s="18" t="s">
        <v>111</v>
      </c>
      <c r="J3116" s="18" t="str">
        <f>""</f>
        <v/>
      </c>
      <c r="K3116" s="18" t="str">
        <f>"PFES1162674488_0001"</f>
        <v>PFES1162674488_0001</v>
      </c>
      <c r="L3116" s="18">
        <v>1</v>
      </c>
      <c r="M3116" s="18">
        <v>1</v>
      </c>
    </row>
    <row r="3117" spans="1:13">
      <c r="A3117" s="6">
        <v>43517</v>
      </c>
      <c r="B3117" s="7">
        <v>0.53541666666666665</v>
      </c>
      <c r="C3117" s="18" t="str">
        <f>"FES1162674543"</f>
        <v>FES1162674543</v>
      </c>
      <c r="D3117" s="18" t="s">
        <v>18</v>
      </c>
      <c r="E3117" s="18" t="s">
        <v>92</v>
      </c>
      <c r="F3117" s="18" t="str">
        <f>"2170675615 "</f>
        <v xml:space="preserve">2170675615 </v>
      </c>
      <c r="G3117" s="18" t="str">
        <f t="shared" si="89"/>
        <v>ON1</v>
      </c>
      <c r="H3117" s="18" t="s">
        <v>20</v>
      </c>
      <c r="I3117" s="18" t="s">
        <v>93</v>
      </c>
      <c r="J3117" s="18" t="str">
        <f>""</f>
        <v/>
      </c>
      <c r="K3117" s="18" t="str">
        <f>"PFES1162674543_0001"</f>
        <v>PFES1162674543_0001</v>
      </c>
      <c r="L3117" s="18">
        <v>1</v>
      </c>
      <c r="M3117" s="18">
        <v>1</v>
      </c>
    </row>
    <row r="3118" spans="1:13">
      <c r="A3118" s="6">
        <v>43517</v>
      </c>
      <c r="B3118" s="7">
        <v>0.53472222222222221</v>
      </c>
      <c r="C3118" s="18" t="str">
        <f>"FES1162674549"</f>
        <v>FES1162674549</v>
      </c>
      <c r="D3118" s="18" t="s">
        <v>18</v>
      </c>
      <c r="E3118" s="18" t="s">
        <v>752</v>
      </c>
      <c r="F3118" s="18" t="str">
        <f>"2170675323 "</f>
        <v xml:space="preserve">2170675323 </v>
      </c>
      <c r="G3118" s="18" t="str">
        <f t="shared" si="89"/>
        <v>ON1</v>
      </c>
      <c r="H3118" s="18" t="s">
        <v>20</v>
      </c>
      <c r="I3118" s="18" t="s">
        <v>53</v>
      </c>
      <c r="J3118" s="18" t="str">
        <f>""</f>
        <v/>
      </c>
      <c r="K3118" s="18" t="str">
        <f>"PFES1162674549_0001"</f>
        <v>PFES1162674549_0001</v>
      </c>
      <c r="L3118" s="18">
        <v>1</v>
      </c>
      <c r="M3118" s="18">
        <v>1</v>
      </c>
    </row>
    <row r="3119" spans="1:13">
      <c r="A3119" s="6">
        <v>43517</v>
      </c>
      <c r="B3119" s="7">
        <v>0.53333333333333333</v>
      </c>
      <c r="C3119" s="18" t="str">
        <f>"FES1162674508"</f>
        <v>FES1162674508</v>
      </c>
      <c r="D3119" s="18" t="s">
        <v>18</v>
      </c>
      <c r="E3119" s="18" t="s">
        <v>680</v>
      </c>
      <c r="F3119" s="18" t="str">
        <f>"2170675563 "</f>
        <v xml:space="preserve">2170675563 </v>
      </c>
      <c r="G3119" s="18" t="str">
        <f t="shared" si="89"/>
        <v>ON1</v>
      </c>
      <c r="H3119" s="18" t="s">
        <v>20</v>
      </c>
      <c r="I3119" s="18" t="s">
        <v>237</v>
      </c>
      <c r="J3119" s="18" t="str">
        <f>""</f>
        <v/>
      </c>
      <c r="K3119" s="18" t="str">
        <f>"PFES1162674508_0001"</f>
        <v>PFES1162674508_0001</v>
      </c>
      <c r="L3119" s="18">
        <v>1</v>
      </c>
      <c r="M3119" s="18">
        <v>2</v>
      </c>
    </row>
    <row r="3120" spans="1:13">
      <c r="A3120" s="6">
        <v>43517</v>
      </c>
      <c r="B3120" s="7">
        <v>0.53263888888888888</v>
      </c>
      <c r="C3120" s="18" t="str">
        <f>"FES1162674522"</f>
        <v>FES1162674522</v>
      </c>
      <c r="D3120" s="18" t="s">
        <v>18</v>
      </c>
      <c r="E3120" s="18" t="s">
        <v>675</v>
      </c>
      <c r="F3120" s="18" t="str">
        <f>"2170675578 "</f>
        <v xml:space="preserve">2170675578 </v>
      </c>
      <c r="G3120" s="18" t="str">
        <f t="shared" si="89"/>
        <v>ON1</v>
      </c>
      <c r="H3120" s="18" t="s">
        <v>20</v>
      </c>
      <c r="I3120" s="18" t="s">
        <v>359</v>
      </c>
      <c r="J3120" s="18" t="str">
        <f>""</f>
        <v/>
      </c>
      <c r="K3120" s="18" t="str">
        <f>"PFES1162674522_0001"</f>
        <v>PFES1162674522_0001</v>
      </c>
      <c r="L3120" s="18">
        <v>1</v>
      </c>
      <c r="M3120" s="18">
        <v>1</v>
      </c>
    </row>
    <row r="3121" spans="1:13">
      <c r="A3121" s="6">
        <v>43517</v>
      </c>
      <c r="B3121" s="7">
        <v>0.52777777777777779</v>
      </c>
      <c r="C3121" s="18" t="str">
        <f>"FES1162674562"</f>
        <v>FES1162674562</v>
      </c>
      <c r="D3121" s="18" t="s">
        <v>18</v>
      </c>
      <c r="E3121" s="18" t="s">
        <v>387</v>
      </c>
      <c r="F3121" s="18" t="str">
        <f>"2170675631 "</f>
        <v xml:space="preserve">2170675631 </v>
      </c>
      <c r="G3121" s="18" t="str">
        <f t="shared" si="89"/>
        <v>ON1</v>
      </c>
      <c r="H3121" s="18" t="s">
        <v>20</v>
      </c>
      <c r="I3121" s="18" t="s">
        <v>388</v>
      </c>
      <c r="J3121" s="18" t="str">
        <f>""</f>
        <v/>
      </c>
      <c r="K3121" s="18" t="str">
        <f>"PFES1162674562_0001"</f>
        <v>PFES1162674562_0001</v>
      </c>
      <c r="L3121" s="18">
        <v>1</v>
      </c>
      <c r="M3121" s="18">
        <v>1</v>
      </c>
    </row>
    <row r="3122" spans="1:13">
      <c r="A3122" s="6">
        <v>43517</v>
      </c>
      <c r="B3122" s="7">
        <v>0.52777777777777779</v>
      </c>
      <c r="C3122" s="18" t="str">
        <f>"FES1162674557"</f>
        <v>FES1162674557</v>
      </c>
      <c r="D3122" s="18" t="s">
        <v>18</v>
      </c>
      <c r="E3122" s="18" t="s">
        <v>140</v>
      </c>
      <c r="F3122" s="18" t="str">
        <f>"2170675624 "</f>
        <v xml:space="preserve">2170675624 </v>
      </c>
      <c r="G3122" s="18" t="str">
        <f t="shared" si="89"/>
        <v>ON1</v>
      </c>
      <c r="H3122" s="18" t="s">
        <v>20</v>
      </c>
      <c r="I3122" s="18" t="s">
        <v>141</v>
      </c>
      <c r="J3122" s="18" t="str">
        <f>""</f>
        <v/>
      </c>
      <c r="K3122" s="18" t="str">
        <f>"PFES1162674557_0001"</f>
        <v>PFES1162674557_0001</v>
      </c>
      <c r="L3122" s="18">
        <v>1</v>
      </c>
      <c r="M3122" s="18">
        <v>1</v>
      </c>
    </row>
    <row r="3123" spans="1:13">
      <c r="A3123" s="6">
        <v>43517</v>
      </c>
      <c r="B3123" s="7">
        <v>0.52777777777777779</v>
      </c>
      <c r="C3123" s="18" t="str">
        <f>"FES1162674563"</f>
        <v>FES1162674563</v>
      </c>
      <c r="D3123" s="18" t="s">
        <v>18</v>
      </c>
      <c r="E3123" s="18" t="s">
        <v>522</v>
      </c>
      <c r="F3123" s="18" t="str">
        <f>"2170675634 "</f>
        <v xml:space="preserve">2170675634 </v>
      </c>
      <c r="G3123" s="18" t="str">
        <f t="shared" si="89"/>
        <v>ON1</v>
      </c>
      <c r="H3123" s="18" t="s">
        <v>20</v>
      </c>
      <c r="I3123" s="18" t="s">
        <v>388</v>
      </c>
      <c r="J3123" s="18" t="str">
        <f>""</f>
        <v/>
      </c>
      <c r="K3123" s="18" t="str">
        <f>"PFES1162674563_0001"</f>
        <v>PFES1162674563_0001</v>
      </c>
      <c r="L3123" s="18">
        <v>1</v>
      </c>
      <c r="M3123" s="18">
        <v>1</v>
      </c>
    </row>
    <row r="3124" spans="1:13">
      <c r="A3124" s="6">
        <v>43517</v>
      </c>
      <c r="B3124" s="7">
        <v>0.52638888888888891</v>
      </c>
      <c r="C3124" s="18" t="str">
        <f>"FES1162674548"</f>
        <v>FES1162674548</v>
      </c>
      <c r="D3124" s="18" t="s">
        <v>18</v>
      </c>
      <c r="E3124" s="18" t="s">
        <v>66</v>
      </c>
      <c r="F3124" s="18" t="str">
        <f>"2170675303 "</f>
        <v xml:space="preserve">2170675303 </v>
      </c>
      <c r="G3124" s="18" t="str">
        <f t="shared" si="89"/>
        <v>ON1</v>
      </c>
      <c r="H3124" s="18" t="s">
        <v>20</v>
      </c>
      <c r="I3124" s="18" t="s">
        <v>67</v>
      </c>
      <c r="J3124" s="18" t="str">
        <f>""</f>
        <v/>
      </c>
      <c r="K3124" s="18" t="str">
        <f>"PFES1162674548_0001"</f>
        <v>PFES1162674548_0001</v>
      </c>
      <c r="L3124" s="18">
        <v>1</v>
      </c>
      <c r="M3124" s="18">
        <v>1</v>
      </c>
    </row>
    <row r="3125" spans="1:13">
      <c r="A3125" s="6">
        <v>43517</v>
      </c>
      <c r="B3125" s="7">
        <v>0.52638888888888891</v>
      </c>
      <c r="C3125" s="18" t="str">
        <f>"FES1162674544"</f>
        <v>FES1162674544</v>
      </c>
      <c r="D3125" s="18" t="s">
        <v>18</v>
      </c>
      <c r="E3125" s="18" t="s">
        <v>190</v>
      </c>
      <c r="F3125" s="18" t="str">
        <f>"217675616 "</f>
        <v xml:space="preserve">217675616 </v>
      </c>
      <c r="G3125" s="18" t="str">
        <f t="shared" si="89"/>
        <v>ON1</v>
      </c>
      <c r="H3125" s="18" t="s">
        <v>20</v>
      </c>
      <c r="I3125" s="18" t="s">
        <v>362</v>
      </c>
      <c r="J3125" s="18" t="str">
        <f>""</f>
        <v/>
      </c>
      <c r="K3125" s="18" t="str">
        <f>"PFES1162674544_0001"</f>
        <v>PFES1162674544_0001</v>
      </c>
      <c r="L3125" s="18">
        <v>1</v>
      </c>
      <c r="M3125" s="18">
        <v>1</v>
      </c>
    </row>
    <row r="3126" spans="1:13">
      <c r="A3126" s="6">
        <v>43517</v>
      </c>
      <c r="B3126" s="7">
        <v>0.52638888888888891</v>
      </c>
      <c r="C3126" s="18" t="str">
        <f>"FES1162674541"</f>
        <v>FES1162674541</v>
      </c>
      <c r="D3126" s="18" t="s">
        <v>18</v>
      </c>
      <c r="E3126" s="18" t="s">
        <v>159</v>
      </c>
      <c r="F3126" s="18" t="str">
        <f>"2170675613 "</f>
        <v xml:space="preserve">2170675613 </v>
      </c>
      <c r="G3126" s="18" t="str">
        <f t="shared" si="89"/>
        <v>ON1</v>
      </c>
      <c r="H3126" s="18" t="s">
        <v>20</v>
      </c>
      <c r="I3126" s="18" t="s">
        <v>137</v>
      </c>
      <c r="J3126" s="18" t="str">
        <f>""</f>
        <v/>
      </c>
      <c r="K3126" s="18" t="str">
        <f>"PFES1162674541_0001"</f>
        <v>PFES1162674541_0001</v>
      </c>
      <c r="L3126" s="18">
        <v>1</v>
      </c>
      <c r="M3126" s="18">
        <v>1</v>
      </c>
    </row>
    <row r="3127" spans="1:13">
      <c r="A3127" s="6">
        <v>43517</v>
      </c>
      <c r="B3127" s="7">
        <v>0.52569444444444446</v>
      </c>
      <c r="C3127" s="18" t="str">
        <f>"FES1162674531"</f>
        <v>FES1162674531</v>
      </c>
      <c r="D3127" s="18" t="s">
        <v>18</v>
      </c>
      <c r="E3127" s="18" t="s">
        <v>120</v>
      </c>
      <c r="F3127" s="18" t="str">
        <f>"2170675598 "</f>
        <v xml:space="preserve">2170675598 </v>
      </c>
      <c r="G3127" s="18" t="str">
        <f t="shared" si="89"/>
        <v>ON1</v>
      </c>
      <c r="H3127" s="18" t="s">
        <v>20</v>
      </c>
      <c r="I3127" s="18" t="s">
        <v>121</v>
      </c>
      <c r="J3127" s="18" t="str">
        <f>""</f>
        <v/>
      </c>
      <c r="K3127" s="18" t="str">
        <f>"PFES1162674531_0001"</f>
        <v>PFES1162674531_0001</v>
      </c>
      <c r="L3127" s="18">
        <v>1</v>
      </c>
      <c r="M3127" s="18">
        <v>1</v>
      </c>
    </row>
    <row r="3128" spans="1:13">
      <c r="A3128" s="6">
        <v>43517</v>
      </c>
      <c r="B3128" s="7">
        <v>0.52569444444444446</v>
      </c>
      <c r="C3128" s="18" t="str">
        <f>"FES1162674515"</f>
        <v>FES1162674515</v>
      </c>
      <c r="D3128" s="18" t="s">
        <v>18</v>
      </c>
      <c r="E3128" s="18" t="s">
        <v>405</v>
      </c>
      <c r="F3128" s="18" t="str">
        <f>"2170675570 "</f>
        <v xml:space="preserve">2170675570 </v>
      </c>
      <c r="G3128" s="18" t="str">
        <f t="shared" si="89"/>
        <v>ON1</v>
      </c>
      <c r="H3128" s="18" t="s">
        <v>20</v>
      </c>
      <c r="I3128" s="18" t="s">
        <v>239</v>
      </c>
      <c r="J3128" s="18" t="str">
        <f>""</f>
        <v/>
      </c>
      <c r="K3128" s="18" t="str">
        <f>"PFES1162674515_0001"</f>
        <v>PFES1162674515_0001</v>
      </c>
      <c r="L3128" s="18">
        <v>1</v>
      </c>
      <c r="M3128" s="18">
        <v>1</v>
      </c>
    </row>
    <row r="3129" spans="1:13">
      <c r="A3129" s="6">
        <v>43517</v>
      </c>
      <c r="B3129" s="7">
        <v>0.52500000000000002</v>
      </c>
      <c r="C3129" s="18" t="str">
        <f>"FES1162674564"</f>
        <v>FES1162674564</v>
      </c>
      <c r="D3129" s="18" t="s">
        <v>18</v>
      </c>
      <c r="E3129" s="18" t="s">
        <v>186</v>
      </c>
      <c r="F3129" s="18" t="str">
        <f>"2170674851 "</f>
        <v xml:space="preserve">2170674851 </v>
      </c>
      <c r="G3129" s="18" t="str">
        <f t="shared" si="89"/>
        <v>ON1</v>
      </c>
      <c r="H3129" s="18" t="s">
        <v>20</v>
      </c>
      <c r="I3129" s="18" t="s">
        <v>48</v>
      </c>
      <c r="J3129" s="18" t="str">
        <f>""</f>
        <v/>
      </c>
      <c r="K3129" s="18" t="str">
        <f>"PFES1162674564_0001"</f>
        <v>PFES1162674564_0001</v>
      </c>
      <c r="L3129" s="18">
        <v>1</v>
      </c>
      <c r="M3129" s="18">
        <v>1</v>
      </c>
    </row>
    <row r="3130" spans="1:13">
      <c r="A3130" s="6">
        <v>43517</v>
      </c>
      <c r="B3130" s="7">
        <v>0.51874999999999993</v>
      </c>
      <c r="C3130" s="18" t="str">
        <f>"FES1162674504"</f>
        <v>FES1162674504</v>
      </c>
      <c r="D3130" s="18" t="s">
        <v>18</v>
      </c>
      <c r="E3130" s="18" t="s">
        <v>168</v>
      </c>
      <c r="F3130" s="18" t="str">
        <f>"2170675537 "</f>
        <v xml:space="preserve">2170675537 </v>
      </c>
      <c r="G3130" s="18" t="str">
        <f t="shared" si="89"/>
        <v>ON1</v>
      </c>
      <c r="H3130" s="18" t="s">
        <v>20</v>
      </c>
      <c r="I3130" s="18" t="s">
        <v>63</v>
      </c>
      <c r="J3130" s="18" t="str">
        <f>""</f>
        <v/>
      </c>
      <c r="K3130" s="18" t="str">
        <f>"PFES1162674504_0001"</f>
        <v>PFES1162674504_0001</v>
      </c>
      <c r="L3130" s="18">
        <v>1</v>
      </c>
      <c r="M3130" s="18">
        <v>1</v>
      </c>
    </row>
    <row r="3131" spans="1:13">
      <c r="A3131" s="6">
        <v>43517</v>
      </c>
      <c r="B3131" s="7">
        <v>0.51874999999999993</v>
      </c>
      <c r="C3131" s="18" t="str">
        <f>"FES1162674535"</f>
        <v>FES1162674535</v>
      </c>
      <c r="D3131" s="18" t="s">
        <v>18</v>
      </c>
      <c r="E3131" s="18" t="s">
        <v>1105</v>
      </c>
      <c r="F3131" s="18" t="str">
        <f>"2170675603 "</f>
        <v xml:space="preserve">2170675603 </v>
      </c>
      <c r="G3131" s="18" t="str">
        <f t="shared" si="89"/>
        <v>ON1</v>
      </c>
      <c r="H3131" s="18" t="s">
        <v>20</v>
      </c>
      <c r="I3131" s="18" t="s">
        <v>237</v>
      </c>
      <c r="J3131" s="18" t="str">
        <f>""</f>
        <v/>
      </c>
      <c r="K3131" s="18" t="str">
        <f>"PFES1162674535_0001"</f>
        <v>PFES1162674535_0001</v>
      </c>
      <c r="L3131" s="18">
        <v>1</v>
      </c>
      <c r="M3131" s="18">
        <v>1</v>
      </c>
    </row>
    <row r="3132" spans="1:13">
      <c r="A3132" s="6">
        <v>43517</v>
      </c>
      <c r="B3132" s="7">
        <v>0.5180555555555556</v>
      </c>
      <c r="C3132" s="18" t="str">
        <f>"FES1162674520"</f>
        <v>FES1162674520</v>
      </c>
      <c r="D3132" s="18" t="s">
        <v>18</v>
      </c>
      <c r="E3132" s="18" t="s">
        <v>190</v>
      </c>
      <c r="F3132" s="18" t="str">
        <f>"2170675575 "</f>
        <v xml:space="preserve">2170675575 </v>
      </c>
      <c r="G3132" s="18" t="str">
        <f t="shared" si="89"/>
        <v>ON1</v>
      </c>
      <c r="H3132" s="18" t="s">
        <v>20</v>
      </c>
      <c r="I3132" s="18" t="s">
        <v>111</v>
      </c>
      <c r="J3132" s="18" t="str">
        <f>""</f>
        <v/>
      </c>
      <c r="K3132" s="18" t="str">
        <f>"PFES1162674520_0001"</f>
        <v>PFES1162674520_0001</v>
      </c>
      <c r="L3132" s="18">
        <v>1</v>
      </c>
      <c r="M3132" s="18">
        <v>1</v>
      </c>
    </row>
    <row r="3133" spans="1:13">
      <c r="A3133" s="6">
        <v>43517</v>
      </c>
      <c r="B3133" s="7">
        <v>0.5180555555555556</v>
      </c>
      <c r="C3133" s="18" t="str">
        <f>"FES1162674487"</f>
        <v>FES1162674487</v>
      </c>
      <c r="D3133" s="18" t="s">
        <v>18</v>
      </c>
      <c r="E3133" s="18" t="s">
        <v>90</v>
      </c>
      <c r="F3133" s="18" t="str">
        <f>"2170675545 "</f>
        <v xml:space="preserve">2170675545 </v>
      </c>
      <c r="G3133" s="18" t="str">
        <f t="shared" si="89"/>
        <v>ON1</v>
      </c>
      <c r="H3133" s="18" t="s">
        <v>20</v>
      </c>
      <c r="I3133" s="18" t="s">
        <v>89</v>
      </c>
      <c r="J3133" s="18" t="str">
        <f>""</f>
        <v/>
      </c>
      <c r="K3133" s="18" t="str">
        <f>"PFES1162674487_0001"</f>
        <v>PFES1162674487_0001</v>
      </c>
      <c r="L3133" s="18">
        <v>1</v>
      </c>
      <c r="M3133" s="18">
        <v>1</v>
      </c>
    </row>
    <row r="3134" spans="1:13">
      <c r="A3134" s="6">
        <v>43517</v>
      </c>
      <c r="B3134" s="7">
        <v>0.51736111111111105</v>
      </c>
      <c r="C3134" s="18" t="str">
        <f>"FES1162674486"</f>
        <v>FES1162674486</v>
      </c>
      <c r="D3134" s="18" t="s">
        <v>18</v>
      </c>
      <c r="E3134" s="18" t="s">
        <v>92</v>
      </c>
      <c r="F3134" s="18" t="str">
        <f>"2170675542 "</f>
        <v xml:space="preserve">2170675542 </v>
      </c>
      <c r="G3134" s="18" t="str">
        <f t="shared" si="89"/>
        <v>ON1</v>
      </c>
      <c r="H3134" s="18" t="s">
        <v>20</v>
      </c>
      <c r="I3134" s="18" t="s">
        <v>93</v>
      </c>
      <c r="J3134" s="18" t="str">
        <f>""</f>
        <v/>
      </c>
      <c r="K3134" s="18" t="str">
        <f>"PFES1162674486_0001"</f>
        <v>PFES1162674486_0001</v>
      </c>
      <c r="L3134" s="18">
        <v>1</v>
      </c>
      <c r="M3134" s="18">
        <v>1</v>
      </c>
    </row>
    <row r="3135" spans="1:13">
      <c r="A3135" s="6">
        <v>43517</v>
      </c>
      <c r="B3135" s="7">
        <v>0.51736111111111105</v>
      </c>
      <c r="C3135" s="18" t="str">
        <f>"FES1162674523"</f>
        <v>FES1162674523</v>
      </c>
      <c r="D3135" s="18" t="s">
        <v>18</v>
      </c>
      <c r="E3135" s="18" t="s">
        <v>47</v>
      </c>
      <c r="F3135" s="18" t="str">
        <f>"2170675579 "</f>
        <v xml:space="preserve">2170675579 </v>
      </c>
      <c r="G3135" s="18" t="str">
        <f t="shared" si="89"/>
        <v>ON1</v>
      </c>
      <c r="H3135" s="18" t="s">
        <v>20</v>
      </c>
      <c r="I3135" s="18" t="s">
        <v>48</v>
      </c>
      <c r="J3135" s="18" t="str">
        <f>""</f>
        <v/>
      </c>
      <c r="K3135" s="18" t="str">
        <f>"PFES1162674523_0001"</f>
        <v>PFES1162674523_0001</v>
      </c>
      <c r="L3135" s="18">
        <v>1</v>
      </c>
      <c r="M3135" s="18">
        <v>1</v>
      </c>
    </row>
    <row r="3136" spans="1:13">
      <c r="A3136" s="6">
        <v>43517</v>
      </c>
      <c r="B3136" s="7">
        <v>0.51736111111111105</v>
      </c>
      <c r="C3136" s="18" t="str">
        <f>"FES1162674507"</f>
        <v>FES1162674507</v>
      </c>
      <c r="D3136" s="18" t="s">
        <v>18</v>
      </c>
      <c r="E3136" s="18" t="s">
        <v>757</v>
      </c>
      <c r="F3136" s="18" t="str">
        <f>"2170675562 "</f>
        <v xml:space="preserve">2170675562 </v>
      </c>
      <c r="G3136" s="18" t="str">
        <f t="shared" si="89"/>
        <v>ON1</v>
      </c>
      <c r="H3136" s="18" t="s">
        <v>20</v>
      </c>
      <c r="I3136" s="18" t="s">
        <v>61</v>
      </c>
      <c r="J3136" s="18" t="str">
        <f>""</f>
        <v/>
      </c>
      <c r="K3136" s="18" t="str">
        <f>"PFES1162674507_0001"</f>
        <v>PFES1162674507_0001</v>
      </c>
      <c r="L3136" s="18">
        <v>1</v>
      </c>
      <c r="M3136" s="18">
        <v>1</v>
      </c>
    </row>
    <row r="3137" spans="1:13">
      <c r="A3137" s="6">
        <v>43517</v>
      </c>
      <c r="B3137" s="7">
        <v>0.51666666666666672</v>
      </c>
      <c r="C3137" s="18" t="str">
        <f>"FES1162674513"</f>
        <v>FES1162674513</v>
      </c>
      <c r="D3137" s="18" t="s">
        <v>18</v>
      </c>
      <c r="E3137" s="18" t="s">
        <v>293</v>
      </c>
      <c r="F3137" s="18" t="str">
        <f>"2170675022 "</f>
        <v xml:space="preserve">2170675022 </v>
      </c>
      <c r="G3137" s="18" t="str">
        <f t="shared" si="89"/>
        <v>ON1</v>
      </c>
      <c r="H3137" s="18" t="s">
        <v>20</v>
      </c>
      <c r="I3137" s="18" t="s">
        <v>327</v>
      </c>
      <c r="J3137" s="18" t="str">
        <f>""</f>
        <v/>
      </c>
      <c r="K3137" s="18" t="str">
        <f>"PFES1162674513_0001"</f>
        <v>PFES1162674513_0001</v>
      </c>
      <c r="L3137" s="18">
        <v>1</v>
      </c>
      <c r="M3137" s="18">
        <v>1</v>
      </c>
    </row>
    <row r="3138" spans="1:13">
      <c r="A3138" s="6">
        <v>43517</v>
      </c>
      <c r="B3138" s="7">
        <v>0.5131944444444444</v>
      </c>
      <c r="C3138" s="18" t="str">
        <f>"FES1162674503"</f>
        <v>FES1162674503</v>
      </c>
      <c r="D3138" s="18" t="s">
        <v>18</v>
      </c>
      <c r="E3138" s="18" t="s">
        <v>936</v>
      </c>
      <c r="F3138" s="18" t="str">
        <f>"2170675503 "</f>
        <v xml:space="preserve">2170675503 </v>
      </c>
      <c r="G3138" s="18" t="str">
        <f t="shared" si="89"/>
        <v>ON1</v>
      </c>
      <c r="H3138" s="18" t="s">
        <v>20</v>
      </c>
      <c r="I3138" s="18" t="s">
        <v>937</v>
      </c>
      <c r="J3138" s="18" t="str">
        <f>""</f>
        <v/>
      </c>
      <c r="K3138" s="18" t="str">
        <f>"PFES1162674503_0001"</f>
        <v>PFES1162674503_0001</v>
      </c>
      <c r="L3138" s="18">
        <v>1</v>
      </c>
      <c r="M3138" s="18">
        <v>1</v>
      </c>
    </row>
    <row r="3139" spans="1:13">
      <c r="A3139" s="6">
        <v>43517</v>
      </c>
      <c r="B3139" s="7">
        <v>0.5131944444444444</v>
      </c>
      <c r="C3139" s="18" t="str">
        <f>"FES1162674536"</f>
        <v>FES1162674536</v>
      </c>
      <c r="D3139" s="18" t="s">
        <v>18</v>
      </c>
      <c r="E3139" s="18" t="s">
        <v>138</v>
      </c>
      <c r="F3139" s="18" t="str">
        <f>"2170675606 "</f>
        <v xml:space="preserve">2170675606 </v>
      </c>
      <c r="G3139" s="18" t="str">
        <f t="shared" si="89"/>
        <v>ON1</v>
      </c>
      <c r="H3139" s="18" t="s">
        <v>20</v>
      </c>
      <c r="I3139" s="18" t="s">
        <v>139</v>
      </c>
      <c r="J3139" s="18" t="str">
        <f>""</f>
        <v/>
      </c>
      <c r="K3139" s="18" t="str">
        <f>"PFES1162674536_0001"</f>
        <v>PFES1162674536_0001</v>
      </c>
      <c r="L3139" s="18">
        <v>1</v>
      </c>
      <c r="M3139" s="18">
        <v>1</v>
      </c>
    </row>
    <row r="3140" spans="1:13">
      <c r="A3140" s="6">
        <v>43517</v>
      </c>
      <c r="B3140" s="7">
        <v>0.51250000000000007</v>
      </c>
      <c r="C3140" s="18" t="str">
        <f>"FES1162674529"</f>
        <v>FES1162674529</v>
      </c>
      <c r="D3140" s="18" t="s">
        <v>18</v>
      </c>
      <c r="E3140" s="18" t="s">
        <v>120</v>
      </c>
      <c r="F3140" s="18" t="str">
        <f>"2170675596 "</f>
        <v xml:space="preserve">2170675596 </v>
      </c>
      <c r="G3140" s="18" t="str">
        <f t="shared" si="89"/>
        <v>ON1</v>
      </c>
      <c r="H3140" s="18" t="s">
        <v>20</v>
      </c>
      <c r="I3140" s="18" t="s">
        <v>121</v>
      </c>
      <c r="J3140" s="18" t="str">
        <f>""</f>
        <v/>
      </c>
      <c r="K3140" s="18" t="str">
        <f>"PFES1162674529_0001"</f>
        <v>PFES1162674529_0001</v>
      </c>
      <c r="L3140" s="18">
        <v>1</v>
      </c>
      <c r="M3140" s="18">
        <v>1</v>
      </c>
    </row>
    <row r="3141" spans="1:13">
      <c r="A3141" s="6">
        <v>43517</v>
      </c>
      <c r="B3141" s="7">
        <v>0.51250000000000007</v>
      </c>
      <c r="C3141" s="18" t="str">
        <f>"FES1162674506"</f>
        <v>FES1162674506</v>
      </c>
      <c r="D3141" s="18" t="s">
        <v>18</v>
      </c>
      <c r="E3141" s="18" t="s">
        <v>409</v>
      </c>
      <c r="F3141" s="18" t="str">
        <f>"2170675561 "</f>
        <v xml:space="preserve">2170675561 </v>
      </c>
      <c r="G3141" s="18" t="str">
        <f t="shared" si="89"/>
        <v>ON1</v>
      </c>
      <c r="H3141" s="18" t="s">
        <v>20</v>
      </c>
      <c r="I3141" s="18" t="s">
        <v>410</v>
      </c>
      <c r="J3141" s="18" t="str">
        <f>""</f>
        <v/>
      </c>
      <c r="K3141" s="18" t="str">
        <f>"PFES1162674506_0001"</f>
        <v>PFES1162674506_0001</v>
      </c>
      <c r="L3141" s="18">
        <v>1</v>
      </c>
      <c r="M3141" s="18">
        <v>1</v>
      </c>
    </row>
    <row r="3142" spans="1:13">
      <c r="A3142" s="6">
        <v>43517</v>
      </c>
      <c r="B3142" s="7">
        <v>0.51250000000000007</v>
      </c>
      <c r="C3142" s="18" t="str">
        <f>"FES1162674534"</f>
        <v>FES1162674534</v>
      </c>
      <c r="D3142" s="18" t="s">
        <v>18</v>
      </c>
      <c r="E3142" s="18" t="s">
        <v>311</v>
      </c>
      <c r="F3142" s="18" t="str">
        <f>"2170675601 "</f>
        <v xml:space="preserve">2170675601 </v>
      </c>
      <c r="G3142" s="18" t="str">
        <f t="shared" si="89"/>
        <v>ON1</v>
      </c>
      <c r="H3142" s="18" t="s">
        <v>20</v>
      </c>
      <c r="I3142" s="18" t="s">
        <v>333</v>
      </c>
      <c r="J3142" s="18" t="str">
        <f>""</f>
        <v/>
      </c>
      <c r="K3142" s="18" t="str">
        <f>"PFES1162674534_0001"</f>
        <v>PFES1162674534_0001</v>
      </c>
      <c r="L3142" s="18">
        <v>1</v>
      </c>
      <c r="M3142" s="18">
        <v>1</v>
      </c>
    </row>
    <row r="3143" spans="1:13">
      <c r="A3143" s="6">
        <v>43517</v>
      </c>
      <c r="B3143" s="7">
        <v>0.51180555555555551</v>
      </c>
      <c r="C3143" s="18" t="str">
        <f>"FES1162674521"</f>
        <v>FES1162674521</v>
      </c>
      <c r="D3143" s="18" t="s">
        <v>18</v>
      </c>
      <c r="E3143" s="18" t="s">
        <v>38</v>
      </c>
      <c r="F3143" s="18" t="str">
        <f>"2170675576 "</f>
        <v xml:space="preserve">2170675576 </v>
      </c>
      <c r="G3143" s="18" t="str">
        <f t="shared" si="89"/>
        <v>ON1</v>
      </c>
      <c r="H3143" s="18" t="s">
        <v>20</v>
      </c>
      <c r="I3143" s="18" t="s">
        <v>39</v>
      </c>
      <c r="J3143" s="18" t="str">
        <f>""</f>
        <v/>
      </c>
      <c r="K3143" s="18" t="str">
        <f>"PFES1162674521_0001"</f>
        <v>PFES1162674521_0001</v>
      </c>
      <c r="L3143" s="18">
        <v>1</v>
      </c>
      <c r="M3143" s="18">
        <v>1</v>
      </c>
    </row>
    <row r="3144" spans="1:13">
      <c r="A3144" s="6">
        <v>43517</v>
      </c>
      <c r="B3144" s="7">
        <v>0.51180555555555551</v>
      </c>
      <c r="C3144" s="18" t="str">
        <f>"FES1162674528"</f>
        <v>FES1162674528</v>
      </c>
      <c r="D3144" s="18" t="s">
        <v>18</v>
      </c>
      <c r="E3144" s="18" t="s">
        <v>120</v>
      </c>
      <c r="F3144" s="18" t="str">
        <f>"2170675593 "</f>
        <v xml:space="preserve">2170675593 </v>
      </c>
      <c r="G3144" s="18" t="str">
        <f t="shared" si="89"/>
        <v>ON1</v>
      </c>
      <c r="H3144" s="18" t="s">
        <v>20</v>
      </c>
      <c r="I3144" s="18" t="s">
        <v>121</v>
      </c>
      <c r="J3144" s="18" t="str">
        <f>""</f>
        <v/>
      </c>
      <c r="K3144" s="18" t="str">
        <f>"PFES1162674528_0001"</f>
        <v>PFES1162674528_0001</v>
      </c>
      <c r="L3144" s="18">
        <v>1</v>
      </c>
      <c r="M3144" s="18">
        <v>1</v>
      </c>
    </row>
    <row r="3145" spans="1:13">
      <c r="A3145" s="6">
        <v>43517</v>
      </c>
      <c r="B3145" s="7">
        <v>0.51180555555555551</v>
      </c>
      <c r="C3145" s="18" t="str">
        <f>"FES1162674559"</f>
        <v>FES1162674559</v>
      </c>
      <c r="D3145" s="18" t="s">
        <v>18</v>
      </c>
      <c r="E3145" s="18" t="s">
        <v>374</v>
      </c>
      <c r="F3145" s="18" t="str">
        <f>"2170675626 "</f>
        <v xml:space="preserve">2170675626 </v>
      </c>
      <c r="G3145" s="18" t="str">
        <f t="shared" si="89"/>
        <v>ON1</v>
      </c>
      <c r="H3145" s="18" t="s">
        <v>20</v>
      </c>
      <c r="I3145" s="18" t="s">
        <v>130</v>
      </c>
      <c r="J3145" s="18" t="str">
        <f>""</f>
        <v/>
      </c>
      <c r="K3145" s="18" t="str">
        <f>"PFES1162674559_0001"</f>
        <v>PFES1162674559_0001</v>
      </c>
      <c r="L3145" s="18">
        <v>1</v>
      </c>
      <c r="M3145" s="18">
        <v>1</v>
      </c>
    </row>
    <row r="3146" spans="1:13">
      <c r="A3146" s="6">
        <v>43517</v>
      </c>
      <c r="B3146" s="7">
        <v>0.49444444444444446</v>
      </c>
      <c r="C3146" s="18" t="str">
        <f>"FES1162674497"</f>
        <v>FES1162674497</v>
      </c>
      <c r="D3146" s="18" t="s">
        <v>18</v>
      </c>
      <c r="E3146" s="18" t="s">
        <v>214</v>
      </c>
      <c r="F3146" s="18" t="str">
        <f>"2170675556 "</f>
        <v xml:space="preserve">2170675556 </v>
      </c>
      <c r="G3146" s="18" t="str">
        <f t="shared" si="89"/>
        <v>ON1</v>
      </c>
      <c r="H3146" s="18" t="s">
        <v>20</v>
      </c>
      <c r="I3146" s="18" t="s">
        <v>215</v>
      </c>
      <c r="J3146" s="18" t="str">
        <f>""</f>
        <v/>
      </c>
      <c r="K3146" s="18" t="str">
        <f>"PFES1162674497_0001"</f>
        <v>PFES1162674497_0001</v>
      </c>
      <c r="L3146" s="18">
        <v>1</v>
      </c>
      <c r="M3146" s="18">
        <v>6</v>
      </c>
    </row>
    <row r="3147" spans="1:13">
      <c r="A3147" s="6">
        <v>43517</v>
      </c>
      <c r="B3147" s="7">
        <v>0.49305555555555558</v>
      </c>
      <c r="C3147" s="18" t="str">
        <f>"FES1162674530"</f>
        <v>FES1162674530</v>
      </c>
      <c r="D3147" s="18" t="s">
        <v>18</v>
      </c>
      <c r="E3147" s="18" t="s">
        <v>1106</v>
      </c>
      <c r="F3147" s="18" t="str">
        <f>"2170675602 "</f>
        <v xml:space="preserve">2170675602 </v>
      </c>
      <c r="G3147" s="18" t="str">
        <f t="shared" si="89"/>
        <v>ON1</v>
      </c>
      <c r="H3147" s="18" t="s">
        <v>20</v>
      </c>
      <c r="I3147" s="18" t="s">
        <v>1107</v>
      </c>
      <c r="J3147" s="18" t="str">
        <f>""</f>
        <v/>
      </c>
      <c r="K3147" s="18" t="str">
        <f>"PFES1162674530_0001"</f>
        <v>PFES1162674530_0001</v>
      </c>
      <c r="L3147" s="18">
        <v>1</v>
      </c>
      <c r="M3147" s="18">
        <v>8</v>
      </c>
    </row>
    <row r="3148" spans="1:13">
      <c r="A3148" s="6">
        <v>43517</v>
      </c>
      <c r="B3148" s="7">
        <v>0.49236111111111108</v>
      </c>
      <c r="C3148" s="18" t="str">
        <f>"FES1162674509"</f>
        <v>FES1162674509</v>
      </c>
      <c r="D3148" s="18" t="s">
        <v>18</v>
      </c>
      <c r="E3148" s="18" t="s">
        <v>955</v>
      </c>
      <c r="F3148" s="18" t="str">
        <f>"2170675564 "</f>
        <v xml:space="preserve">2170675564 </v>
      </c>
      <c r="G3148" s="18" t="str">
        <f t="shared" si="89"/>
        <v>ON1</v>
      </c>
      <c r="H3148" s="18" t="s">
        <v>20</v>
      </c>
      <c r="I3148" s="18" t="s">
        <v>810</v>
      </c>
      <c r="J3148" s="18" t="str">
        <f>""</f>
        <v/>
      </c>
      <c r="K3148" s="18" t="str">
        <f>"PFES1162674509_0001"</f>
        <v>PFES1162674509_0001</v>
      </c>
      <c r="L3148" s="18">
        <v>1</v>
      </c>
      <c r="M3148" s="18">
        <v>3</v>
      </c>
    </row>
    <row r="3149" spans="1:13">
      <c r="A3149" s="6">
        <v>43517</v>
      </c>
      <c r="B3149" s="7">
        <v>0.49027777777777781</v>
      </c>
      <c r="C3149" s="18" t="str">
        <f>"FES1162674500"</f>
        <v>FES1162674500</v>
      </c>
      <c r="D3149" s="18" t="s">
        <v>18</v>
      </c>
      <c r="E3149" s="18" t="s">
        <v>1046</v>
      </c>
      <c r="F3149" s="18" t="str">
        <f>"2170675048 "</f>
        <v xml:space="preserve">2170675048 </v>
      </c>
      <c r="G3149" s="18" t="str">
        <f t="shared" si="89"/>
        <v>ON1</v>
      </c>
      <c r="H3149" s="18" t="s">
        <v>20</v>
      </c>
      <c r="I3149" s="18" t="s">
        <v>341</v>
      </c>
      <c r="J3149" s="18" t="str">
        <f>""</f>
        <v/>
      </c>
      <c r="K3149" s="18" t="str">
        <f>"PFES1162674500_0001"</f>
        <v>PFES1162674500_0001</v>
      </c>
      <c r="L3149" s="18">
        <v>1</v>
      </c>
      <c r="M3149" s="18">
        <v>6</v>
      </c>
    </row>
    <row r="3150" spans="1:13">
      <c r="A3150" s="6">
        <v>43517</v>
      </c>
      <c r="B3150" s="7">
        <v>0.48888888888888887</v>
      </c>
      <c r="C3150" s="18" t="str">
        <f>"FES1162674493"</f>
        <v>FES1162674493</v>
      </c>
      <c r="D3150" s="18" t="s">
        <v>18</v>
      </c>
      <c r="E3150" s="18" t="s">
        <v>168</v>
      </c>
      <c r="F3150" s="18" t="str">
        <f>"2170675544 "</f>
        <v xml:space="preserve">2170675544 </v>
      </c>
      <c r="G3150" s="18" t="str">
        <f t="shared" si="89"/>
        <v>ON1</v>
      </c>
      <c r="H3150" s="18" t="s">
        <v>20</v>
      </c>
      <c r="I3150" s="18" t="s">
        <v>63</v>
      </c>
      <c r="J3150" s="18" t="str">
        <f>""</f>
        <v/>
      </c>
      <c r="K3150" s="18" t="str">
        <f>"PFES1162674493_0001"</f>
        <v>PFES1162674493_0001</v>
      </c>
      <c r="L3150" s="18">
        <v>1</v>
      </c>
      <c r="M3150" s="18">
        <v>7</v>
      </c>
    </row>
    <row r="3151" spans="1:13">
      <c r="A3151" s="6">
        <v>43517</v>
      </c>
      <c r="B3151" s="7">
        <v>0.48888888888888887</v>
      </c>
      <c r="C3151" s="18" t="str">
        <f>"FES1162674451"</f>
        <v>FES1162674451</v>
      </c>
      <c r="D3151" s="18" t="s">
        <v>18</v>
      </c>
      <c r="E3151" s="18" t="s">
        <v>298</v>
      </c>
      <c r="F3151" s="18" t="str">
        <f>"2170675461 "</f>
        <v xml:space="preserve">2170675461 </v>
      </c>
      <c r="G3151" s="18" t="str">
        <f t="shared" si="89"/>
        <v>ON1</v>
      </c>
      <c r="H3151" s="18" t="s">
        <v>20</v>
      </c>
      <c r="I3151" s="18" t="s">
        <v>93</v>
      </c>
      <c r="J3151" s="18" t="str">
        <f>""</f>
        <v/>
      </c>
      <c r="K3151" s="18" t="str">
        <f>"PFES1162674451_0001"</f>
        <v>PFES1162674451_0001</v>
      </c>
      <c r="L3151" s="18">
        <v>1</v>
      </c>
      <c r="M3151" s="18">
        <v>1</v>
      </c>
    </row>
    <row r="3152" spans="1:13">
      <c r="A3152" s="6">
        <v>43517</v>
      </c>
      <c r="B3152" s="7">
        <v>0.48819444444444443</v>
      </c>
      <c r="C3152" s="18" t="str">
        <f>"FES1162674457"</f>
        <v>FES1162674457</v>
      </c>
      <c r="D3152" s="18" t="s">
        <v>18</v>
      </c>
      <c r="E3152" s="18" t="s">
        <v>936</v>
      </c>
      <c r="F3152" s="18" t="str">
        <f>"2170675503 "</f>
        <v xml:space="preserve">2170675503 </v>
      </c>
      <c r="G3152" s="18" t="str">
        <f t="shared" si="89"/>
        <v>ON1</v>
      </c>
      <c r="H3152" s="18" t="s">
        <v>20</v>
      </c>
      <c r="I3152" s="18" t="s">
        <v>937</v>
      </c>
      <c r="J3152" s="18" t="str">
        <f>""</f>
        <v/>
      </c>
      <c r="K3152" s="18" t="str">
        <f>"PFES1162674457_0001"</f>
        <v>PFES1162674457_0001</v>
      </c>
      <c r="L3152" s="18">
        <v>1</v>
      </c>
      <c r="M3152" s="18">
        <v>1</v>
      </c>
    </row>
    <row r="3153" spans="1:13">
      <c r="A3153" s="6">
        <v>43517</v>
      </c>
      <c r="B3153" s="7">
        <v>0.48819444444444443</v>
      </c>
      <c r="C3153" s="18" t="str">
        <f>"FES1162674480"</f>
        <v>FES1162674480</v>
      </c>
      <c r="D3153" s="18" t="s">
        <v>18</v>
      </c>
      <c r="E3153" s="18" t="s">
        <v>361</v>
      </c>
      <c r="F3153" s="18" t="str">
        <f>"2170674719 "</f>
        <v xml:space="preserve">2170674719 </v>
      </c>
      <c r="G3153" s="18" t="str">
        <f t="shared" si="89"/>
        <v>ON1</v>
      </c>
      <c r="H3153" s="18" t="s">
        <v>20</v>
      </c>
      <c r="I3153" s="18" t="s">
        <v>362</v>
      </c>
      <c r="J3153" s="18" t="str">
        <f>""</f>
        <v/>
      </c>
      <c r="K3153" s="18" t="str">
        <f>"PFES1162674480_0001"</f>
        <v>PFES1162674480_0001</v>
      </c>
      <c r="L3153" s="18">
        <v>1</v>
      </c>
      <c r="M3153" s="18">
        <v>1</v>
      </c>
    </row>
    <row r="3154" spans="1:13">
      <c r="A3154" s="6">
        <v>43517</v>
      </c>
      <c r="B3154" s="7">
        <v>0.48749999999999999</v>
      </c>
      <c r="C3154" s="18" t="str">
        <f>"FES1162674048"</f>
        <v>FES1162674048</v>
      </c>
      <c r="D3154" s="18" t="s">
        <v>18</v>
      </c>
      <c r="E3154" s="18" t="s">
        <v>264</v>
      </c>
      <c r="F3154" s="18" t="str">
        <f>"2170674221 "</f>
        <v xml:space="preserve">2170674221 </v>
      </c>
      <c r="G3154" s="18" t="str">
        <f t="shared" si="89"/>
        <v>ON1</v>
      </c>
      <c r="H3154" s="18" t="s">
        <v>20</v>
      </c>
      <c r="I3154" s="18" t="s">
        <v>265</v>
      </c>
      <c r="J3154" s="18" t="str">
        <f>""</f>
        <v/>
      </c>
      <c r="K3154" s="18" t="str">
        <f>"PFES1162674048_0001"</f>
        <v>PFES1162674048_0001</v>
      </c>
      <c r="L3154" s="18">
        <v>1</v>
      </c>
      <c r="M3154" s="18">
        <v>1</v>
      </c>
    </row>
    <row r="3155" spans="1:13">
      <c r="A3155" s="6">
        <v>43517</v>
      </c>
      <c r="B3155" s="7">
        <v>0.48680555555555555</v>
      </c>
      <c r="C3155" s="18" t="str">
        <f>"FES1162674472"</f>
        <v>FES1162674472</v>
      </c>
      <c r="D3155" s="18" t="s">
        <v>18</v>
      </c>
      <c r="E3155" s="18" t="s">
        <v>205</v>
      </c>
      <c r="F3155" s="18" t="str">
        <f>"2170675520 "</f>
        <v xml:space="preserve">2170675520 </v>
      </c>
      <c r="G3155" s="18" t="str">
        <f t="shared" si="89"/>
        <v>ON1</v>
      </c>
      <c r="H3155" s="18" t="s">
        <v>20</v>
      </c>
      <c r="I3155" s="18" t="s">
        <v>149</v>
      </c>
      <c r="J3155" s="18" t="str">
        <f>""</f>
        <v/>
      </c>
      <c r="K3155" s="18" t="str">
        <f>"PFES1162674472_0001"</f>
        <v>PFES1162674472_0001</v>
      </c>
      <c r="L3155" s="18">
        <v>1</v>
      </c>
      <c r="M3155" s="18">
        <v>1</v>
      </c>
    </row>
    <row r="3156" spans="1:13">
      <c r="A3156" s="6">
        <v>43517</v>
      </c>
      <c r="B3156" s="7">
        <v>0.48680555555555555</v>
      </c>
      <c r="C3156" s="18" t="str">
        <f>"FES1162674495"</f>
        <v>FES1162674495</v>
      </c>
      <c r="D3156" s="18" t="s">
        <v>18</v>
      </c>
      <c r="E3156" s="18" t="s">
        <v>1071</v>
      </c>
      <c r="F3156" s="18" t="str">
        <f>"2170675548 "</f>
        <v xml:space="preserve">2170675548 </v>
      </c>
      <c r="G3156" s="18" t="str">
        <f t="shared" si="89"/>
        <v>ON1</v>
      </c>
      <c r="H3156" s="18" t="s">
        <v>20</v>
      </c>
      <c r="I3156" s="18" t="s">
        <v>139</v>
      </c>
      <c r="J3156" s="18" t="str">
        <f>""</f>
        <v/>
      </c>
      <c r="K3156" s="18" t="str">
        <f>"PFES1162674495_0001"</f>
        <v>PFES1162674495_0001</v>
      </c>
      <c r="L3156" s="18">
        <v>1</v>
      </c>
      <c r="M3156" s="18">
        <v>6</v>
      </c>
    </row>
    <row r="3157" spans="1:13">
      <c r="A3157" s="6">
        <v>43517</v>
      </c>
      <c r="B3157" s="7">
        <v>0.48680555555555555</v>
      </c>
      <c r="C3157" s="18" t="str">
        <f>"FES1162674447"</f>
        <v>FES1162674447</v>
      </c>
      <c r="D3157" s="18" t="s">
        <v>18</v>
      </c>
      <c r="E3157" s="18" t="s">
        <v>644</v>
      </c>
      <c r="F3157" s="18" t="str">
        <f>"2170675324 "</f>
        <v xml:space="preserve">2170675324 </v>
      </c>
      <c r="G3157" s="18" t="str">
        <f t="shared" si="89"/>
        <v>ON1</v>
      </c>
      <c r="H3157" s="18" t="s">
        <v>20</v>
      </c>
      <c r="I3157" s="18" t="s">
        <v>435</v>
      </c>
      <c r="J3157" s="18" t="str">
        <f>""</f>
        <v/>
      </c>
      <c r="K3157" s="18" t="str">
        <f>"PFES1162674447_0001"</f>
        <v>PFES1162674447_0001</v>
      </c>
      <c r="L3157" s="18">
        <v>1</v>
      </c>
      <c r="M3157" s="18">
        <v>1</v>
      </c>
    </row>
    <row r="3158" spans="1:13">
      <c r="A3158" s="6">
        <v>43517</v>
      </c>
      <c r="B3158" s="7">
        <v>0.4861111111111111</v>
      </c>
      <c r="C3158" s="18" t="str">
        <f>"FES1162674498"</f>
        <v>FES1162674498</v>
      </c>
      <c r="D3158" s="18" t="s">
        <v>18</v>
      </c>
      <c r="E3158" s="18" t="s">
        <v>138</v>
      </c>
      <c r="F3158" s="18" t="str">
        <f>"2170675557 "</f>
        <v xml:space="preserve">2170675557 </v>
      </c>
      <c r="G3158" s="18" t="str">
        <f t="shared" si="89"/>
        <v>ON1</v>
      </c>
      <c r="H3158" s="18" t="s">
        <v>20</v>
      </c>
      <c r="I3158" s="18" t="s">
        <v>139</v>
      </c>
      <c r="J3158" s="18" t="str">
        <f>""</f>
        <v/>
      </c>
      <c r="K3158" s="18" t="str">
        <f>"PFES1162674498_0001"</f>
        <v>PFES1162674498_0001</v>
      </c>
      <c r="L3158" s="18">
        <v>1</v>
      </c>
      <c r="M3158" s="18">
        <v>1</v>
      </c>
    </row>
    <row r="3159" spans="1:13">
      <c r="A3159" s="6">
        <v>43517</v>
      </c>
      <c r="B3159" s="7">
        <v>0.4861111111111111</v>
      </c>
      <c r="C3159" s="18" t="str">
        <f>"FES1162674444"</f>
        <v>FES1162674444</v>
      </c>
      <c r="D3159" s="18" t="s">
        <v>18</v>
      </c>
      <c r="E3159" s="18" t="s">
        <v>214</v>
      </c>
      <c r="F3159" s="18" t="str">
        <f>"2170674552 "</f>
        <v xml:space="preserve">2170674552 </v>
      </c>
      <c r="G3159" s="18" t="str">
        <f t="shared" si="89"/>
        <v>ON1</v>
      </c>
      <c r="H3159" s="18" t="s">
        <v>20</v>
      </c>
      <c r="I3159" s="18" t="s">
        <v>215</v>
      </c>
      <c r="J3159" s="18" t="str">
        <f>""</f>
        <v/>
      </c>
      <c r="K3159" s="18" t="str">
        <f>"PFES1162674444_0001"</f>
        <v>PFES1162674444_0001</v>
      </c>
      <c r="L3159" s="18">
        <v>1</v>
      </c>
      <c r="M3159" s="18">
        <v>1</v>
      </c>
    </row>
    <row r="3160" spans="1:13">
      <c r="A3160" s="6">
        <v>43517</v>
      </c>
      <c r="B3160" s="7">
        <v>0.48541666666666666</v>
      </c>
      <c r="C3160" s="18" t="str">
        <f>"FES1162673906"</f>
        <v>FES1162673906</v>
      </c>
      <c r="D3160" s="18" t="s">
        <v>18</v>
      </c>
      <c r="E3160" s="18" t="s">
        <v>365</v>
      </c>
      <c r="F3160" s="18" t="str">
        <f>"2170674990 "</f>
        <v xml:space="preserve">2170674990 </v>
      </c>
      <c r="G3160" s="18" t="str">
        <f t="shared" si="89"/>
        <v>ON1</v>
      </c>
      <c r="H3160" s="18" t="s">
        <v>20</v>
      </c>
      <c r="I3160" s="18" t="s">
        <v>139</v>
      </c>
      <c r="J3160" s="18" t="str">
        <f>""</f>
        <v/>
      </c>
      <c r="K3160" s="18" t="str">
        <f>"PFES1162673906_0001"</f>
        <v>PFES1162673906_0001</v>
      </c>
      <c r="L3160" s="18">
        <v>1</v>
      </c>
      <c r="M3160" s="18">
        <v>1</v>
      </c>
    </row>
    <row r="3161" spans="1:13">
      <c r="A3161" s="6">
        <v>43517</v>
      </c>
      <c r="B3161" s="7">
        <v>0.48541666666666666</v>
      </c>
      <c r="C3161" s="18" t="str">
        <f>"FES1162674496"</f>
        <v>FES1162674496</v>
      </c>
      <c r="D3161" s="18" t="s">
        <v>18</v>
      </c>
      <c r="E3161" s="18" t="s">
        <v>168</v>
      </c>
      <c r="F3161" s="18" t="str">
        <f>"2170675549 "</f>
        <v xml:space="preserve">2170675549 </v>
      </c>
      <c r="G3161" s="18" t="str">
        <f t="shared" si="89"/>
        <v>ON1</v>
      </c>
      <c r="H3161" s="18" t="s">
        <v>20</v>
      </c>
      <c r="I3161" s="18" t="s">
        <v>63</v>
      </c>
      <c r="J3161" s="18" t="str">
        <f>""</f>
        <v/>
      </c>
      <c r="K3161" s="18" t="str">
        <f>"PFES1162674496_0001"</f>
        <v>PFES1162674496_0001</v>
      </c>
      <c r="L3161" s="18">
        <v>1</v>
      </c>
      <c r="M3161" s="18">
        <v>4</v>
      </c>
    </row>
    <row r="3162" spans="1:13">
      <c r="A3162" s="6">
        <v>43517</v>
      </c>
      <c r="B3162" s="7">
        <v>0.48402777777777778</v>
      </c>
      <c r="C3162" s="18" t="str">
        <f>"FES1162674453"</f>
        <v>FES1162674453</v>
      </c>
      <c r="D3162" s="18" t="s">
        <v>18</v>
      </c>
      <c r="E3162" s="18" t="s">
        <v>47</v>
      </c>
      <c r="F3162" s="18" t="str">
        <f>"2170675499 "</f>
        <v xml:space="preserve">2170675499 </v>
      </c>
      <c r="G3162" s="18" t="str">
        <f t="shared" si="89"/>
        <v>ON1</v>
      </c>
      <c r="H3162" s="18" t="s">
        <v>20</v>
      </c>
      <c r="I3162" s="18" t="s">
        <v>48</v>
      </c>
      <c r="J3162" s="18" t="str">
        <f>""</f>
        <v/>
      </c>
      <c r="K3162" s="18" t="str">
        <f>"PFES1162674453_0001"</f>
        <v>PFES1162674453_0001</v>
      </c>
      <c r="L3162" s="18">
        <v>1</v>
      </c>
      <c r="M3162" s="18">
        <v>1</v>
      </c>
    </row>
    <row r="3163" spans="1:13">
      <c r="A3163" s="6">
        <v>43517</v>
      </c>
      <c r="B3163" s="7">
        <v>0.48402777777777778</v>
      </c>
      <c r="C3163" s="18" t="str">
        <f>"FES1162674418"</f>
        <v>FES1162674418</v>
      </c>
      <c r="D3163" s="18" t="s">
        <v>18</v>
      </c>
      <c r="E3163" s="18" t="s">
        <v>1108</v>
      </c>
      <c r="F3163" s="18" t="str">
        <f>"2170673236 "</f>
        <v xml:space="preserve">2170673236 </v>
      </c>
      <c r="G3163" s="18" t="str">
        <f t="shared" si="89"/>
        <v>ON1</v>
      </c>
      <c r="H3163" s="18" t="s">
        <v>20</v>
      </c>
      <c r="I3163" s="18" t="s">
        <v>260</v>
      </c>
      <c r="J3163" s="18" t="str">
        <f>""</f>
        <v/>
      </c>
      <c r="K3163" s="18" t="str">
        <f>"PFES1162674418_0001"</f>
        <v>PFES1162674418_0001</v>
      </c>
      <c r="L3163" s="18">
        <v>1</v>
      </c>
      <c r="M3163" s="18">
        <v>1</v>
      </c>
    </row>
    <row r="3164" spans="1:13">
      <c r="A3164" s="6">
        <v>43517</v>
      </c>
      <c r="B3164" s="7">
        <v>0.48333333333333334</v>
      </c>
      <c r="C3164" s="18" t="str">
        <f>"FES1162674476"</f>
        <v>FES1162674476</v>
      </c>
      <c r="D3164" s="18" t="s">
        <v>18</v>
      </c>
      <c r="E3164" s="18" t="s">
        <v>298</v>
      </c>
      <c r="F3164" s="18" t="str">
        <f>"2170675524 "</f>
        <v xml:space="preserve">2170675524 </v>
      </c>
      <c r="G3164" s="18" t="str">
        <f t="shared" si="89"/>
        <v>ON1</v>
      </c>
      <c r="H3164" s="18" t="s">
        <v>20</v>
      </c>
      <c r="I3164" s="18" t="s">
        <v>93</v>
      </c>
      <c r="J3164" s="18" t="str">
        <f>""</f>
        <v/>
      </c>
      <c r="K3164" s="18" t="str">
        <f>"PFES1162674476_0001"</f>
        <v>PFES1162674476_0001</v>
      </c>
      <c r="L3164" s="18">
        <v>1</v>
      </c>
      <c r="M3164" s="18">
        <v>1</v>
      </c>
    </row>
    <row r="3165" spans="1:13">
      <c r="A3165" s="6">
        <v>43517</v>
      </c>
      <c r="B3165" s="7">
        <v>0.4826388888888889</v>
      </c>
      <c r="C3165" s="18" t="str">
        <f>"009935791982"</f>
        <v>009935791982</v>
      </c>
      <c r="D3165" s="18" t="s">
        <v>18</v>
      </c>
      <c r="E3165" s="18" t="s">
        <v>98</v>
      </c>
      <c r="F3165" s="18" t="str">
        <f>"2170674277 "</f>
        <v xml:space="preserve">2170674277 </v>
      </c>
      <c r="G3165" s="18" t="str">
        <f t="shared" si="89"/>
        <v>ON1</v>
      </c>
      <c r="H3165" s="18" t="s">
        <v>20</v>
      </c>
      <c r="I3165" s="18" t="s">
        <v>99</v>
      </c>
      <c r="J3165" s="18" t="str">
        <f>""</f>
        <v/>
      </c>
      <c r="K3165" s="18" t="str">
        <f>"P009935791982_0001"</f>
        <v>P009935791982_0001</v>
      </c>
      <c r="L3165" s="18">
        <v>1</v>
      </c>
      <c r="M3165" s="18">
        <v>1</v>
      </c>
    </row>
    <row r="3166" spans="1:13">
      <c r="A3166" s="6">
        <v>43517</v>
      </c>
      <c r="B3166" s="7">
        <v>0.48194444444444445</v>
      </c>
      <c r="C3166" s="18" t="str">
        <f>"009935791851"</f>
        <v>009935791851</v>
      </c>
      <c r="D3166" s="18" t="s">
        <v>18</v>
      </c>
      <c r="E3166" s="18" t="s">
        <v>129</v>
      </c>
      <c r="F3166" s="18" t="str">
        <f>"1162672426 "</f>
        <v xml:space="preserve">1162672426 </v>
      </c>
      <c r="G3166" s="18" t="str">
        <f t="shared" si="89"/>
        <v>ON1</v>
      </c>
      <c r="H3166" s="18" t="s">
        <v>20</v>
      </c>
      <c r="I3166" s="18" t="s">
        <v>130</v>
      </c>
      <c r="J3166" s="18" t="str">
        <f>""</f>
        <v/>
      </c>
      <c r="K3166" s="18" t="str">
        <f>"P009935791851_0001"</f>
        <v>P009935791851_0001</v>
      </c>
      <c r="L3166" s="18">
        <v>1</v>
      </c>
      <c r="M3166" s="18">
        <v>1</v>
      </c>
    </row>
    <row r="3167" spans="1:13">
      <c r="A3167" s="6">
        <v>43517</v>
      </c>
      <c r="B3167" s="7">
        <v>0.47500000000000003</v>
      </c>
      <c r="C3167" s="18" t="str">
        <f>"FES1162674483"</f>
        <v>FES1162674483</v>
      </c>
      <c r="D3167" s="18" t="s">
        <v>18</v>
      </c>
      <c r="E3167" s="18" t="s">
        <v>229</v>
      </c>
      <c r="F3167" s="18" t="str">
        <f>"2170675531 "</f>
        <v xml:space="preserve">2170675531 </v>
      </c>
      <c r="G3167" s="18" t="str">
        <f t="shared" si="89"/>
        <v>ON1</v>
      </c>
      <c r="H3167" s="18" t="s">
        <v>20</v>
      </c>
      <c r="I3167" s="18" t="s">
        <v>111</v>
      </c>
      <c r="J3167" s="18" t="str">
        <f>""</f>
        <v/>
      </c>
      <c r="K3167" s="18" t="str">
        <f>"PFES1162674483_0001"</f>
        <v>PFES1162674483_0001</v>
      </c>
      <c r="L3167" s="18">
        <v>1</v>
      </c>
      <c r="M3167" s="18">
        <v>1</v>
      </c>
    </row>
    <row r="3168" spans="1:13">
      <c r="A3168" s="6">
        <v>43517</v>
      </c>
      <c r="B3168" s="7">
        <v>0.47430555555555554</v>
      </c>
      <c r="C3168" s="18" t="str">
        <f>"FES1162674468"</f>
        <v>FES1162674468</v>
      </c>
      <c r="D3168" s="18" t="s">
        <v>18</v>
      </c>
      <c r="E3168" s="18" t="s">
        <v>328</v>
      </c>
      <c r="F3168" s="18" t="str">
        <f>"2170675515 "</f>
        <v xml:space="preserve">2170675515 </v>
      </c>
      <c r="G3168" s="18" t="str">
        <f t="shared" si="89"/>
        <v>ON1</v>
      </c>
      <c r="H3168" s="18" t="s">
        <v>20</v>
      </c>
      <c r="I3168" s="18" t="s">
        <v>29</v>
      </c>
      <c r="J3168" s="18" t="str">
        <f>""</f>
        <v/>
      </c>
      <c r="K3168" s="18" t="str">
        <f>"PFES1162674468_0001"</f>
        <v>PFES1162674468_0001</v>
      </c>
      <c r="L3168" s="18">
        <v>1</v>
      </c>
      <c r="M3168" s="18">
        <v>1</v>
      </c>
    </row>
    <row r="3169" spans="1:13">
      <c r="A3169" s="6">
        <v>43517</v>
      </c>
      <c r="B3169" s="7">
        <v>0.47430555555555554</v>
      </c>
      <c r="C3169" s="18" t="str">
        <f>"FES1162674466"</f>
        <v>FES1162674466</v>
      </c>
      <c r="D3169" s="18" t="s">
        <v>18</v>
      </c>
      <c r="E3169" s="18" t="s">
        <v>235</v>
      </c>
      <c r="F3169" s="18" t="str">
        <f>"2170675512 "</f>
        <v xml:space="preserve">2170675512 </v>
      </c>
      <c r="G3169" s="18" t="str">
        <f t="shared" si="89"/>
        <v>ON1</v>
      </c>
      <c r="H3169" s="18" t="s">
        <v>20</v>
      </c>
      <c r="I3169" s="18" t="s">
        <v>143</v>
      </c>
      <c r="J3169" s="18" t="str">
        <f>""</f>
        <v/>
      </c>
      <c r="K3169" s="18" t="str">
        <f>"PFES1162674466_0001"</f>
        <v>PFES1162674466_0001</v>
      </c>
      <c r="L3169" s="18">
        <v>1</v>
      </c>
      <c r="M3169" s="18">
        <v>1</v>
      </c>
    </row>
    <row r="3170" spans="1:13">
      <c r="A3170" s="6">
        <v>43517</v>
      </c>
      <c r="B3170" s="7">
        <v>0.47361111111111115</v>
      </c>
      <c r="C3170" s="18" t="str">
        <f>"FES1162674440"</f>
        <v>FES1162674440</v>
      </c>
      <c r="D3170" s="18" t="s">
        <v>18</v>
      </c>
      <c r="E3170" s="18" t="s">
        <v>482</v>
      </c>
      <c r="F3170" s="18" t="str">
        <f>"2170673948 "</f>
        <v xml:space="preserve">2170673948 </v>
      </c>
      <c r="G3170" s="18" t="str">
        <f t="shared" si="89"/>
        <v>ON1</v>
      </c>
      <c r="H3170" s="18" t="s">
        <v>20</v>
      </c>
      <c r="I3170" s="18" t="s">
        <v>272</v>
      </c>
      <c r="J3170" s="18" t="str">
        <f>""</f>
        <v/>
      </c>
      <c r="K3170" s="18" t="str">
        <f>"PFES1162674440_0001"</f>
        <v>PFES1162674440_0001</v>
      </c>
      <c r="L3170" s="18">
        <v>1</v>
      </c>
      <c r="M3170" s="18">
        <v>1</v>
      </c>
    </row>
    <row r="3171" spans="1:13">
      <c r="A3171" s="6">
        <v>43517</v>
      </c>
      <c r="B3171" s="7">
        <v>0.47361111111111115</v>
      </c>
      <c r="C3171" s="18" t="str">
        <f>"FES1162674471"</f>
        <v>FES1162674471</v>
      </c>
      <c r="D3171" s="18" t="s">
        <v>18</v>
      </c>
      <c r="E3171" s="18" t="s">
        <v>19</v>
      </c>
      <c r="F3171" s="18" t="str">
        <f>"2170675519 "</f>
        <v xml:space="preserve">2170675519 </v>
      </c>
      <c r="G3171" s="18" t="str">
        <f t="shared" si="89"/>
        <v>ON1</v>
      </c>
      <c r="H3171" s="18" t="s">
        <v>20</v>
      </c>
      <c r="I3171" s="18" t="s">
        <v>21</v>
      </c>
      <c r="J3171" s="18" t="str">
        <f>""</f>
        <v/>
      </c>
      <c r="K3171" s="18" t="str">
        <f>"PFES1162674471_0001"</f>
        <v>PFES1162674471_0001</v>
      </c>
      <c r="L3171" s="18">
        <v>1</v>
      </c>
      <c r="M3171" s="18">
        <v>1</v>
      </c>
    </row>
    <row r="3172" spans="1:13">
      <c r="A3172" s="6">
        <v>43517</v>
      </c>
      <c r="B3172" s="7">
        <v>0.47361111111111115</v>
      </c>
      <c r="C3172" s="18" t="str">
        <f>"FES1162674433"</f>
        <v>FES1162674433</v>
      </c>
      <c r="D3172" s="18" t="s">
        <v>18</v>
      </c>
      <c r="E3172" s="18" t="s">
        <v>116</v>
      </c>
      <c r="F3172" s="18" t="str">
        <f>"2170675153 "</f>
        <v xml:space="preserve">2170675153 </v>
      </c>
      <c r="G3172" s="18" t="str">
        <f t="shared" si="89"/>
        <v>ON1</v>
      </c>
      <c r="H3172" s="18" t="s">
        <v>20</v>
      </c>
      <c r="I3172" s="18" t="s">
        <v>117</v>
      </c>
      <c r="J3172" s="18" t="str">
        <f>""</f>
        <v/>
      </c>
      <c r="K3172" s="18" t="str">
        <f>"PFES1162674433_0001"</f>
        <v>PFES1162674433_0001</v>
      </c>
      <c r="L3172" s="18">
        <v>1</v>
      </c>
      <c r="M3172" s="18">
        <v>14</v>
      </c>
    </row>
    <row r="3173" spans="1:13">
      <c r="A3173" s="6">
        <v>43517</v>
      </c>
      <c r="B3173" s="7">
        <v>0.47291666666666665</v>
      </c>
      <c r="C3173" s="18" t="str">
        <f>"FES1162674474"</f>
        <v>FES1162674474</v>
      </c>
      <c r="D3173" s="18" t="s">
        <v>18</v>
      </c>
      <c r="E3173" s="18" t="s">
        <v>844</v>
      </c>
      <c r="F3173" s="18" t="str">
        <f>"2170675324 "</f>
        <v xml:space="preserve">2170675324 </v>
      </c>
      <c r="G3173" s="18" t="str">
        <f t="shared" si="89"/>
        <v>ON1</v>
      </c>
      <c r="H3173" s="18" t="s">
        <v>20</v>
      </c>
      <c r="I3173" s="18" t="s">
        <v>845</v>
      </c>
      <c r="J3173" s="18" t="str">
        <f>""</f>
        <v/>
      </c>
      <c r="K3173" s="18" t="str">
        <f>"PFES1162674474_0001"</f>
        <v>PFES1162674474_0001</v>
      </c>
      <c r="L3173" s="18">
        <v>1</v>
      </c>
      <c r="M3173" s="18">
        <v>1</v>
      </c>
    </row>
    <row r="3174" spans="1:13">
      <c r="A3174" s="6">
        <v>43517</v>
      </c>
      <c r="B3174" s="7">
        <v>0.47291666666666665</v>
      </c>
      <c r="C3174" s="18" t="str">
        <f>"FES1162674456"</f>
        <v>FES1162674456</v>
      </c>
      <c r="D3174" s="18" t="s">
        <v>18</v>
      </c>
      <c r="E3174" s="18" t="s">
        <v>178</v>
      </c>
      <c r="F3174" s="18" t="str">
        <f>"2170675502 "</f>
        <v xml:space="preserve">2170675502 </v>
      </c>
      <c r="G3174" s="18" t="str">
        <f t="shared" si="89"/>
        <v>ON1</v>
      </c>
      <c r="H3174" s="18" t="s">
        <v>20</v>
      </c>
      <c r="I3174" s="18" t="s">
        <v>390</v>
      </c>
      <c r="J3174" s="18" t="str">
        <f>""</f>
        <v/>
      </c>
      <c r="K3174" s="18" t="str">
        <f>"PFES1162674456_0001"</f>
        <v>PFES1162674456_0001</v>
      </c>
      <c r="L3174" s="18">
        <v>1</v>
      </c>
      <c r="M3174" s="18">
        <v>1</v>
      </c>
    </row>
    <row r="3175" spans="1:13">
      <c r="A3175" s="6">
        <v>43517</v>
      </c>
      <c r="B3175" s="7">
        <v>0.47222222222222227</v>
      </c>
      <c r="C3175" s="18" t="str">
        <f>"FES1162674446"</f>
        <v>FES1162674446</v>
      </c>
      <c r="D3175" s="18" t="s">
        <v>18</v>
      </c>
      <c r="E3175" s="18" t="s">
        <v>19</v>
      </c>
      <c r="F3175" s="18" t="str">
        <f>"2170674783 "</f>
        <v xml:space="preserve">2170674783 </v>
      </c>
      <c r="G3175" s="18" t="str">
        <f t="shared" ref="G3175:G3197" si="90">"ON1"</f>
        <v>ON1</v>
      </c>
      <c r="H3175" s="18" t="s">
        <v>20</v>
      </c>
      <c r="I3175" s="18" t="s">
        <v>21</v>
      </c>
      <c r="J3175" s="18" t="str">
        <f>""</f>
        <v/>
      </c>
      <c r="K3175" s="18" t="str">
        <f>"PFES1162674446_0001"</f>
        <v>PFES1162674446_0001</v>
      </c>
      <c r="L3175" s="18">
        <v>1</v>
      </c>
      <c r="M3175" s="18">
        <v>1</v>
      </c>
    </row>
    <row r="3176" spans="1:13">
      <c r="A3176" s="6">
        <v>43517</v>
      </c>
      <c r="B3176" s="7">
        <v>0.47222222222222227</v>
      </c>
      <c r="C3176" s="18" t="str">
        <f>"FES1162674435"</f>
        <v>FES1162674435</v>
      </c>
      <c r="D3176" s="18" t="s">
        <v>18</v>
      </c>
      <c r="E3176" s="18" t="s">
        <v>200</v>
      </c>
      <c r="F3176" s="18" t="str">
        <f>"2170675216 "</f>
        <v xml:space="preserve">2170675216 </v>
      </c>
      <c r="G3176" s="18" t="str">
        <f t="shared" si="90"/>
        <v>ON1</v>
      </c>
      <c r="H3176" s="18" t="s">
        <v>20</v>
      </c>
      <c r="I3176" s="18" t="s">
        <v>201</v>
      </c>
      <c r="J3176" s="18" t="str">
        <f>""</f>
        <v/>
      </c>
      <c r="K3176" s="18" t="str">
        <f>"PFES1162674435_0001"</f>
        <v>PFES1162674435_0001</v>
      </c>
      <c r="L3176" s="18">
        <v>1</v>
      </c>
      <c r="M3176" s="18">
        <v>4</v>
      </c>
    </row>
    <row r="3177" spans="1:13">
      <c r="A3177" s="6">
        <v>43517</v>
      </c>
      <c r="B3177" s="7">
        <v>0.47222222222222227</v>
      </c>
      <c r="C3177" s="18" t="str">
        <f>"FES1162674485"</f>
        <v>FES1162674485</v>
      </c>
      <c r="D3177" s="18" t="s">
        <v>18</v>
      </c>
      <c r="E3177" s="18" t="s">
        <v>19</v>
      </c>
      <c r="F3177" s="18" t="str">
        <f>"2170675535 "</f>
        <v xml:space="preserve">2170675535 </v>
      </c>
      <c r="G3177" s="18" t="str">
        <f t="shared" si="90"/>
        <v>ON1</v>
      </c>
      <c r="H3177" s="18" t="s">
        <v>20</v>
      </c>
      <c r="I3177" s="18" t="s">
        <v>21</v>
      </c>
      <c r="J3177" s="18" t="str">
        <f>""</f>
        <v/>
      </c>
      <c r="K3177" s="18" t="str">
        <f>"PFES1162674485_0001"</f>
        <v>PFES1162674485_0001</v>
      </c>
      <c r="L3177" s="18">
        <v>1</v>
      </c>
      <c r="M3177" s="18">
        <v>1</v>
      </c>
    </row>
    <row r="3178" spans="1:13">
      <c r="A3178" s="6">
        <v>43517</v>
      </c>
      <c r="B3178" s="7">
        <v>0.47152777777777777</v>
      </c>
      <c r="C3178" s="18" t="str">
        <f>"FES1162674461"</f>
        <v>FES1162674461</v>
      </c>
      <c r="D3178" s="18" t="s">
        <v>18</v>
      </c>
      <c r="E3178" s="18" t="s">
        <v>19</v>
      </c>
      <c r="F3178" s="18" t="str">
        <f>"2170675508 "</f>
        <v xml:space="preserve">2170675508 </v>
      </c>
      <c r="G3178" s="18" t="str">
        <f t="shared" si="90"/>
        <v>ON1</v>
      </c>
      <c r="H3178" s="18" t="s">
        <v>20</v>
      </c>
      <c r="I3178" s="18" t="s">
        <v>21</v>
      </c>
      <c r="J3178" s="18" t="str">
        <f>""</f>
        <v/>
      </c>
      <c r="K3178" s="18" t="str">
        <f>"PFES1162674461_0001"</f>
        <v>PFES1162674461_0001</v>
      </c>
      <c r="L3178" s="18">
        <v>1</v>
      </c>
      <c r="M3178" s="18">
        <v>1</v>
      </c>
    </row>
    <row r="3179" spans="1:13">
      <c r="A3179" s="6">
        <v>43517</v>
      </c>
      <c r="B3179" s="7">
        <v>0.47152777777777777</v>
      </c>
      <c r="C3179" s="18" t="str">
        <f>"FES1162674458"</f>
        <v>FES1162674458</v>
      </c>
      <c r="D3179" s="18" t="s">
        <v>18</v>
      </c>
      <c r="E3179" s="18" t="s">
        <v>734</v>
      </c>
      <c r="F3179" s="18" t="str">
        <f>"2170675504 "</f>
        <v xml:space="preserve">2170675504 </v>
      </c>
      <c r="G3179" s="18" t="str">
        <f t="shared" si="90"/>
        <v>ON1</v>
      </c>
      <c r="H3179" s="18" t="s">
        <v>20</v>
      </c>
      <c r="I3179" s="18" t="s">
        <v>29</v>
      </c>
      <c r="J3179" s="18" t="str">
        <f>""</f>
        <v/>
      </c>
      <c r="K3179" s="18" t="str">
        <f>"PFES1162674458_0001"</f>
        <v>PFES1162674458_0001</v>
      </c>
      <c r="L3179" s="18">
        <v>1</v>
      </c>
      <c r="M3179" s="18">
        <v>1</v>
      </c>
    </row>
    <row r="3180" spans="1:13">
      <c r="A3180" s="6">
        <v>43517</v>
      </c>
      <c r="B3180" s="7">
        <v>0.47152777777777777</v>
      </c>
      <c r="C3180" s="18" t="str">
        <f>"FES1162674445"</f>
        <v>FES1162674445</v>
      </c>
      <c r="D3180" s="18" t="s">
        <v>18</v>
      </c>
      <c r="E3180" s="18" t="s">
        <v>19</v>
      </c>
      <c r="F3180" s="18" t="str">
        <f>"2170674683 "</f>
        <v xml:space="preserve">2170674683 </v>
      </c>
      <c r="G3180" s="18" t="str">
        <f t="shared" si="90"/>
        <v>ON1</v>
      </c>
      <c r="H3180" s="18" t="s">
        <v>20</v>
      </c>
      <c r="I3180" s="18" t="s">
        <v>21</v>
      </c>
      <c r="J3180" s="18" t="str">
        <f>""</f>
        <v/>
      </c>
      <c r="K3180" s="18" t="str">
        <f>"PFES1162674445_0001"</f>
        <v>PFES1162674445_0001</v>
      </c>
      <c r="L3180" s="18">
        <v>1</v>
      </c>
      <c r="M3180" s="18">
        <v>8</v>
      </c>
    </row>
    <row r="3181" spans="1:13">
      <c r="A3181" s="6">
        <v>43517</v>
      </c>
      <c r="B3181" s="7">
        <v>0.47083333333333338</v>
      </c>
      <c r="C3181" s="18" t="str">
        <f>"FES1162674475"</f>
        <v>FES1162674475</v>
      </c>
      <c r="D3181" s="18" t="s">
        <v>18</v>
      </c>
      <c r="E3181" s="18" t="s">
        <v>19</v>
      </c>
      <c r="F3181" s="18" t="str">
        <f>"2170675521 "</f>
        <v xml:space="preserve">2170675521 </v>
      </c>
      <c r="G3181" s="18" t="str">
        <f t="shared" si="90"/>
        <v>ON1</v>
      </c>
      <c r="H3181" s="18" t="s">
        <v>20</v>
      </c>
      <c r="I3181" s="18" t="s">
        <v>21</v>
      </c>
      <c r="J3181" s="18" t="str">
        <f>""</f>
        <v/>
      </c>
      <c r="K3181" s="18" t="str">
        <f>"PFES1162674475_0001"</f>
        <v>PFES1162674475_0001</v>
      </c>
      <c r="L3181" s="18">
        <v>1</v>
      </c>
      <c r="M3181" s="18">
        <v>1</v>
      </c>
    </row>
    <row r="3182" spans="1:13">
      <c r="A3182" s="6">
        <v>43517</v>
      </c>
      <c r="B3182" s="7">
        <v>0.47083333333333338</v>
      </c>
      <c r="C3182" s="18" t="str">
        <f>"FES1162674505"</f>
        <v>FES1162674505</v>
      </c>
      <c r="D3182" s="18" t="s">
        <v>18</v>
      </c>
      <c r="E3182" s="18" t="s">
        <v>530</v>
      </c>
      <c r="F3182" s="18" t="str">
        <f>"2170675560 "</f>
        <v xml:space="preserve">2170675560 </v>
      </c>
      <c r="G3182" s="18" t="str">
        <f t="shared" si="90"/>
        <v>ON1</v>
      </c>
      <c r="H3182" s="18" t="s">
        <v>20</v>
      </c>
      <c r="I3182" s="18" t="s">
        <v>531</v>
      </c>
      <c r="J3182" s="18" t="str">
        <f>""</f>
        <v/>
      </c>
      <c r="K3182" s="18" t="str">
        <f>"PFES1162674505_0001"</f>
        <v>PFES1162674505_0001</v>
      </c>
      <c r="L3182" s="18">
        <v>1</v>
      </c>
      <c r="M3182" s="18">
        <v>1</v>
      </c>
    </row>
    <row r="3183" spans="1:13">
      <c r="A3183" s="6">
        <v>43517</v>
      </c>
      <c r="B3183" s="7">
        <v>0.47013888888888888</v>
      </c>
      <c r="C3183" s="18" t="str">
        <f>"FES1162674469"</f>
        <v>FES1162674469</v>
      </c>
      <c r="D3183" s="18" t="s">
        <v>18</v>
      </c>
      <c r="E3183" s="18" t="s">
        <v>339</v>
      </c>
      <c r="F3183" s="18" t="str">
        <f>"2170675516 "</f>
        <v xml:space="preserve">2170675516 </v>
      </c>
      <c r="G3183" s="18" t="str">
        <f t="shared" si="90"/>
        <v>ON1</v>
      </c>
      <c r="H3183" s="18" t="s">
        <v>20</v>
      </c>
      <c r="I3183" s="18" t="s">
        <v>37</v>
      </c>
      <c r="J3183" s="18" t="str">
        <f>""</f>
        <v/>
      </c>
      <c r="K3183" s="18" t="str">
        <f>"PFES1162674469_0001"</f>
        <v>PFES1162674469_0001</v>
      </c>
      <c r="L3183" s="18">
        <v>1</v>
      </c>
      <c r="M3183" s="18">
        <v>1</v>
      </c>
    </row>
    <row r="3184" spans="1:13">
      <c r="A3184" s="6">
        <v>43517</v>
      </c>
      <c r="B3184" s="7">
        <v>0.47013888888888888</v>
      </c>
      <c r="C3184" s="18" t="str">
        <f>"FES1162674431"</f>
        <v>FES1162674431</v>
      </c>
      <c r="D3184" s="18" t="s">
        <v>18</v>
      </c>
      <c r="E3184" s="18" t="s">
        <v>315</v>
      </c>
      <c r="F3184" s="18" t="str">
        <f>"2170675489 "</f>
        <v xml:space="preserve">2170675489 </v>
      </c>
      <c r="G3184" s="18" t="str">
        <f t="shared" si="90"/>
        <v>ON1</v>
      </c>
      <c r="H3184" s="18" t="s">
        <v>20</v>
      </c>
      <c r="I3184" s="18" t="s">
        <v>239</v>
      </c>
      <c r="J3184" s="18" t="str">
        <f>""</f>
        <v/>
      </c>
      <c r="K3184" s="18" t="str">
        <f>"PFES1162674431_0001"</f>
        <v>PFES1162674431_0001</v>
      </c>
      <c r="L3184" s="18">
        <v>1</v>
      </c>
      <c r="M3184" s="18">
        <v>1</v>
      </c>
    </row>
    <row r="3185" spans="1:13">
      <c r="A3185" s="6">
        <v>43517</v>
      </c>
      <c r="B3185" s="7">
        <v>0.47013888888888888</v>
      </c>
      <c r="C3185" s="18" t="str">
        <f>"FES1162674490"</f>
        <v>FES1162674490</v>
      </c>
      <c r="D3185" s="18" t="s">
        <v>18</v>
      </c>
      <c r="E3185" s="18" t="s">
        <v>822</v>
      </c>
      <c r="F3185" s="18" t="str">
        <f>"2170675522 "</f>
        <v xml:space="preserve">2170675522 </v>
      </c>
      <c r="G3185" s="18" t="str">
        <f t="shared" si="90"/>
        <v>ON1</v>
      </c>
      <c r="H3185" s="18" t="s">
        <v>20</v>
      </c>
      <c r="I3185" s="18" t="s">
        <v>48</v>
      </c>
      <c r="J3185" s="18" t="str">
        <f>""</f>
        <v/>
      </c>
      <c r="K3185" s="18" t="str">
        <f>"PFES1162674490_0001"</f>
        <v>PFES1162674490_0001</v>
      </c>
      <c r="L3185" s="18">
        <v>1</v>
      </c>
      <c r="M3185" s="18">
        <v>1</v>
      </c>
    </row>
    <row r="3186" spans="1:13">
      <c r="A3186" s="6">
        <v>43517</v>
      </c>
      <c r="B3186" s="7">
        <v>0.4694444444444445</v>
      </c>
      <c r="C3186" s="18" t="str">
        <f>"FES1162674479"</f>
        <v>FES1162674479</v>
      </c>
      <c r="D3186" s="18" t="s">
        <v>18</v>
      </c>
      <c r="E3186" s="18" t="s">
        <v>1109</v>
      </c>
      <c r="F3186" s="18" t="str">
        <f>"2170675315 "</f>
        <v xml:space="preserve">2170675315 </v>
      </c>
      <c r="G3186" s="18" t="str">
        <f t="shared" si="90"/>
        <v>ON1</v>
      </c>
      <c r="H3186" s="18" t="s">
        <v>20</v>
      </c>
      <c r="I3186" s="18" t="s">
        <v>322</v>
      </c>
      <c r="J3186" s="18" t="str">
        <f>""</f>
        <v/>
      </c>
      <c r="K3186" s="18" t="str">
        <f>"PFES1162674479_0001"</f>
        <v>PFES1162674479_0001</v>
      </c>
      <c r="L3186" s="18">
        <v>1</v>
      </c>
      <c r="M3186" s="18">
        <v>5</v>
      </c>
    </row>
    <row r="3187" spans="1:13">
      <c r="A3187" s="6">
        <v>43517</v>
      </c>
      <c r="B3187" s="7">
        <v>0.4694444444444445</v>
      </c>
      <c r="C3187" s="18" t="str">
        <f>"FES1162674460"</f>
        <v>FES1162674460</v>
      </c>
      <c r="D3187" s="18" t="s">
        <v>18</v>
      </c>
      <c r="E3187" s="18" t="s">
        <v>19</v>
      </c>
      <c r="F3187" s="18" t="str">
        <f>"2170675507 "</f>
        <v xml:space="preserve">2170675507 </v>
      </c>
      <c r="G3187" s="18" t="str">
        <f t="shared" si="90"/>
        <v>ON1</v>
      </c>
      <c r="H3187" s="18" t="s">
        <v>20</v>
      </c>
      <c r="I3187" s="18" t="s">
        <v>21</v>
      </c>
      <c r="J3187" s="18" t="str">
        <f>""</f>
        <v/>
      </c>
      <c r="K3187" s="18" t="str">
        <f>"PFES1162674460_0001"</f>
        <v>PFES1162674460_0001</v>
      </c>
      <c r="L3187" s="18">
        <v>1</v>
      </c>
      <c r="M3187" s="18">
        <v>1</v>
      </c>
    </row>
    <row r="3188" spans="1:13">
      <c r="A3188" s="6">
        <v>43517</v>
      </c>
      <c r="B3188" s="7">
        <v>0.4694444444444445</v>
      </c>
      <c r="C3188" s="18" t="str">
        <f>"FES1162674477"</f>
        <v>FES1162674477</v>
      </c>
      <c r="D3188" s="18" t="s">
        <v>18</v>
      </c>
      <c r="E3188" s="18" t="s">
        <v>19</v>
      </c>
      <c r="F3188" s="18" t="str">
        <f>"2170675525 "</f>
        <v xml:space="preserve">2170675525 </v>
      </c>
      <c r="G3188" s="18" t="str">
        <f t="shared" si="90"/>
        <v>ON1</v>
      </c>
      <c r="H3188" s="18" t="s">
        <v>20</v>
      </c>
      <c r="I3188" s="18" t="s">
        <v>21</v>
      </c>
      <c r="J3188" s="18" t="str">
        <f>""</f>
        <v/>
      </c>
      <c r="K3188" s="18" t="str">
        <f>"PFES1162674477_0001"</f>
        <v>PFES1162674477_0001</v>
      </c>
      <c r="L3188" s="18">
        <v>1</v>
      </c>
      <c r="M3188" s="18">
        <v>1</v>
      </c>
    </row>
    <row r="3189" spans="1:13">
      <c r="A3189" s="6">
        <v>43517</v>
      </c>
      <c r="B3189" s="7">
        <v>0.46875</v>
      </c>
      <c r="C3189" s="18" t="str">
        <f>"FES1162674394"</f>
        <v>FES1162674394</v>
      </c>
      <c r="D3189" s="18" t="s">
        <v>18</v>
      </c>
      <c r="E3189" s="18" t="s">
        <v>178</v>
      </c>
      <c r="F3189" s="18" t="str">
        <f>"2170675460 "</f>
        <v xml:space="preserve">2170675460 </v>
      </c>
      <c r="G3189" s="18" t="str">
        <f t="shared" si="90"/>
        <v>ON1</v>
      </c>
      <c r="H3189" s="18" t="s">
        <v>20</v>
      </c>
      <c r="I3189" s="18" t="s">
        <v>29</v>
      </c>
      <c r="J3189" s="18" t="str">
        <f>""</f>
        <v/>
      </c>
      <c r="K3189" s="18" t="str">
        <f>"PFES1162674394_0001"</f>
        <v>PFES1162674394_0001</v>
      </c>
      <c r="L3189" s="18">
        <v>1</v>
      </c>
      <c r="M3189" s="18">
        <v>1</v>
      </c>
    </row>
    <row r="3190" spans="1:13">
      <c r="A3190" s="6">
        <v>43517</v>
      </c>
      <c r="B3190" s="7">
        <v>0.46875</v>
      </c>
      <c r="C3190" s="18" t="str">
        <f>"FES1162674443"</f>
        <v>FES1162674443</v>
      </c>
      <c r="D3190" s="18" t="s">
        <v>18</v>
      </c>
      <c r="E3190" s="18" t="s">
        <v>943</v>
      </c>
      <c r="F3190" s="18" t="str">
        <f>"2170674287 "</f>
        <v xml:space="preserve">2170674287 </v>
      </c>
      <c r="G3190" s="18" t="str">
        <f t="shared" si="90"/>
        <v>ON1</v>
      </c>
      <c r="H3190" s="18" t="s">
        <v>20</v>
      </c>
      <c r="I3190" s="18" t="s">
        <v>43</v>
      </c>
      <c r="J3190" s="18" t="str">
        <f>""</f>
        <v/>
      </c>
      <c r="K3190" s="18" t="str">
        <f>"PFES1162674443_0001"</f>
        <v>PFES1162674443_0001</v>
      </c>
      <c r="L3190" s="18">
        <v>1</v>
      </c>
      <c r="M3190" s="18">
        <v>3</v>
      </c>
    </row>
    <row r="3191" spans="1:13">
      <c r="A3191" s="6">
        <v>43517</v>
      </c>
      <c r="B3191" s="7">
        <v>0.4680555555555555</v>
      </c>
      <c r="C3191" s="18" t="str">
        <f>"FES1162674450"</f>
        <v>FES1162674450</v>
      </c>
      <c r="D3191" s="18" t="s">
        <v>18</v>
      </c>
      <c r="E3191" s="18" t="s">
        <v>22</v>
      </c>
      <c r="F3191" s="18" t="str">
        <f>"2170675248 "</f>
        <v xml:space="preserve">2170675248 </v>
      </c>
      <c r="G3191" s="18" t="str">
        <f t="shared" si="90"/>
        <v>ON1</v>
      </c>
      <c r="H3191" s="18" t="s">
        <v>20</v>
      </c>
      <c r="I3191" s="18" t="s">
        <v>23</v>
      </c>
      <c r="J3191" s="18" t="str">
        <f>""</f>
        <v/>
      </c>
      <c r="K3191" s="18" t="str">
        <f>"PFES1162674450_0001"</f>
        <v>PFES1162674450_0001</v>
      </c>
      <c r="L3191" s="18">
        <v>1</v>
      </c>
      <c r="M3191" s="18">
        <v>1</v>
      </c>
    </row>
    <row r="3192" spans="1:13">
      <c r="A3192" s="6">
        <v>43517</v>
      </c>
      <c r="B3192" s="7">
        <v>0.4680555555555555</v>
      </c>
      <c r="C3192" s="18" t="str">
        <f>"FES1162674441"</f>
        <v>FES1162674441</v>
      </c>
      <c r="D3192" s="18" t="s">
        <v>18</v>
      </c>
      <c r="E3192" s="18" t="s">
        <v>623</v>
      </c>
      <c r="F3192" s="18" t="str">
        <f>"2170673950 "</f>
        <v xml:space="preserve">2170673950 </v>
      </c>
      <c r="G3192" s="18" t="str">
        <f t="shared" si="90"/>
        <v>ON1</v>
      </c>
      <c r="H3192" s="18" t="s">
        <v>20</v>
      </c>
      <c r="I3192" s="18" t="s">
        <v>429</v>
      </c>
      <c r="J3192" s="18" t="str">
        <f>""</f>
        <v/>
      </c>
      <c r="K3192" s="18" t="str">
        <f>"PFES1162674441_0001"</f>
        <v>PFES1162674441_0001</v>
      </c>
      <c r="L3192" s="18">
        <v>1</v>
      </c>
      <c r="M3192" s="18">
        <v>1</v>
      </c>
    </row>
    <row r="3193" spans="1:13">
      <c r="A3193" s="6">
        <v>43517</v>
      </c>
      <c r="B3193" s="7">
        <v>0.4680555555555555</v>
      </c>
      <c r="C3193" s="18" t="str">
        <f>"FES1162674429"</f>
        <v>FES1162674429</v>
      </c>
      <c r="D3193" s="18" t="s">
        <v>18</v>
      </c>
      <c r="E3193" s="18" t="s">
        <v>1110</v>
      </c>
      <c r="F3193" s="18" t="str">
        <f>"2170672340 "</f>
        <v xml:space="preserve">2170672340 </v>
      </c>
      <c r="G3193" s="18" t="str">
        <f t="shared" si="90"/>
        <v>ON1</v>
      </c>
      <c r="H3193" s="18" t="s">
        <v>20</v>
      </c>
      <c r="I3193" s="18" t="s">
        <v>29</v>
      </c>
      <c r="J3193" s="18" t="str">
        <f>""</f>
        <v/>
      </c>
      <c r="K3193" s="18" t="str">
        <f>"PFES1162674429_0001"</f>
        <v>PFES1162674429_0001</v>
      </c>
      <c r="L3193" s="18">
        <v>1</v>
      </c>
      <c r="M3193" s="18">
        <v>5</v>
      </c>
    </row>
    <row r="3194" spans="1:13">
      <c r="A3194" s="6">
        <v>43517</v>
      </c>
      <c r="B3194" s="7">
        <v>0.46736111111111112</v>
      </c>
      <c r="C3194" s="18" t="str">
        <f>"FES1162674463"</f>
        <v>FES1162674463</v>
      </c>
      <c r="D3194" s="18" t="s">
        <v>18</v>
      </c>
      <c r="E3194" s="18" t="s">
        <v>19</v>
      </c>
      <c r="F3194" s="18" t="str">
        <f>"2170675510 "</f>
        <v xml:space="preserve">2170675510 </v>
      </c>
      <c r="G3194" s="18" t="str">
        <f t="shared" si="90"/>
        <v>ON1</v>
      </c>
      <c r="H3194" s="18" t="s">
        <v>20</v>
      </c>
      <c r="I3194" s="18" t="s">
        <v>21</v>
      </c>
      <c r="J3194" s="18" t="str">
        <f>""</f>
        <v/>
      </c>
      <c r="K3194" s="18" t="str">
        <f>"PFES1162674463_0001"</f>
        <v>PFES1162674463_0001</v>
      </c>
      <c r="L3194" s="18">
        <v>1</v>
      </c>
      <c r="M3194" s="18">
        <v>1</v>
      </c>
    </row>
    <row r="3195" spans="1:13">
      <c r="A3195" s="6">
        <v>43517</v>
      </c>
      <c r="B3195" s="7">
        <v>0.46736111111111112</v>
      </c>
      <c r="C3195" s="18" t="str">
        <f>"FES1162674452"</f>
        <v>FES1162674452</v>
      </c>
      <c r="D3195" s="18" t="s">
        <v>18</v>
      </c>
      <c r="E3195" s="18" t="s">
        <v>154</v>
      </c>
      <c r="F3195" s="18" t="str">
        <f>"2170675495 "</f>
        <v xml:space="preserve">2170675495 </v>
      </c>
      <c r="G3195" s="18" t="str">
        <f t="shared" si="90"/>
        <v>ON1</v>
      </c>
      <c r="H3195" s="18" t="s">
        <v>20</v>
      </c>
      <c r="I3195" s="18" t="s">
        <v>237</v>
      </c>
      <c r="J3195" s="18" t="str">
        <f>""</f>
        <v/>
      </c>
      <c r="K3195" s="18" t="str">
        <f>"PFES1162674452_0001"</f>
        <v>PFES1162674452_0001</v>
      </c>
      <c r="L3195" s="18">
        <v>1</v>
      </c>
      <c r="M3195" s="18">
        <v>1</v>
      </c>
    </row>
    <row r="3196" spans="1:13">
      <c r="A3196" s="6">
        <v>43517</v>
      </c>
      <c r="B3196" s="7">
        <v>0.46666666666666662</v>
      </c>
      <c r="C3196" s="18" t="str">
        <f>"FES1162674467"</f>
        <v>FES1162674467</v>
      </c>
      <c r="D3196" s="18" t="s">
        <v>18</v>
      </c>
      <c r="E3196" s="18" t="s">
        <v>235</v>
      </c>
      <c r="F3196" s="18" t="str">
        <f>"2170675514 "</f>
        <v xml:space="preserve">2170675514 </v>
      </c>
      <c r="G3196" s="18" t="str">
        <f t="shared" si="90"/>
        <v>ON1</v>
      </c>
      <c r="H3196" s="18" t="s">
        <v>20</v>
      </c>
      <c r="I3196" s="18" t="s">
        <v>143</v>
      </c>
      <c r="J3196" s="18" t="str">
        <f>""</f>
        <v/>
      </c>
      <c r="K3196" s="18" t="str">
        <f>"PFES1162674467_0001"</f>
        <v>PFES1162674467_0001</v>
      </c>
      <c r="L3196" s="18">
        <v>2</v>
      </c>
      <c r="M3196" s="18">
        <v>4</v>
      </c>
    </row>
    <row r="3197" spans="1:13">
      <c r="A3197" s="6">
        <v>43517</v>
      </c>
      <c r="B3197" s="7">
        <v>0.46666666666666662</v>
      </c>
      <c r="C3197" s="18" t="str">
        <f>"FES1162674467"</f>
        <v>FES1162674467</v>
      </c>
      <c r="D3197" s="18" t="s">
        <v>18</v>
      </c>
      <c r="E3197" s="18" t="s">
        <v>235</v>
      </c>
      <c r="F3197" s="18" t="str">
        <f>"2170675514 "</f>
        <v xml:space="preserve">2170675514 </v>
      </c>
      <c r="G3197" s="18" t="str">
        <f t="shared" si="90"/>
        <v>ON1</v>
      </c>
      <c r="H3197" s="18" t="s">
        <v>20</v>
      </c>
      <c r="I3197" s="18" t="s">
        <v>143</v>
      </c>
      <c r="J3197" s="18"/>
      <c r="K3197" s="18" t="str">
        <f>"PFES1162674467_0002"</f>
        <v>PFES1162674467_0002</v>
      </c>
      <c r="L3197" s="18">
        <v>2</v>
      </c>
      <c r="M3197" s="18">
        <v>4</v>
      </c>
    </row>
    <row r="3198" spans="1:13">
      <c r="A3198" s="6">
        <v>43517</v>
      </c>
      <c r="B3198" s="7">
        <v>0.46527777777777773</v>
      </c>
      <c r="C3198" s="18" t="str">
        <f>"FES1162674419"</f>
        <v>FES1162674419</v>
      </c>
      <c r="D3198" s="18" t="s">
        <v>18</v>
      </c>
      <c r="E3198" s="18" t="s">
        <v>328</v>
      </c>
      <c r="F3198" s="18" t="str">
        <f>"2170675478 "</f>
        <v xml:space="preserve">2170675478 </v>
      </c>
      <c r="G3198" s="18" t="str">
        <f>"ON1"</f>
        <v>ON1</v>
      </c>
      <c r="H3198" s="18" t="s">
        <v>20</v>
      </c>
      <c r="I3198" s="18" t="s">
        <v>29</v>
      </c>
      <c r="J3198" s="18" t="str">
        <f>""</f>
        <v/>
      </c>
      <c r="K3198" s="18" t="str">
        <f>"PFES1162674419_0001"</f>
        <v>PFES1162674419_0001</v>
      </c>
      <c r="L3198" s="18">
        <v>1</v>
      </c>
      <c r="M3198" s="18">
        <v>9</v>
      </c>
    </row>
    <row r="3199" spans="1:13">
      <c r="A3199" s="6">
        <v>43517</v>
      </c>
      <c r="B3199" s="7">
        <v>0.46458333333333335</v>
      </c>
      <c r="C3199" s="18" t="str">
        <f>"FES1162674462"</f>
        <v>FES1162674462</v>
      </c>
      <c r="D3199" s="18" t="s">
        <v>18</v>
      </c>
      <c r="E3199" s="18" t="s">
        <v>19</v>
      </c>
      <c r="F3199" s="18" t="str">
        <f>"2170675509 "</f>
        <v xml:space="preserve">2170675509 </v>
      </c>
      <c r="G3199" s="18" t="str">
        <f>"ON1"</f>
        <v>ON1</v>
      </c>
      <c r="H3199" s="18" t="s">
        <v>20</v>
      </c>
      <c r="I3199" s="18" t="s">
        <v>21</v>
      </c>
      <c r="J3199" s="18" t="str">
        <f>""</f>
        <v/>
      </c>
      <c r="K3199" s="18" t="str">
        <f>"PFES1162674462_0001"</f>
        <v>PFES1162674462_0001</v>
      </c>
      <c r="L3199" s="18">
        <v>1</v>
      </c>
      <c r="M3199" s="18">
        <v>2</v>
      </c>
    </row>
    <row r="3200" spans="1:13">
      <c r="A3200" s="6">
        <v>43517</v>
      </c>
      <c r="B3200" s="7">
        <v>0.46388888888888885</v>
      </c>
      <c r="C3200" s="18" t="str">
        <f>"FES1162674481"</f>
        <v>FES1162674481</v>
      </c>
      <c r="D3200" s="18" t="s">
        <v>18</v>
      </c>
      <c r="E3200" s="18" t="s">
        <v>1078</v>
      </c>
      <c r="F3200" s="18" t="str">
        <f>"2170675533 "</f>
        <v xml:space="preserve">2170675533 </v>
      </c>
      <c r="G3200" s="18" t="str">
        <f>"ON1"</f>
        <v>ON1</v>
      </c>
      <c r="H3200" s="18" t="s">
        <v>20</v>
      </c>
      <c r="I3200" s="18" t="s">
        <v>1079</v>
      </c>
      <c r="J3200" s="18" t="str">
        <f>""</f>
        <v/>
      </c>
      <c r="K3200" s="18" t="str">
        <f>"PFES1162674481_0001"</f>
        <v>PFES1162674481_0001</v>
      </c>
      <c r="L3200" s="18">
        <v>1</v>
      </c>
      <c r="M3200" s="18">
        <v>1</v>
      </c>
    </row>
    <row r="3201" spans="1:13">
      <c r="A3201" s="6">
        <v>43517</v>
      </c>
      <c r="B3201" s="7">
        <v>0.4152777777777778</v>
      </c>
      <c r="C3201" s="18" t="str">
        <f>"009935791852"</f>
        <v>009935791852</v>
      </c>
      <c r="D3201" s="18" t="s">
        <v>18</v>
      </c>
      <c r="E3201" s="18" t="s">
        <v>269</v>
      </c>
      <c r="F3201" s="18" t="str">
        <f>"1162674139 "</f>
        <v xml:space="preserve">1162674139 </v>
      </c>
      <c r="G3201" s="18" t="str">
        <f>"ON1"</f>
        <v>ON1</v>
      </c>
      <c r="H3201" s="18" t="s">
        <v>20</v>
      </c>
      <c r="I3201" s="18" t="s">
        <v>270</v>
      </c>
      <c r="J3201" s="18" t="str">
        <f>""</f>
        <v/>
      </c>
      <c r="K3201" s="18" t="str">
        <f>"P009935791852_0001"</f>
        <v>P009935791852_0001</v>
      </c>
      <c r="L3201" s="18">
        <v>1</v>
      </c>
      <c r="M3201" s="18">
        <v>1</v>
      </c>
    </row>
    <row r="3202" spans="1:13">
      <c r="A3202" s="6">
        <v>43518</v>
      </c>
      <c r="B3202" s="7">
        <v>0.625</v>
      </c>
      <c r="C3202" s="19" t="str">
        <f>"FES1162674830"</f>
        <v>FES1162674830</v>
      </c>
      <c r="D3202" s="19" t="s">
        <v>18</v>
      </c>
      <c r="E3202" s="19" t="s">
        <v>368</v>
      </c>
      <c r="F3202" s="19" t="str">
        <f>"2170675933 "</f>
        <v xml:space="preserve">2170675933 </v>
      </c>
      <c r="G3202" s="19" t="str">
        <f t="shared" ref="G3202:G3207" si="91">"ON1"</f>
        <v>ON1</v>
      </c>
      <c r="H3202" s="19" t="s">
        <v>20</v>
      </c>
      <c r="I3202" s="19" t="s">
        <v>369</v>
      </c>
      <c r="J3202" s="19" t="str">
        <f>""</f>
        <v/>
      </c>
      <c r="K3202" s="19" t="str">
        <f>"PFES1162674830_0001"</f>
        <v>PFES1162674830_0001</v>
      </c>
      <c r="L3202" s="19">
        <v>1</v>
      </c>
      <c r="M3202" s="19">
        <v>1</v>
      </c>
    </row>
    <row r="3203" spans="1:13">
      <c r="A3203" s="6">
        <v>43518</v>
      </c>
      <c r="B3203" s="7">
        <v>0.625</v>
      </c>
      <c r="C3203" s="19" t="str">
        <f>"FES1162674829"</f>
        <v>FES1162674829</v>
      </c>
      <c r="D3203" s="19" t="s">
        <v>18</v>
      </c>
      <c r="E3203" s="19" t="s">
        <v>92</v>
      </c>
      <c r="F3203" s="19" t="str">
        <f>"2170675932 "</f>
        <v xml:space="preserve">2170675932 </v>
      </c>
      <c r="G3203" s="19" t="str">
        <f t="shared" si="91"/>
        <v>ON1</v>
      </c>
      <c r="H3203" s="19" t="s">
        <v>20</v>
      </c>
      <c r="I3203" s="19" t="s">
        <v>93</v>
      </c>
      <c r="J3203" s="19" t="str">
        <f>""</f>
        <v/>
      </c>
      <c r="K3203" s="19" t="str">
        <f>"PFES1162674829_0001"</f>
        <v>PFES1162674829_0001</v>
      </c>
      <c r="L3203" s="19">
        <v>1</v>
      </c>
      <c r="M3203" s="19">
        <v>1</v>
      </c>
    </row>
    <row r="3204" spans="1:13">
      <c r="A3204" s="6">
        <v>43518</v>
      </c>
      <c r="B3204" s="7">
        <v>0.62013888888888891</v>
      </c>
      <c r="C3204" s="19" t="str">
        <f>"FES1162674773"</f>
        <v>FES1162674773</v>
      </c>
      <c r="D3204" s="19" t="s">
        <v>18</v>
      </c>
      <c r="E3204" s="19" t="s">
        <v>880</v>
      </c>
      <c r="F3204" s="19" t="str">
        <f>"2170671445 "</f>
        <v xml:space="preserve">2170671445 </v>
      </c>
      <c r="G3204" s="19" t="str">
        <f t="shared" si="91"/>
        <v>ON1</v>
      </c>
      <c r="H3204" s="19" t="s">
        <v>20</v>
      </c>
      <c r="I3204" s="19" t="s">
        <v>233</v>
      </c>
      <c r="J3204" s="19" t="str">
        <f>""</f>
        <v/>
      </c>
      <c r="K3204" s="19" t="str">
        <f>"PFES1162674773_0001"</f>
        <v>PFES1162674773_0001</v>
      </c>
      <c r="L3204" s="19">
        <v>1</v>
      </c>
      <c r="M3204" s="19">
        <v>12</v>
      </c>
    </row>
    <row r="3205" spans="1:13">
      <c r="A3205" s="6">
        <v>43518</v>
      </c>
      <c r="B3205" s="7">
        <v>0.61944444444444446</v>
      </c>
      <c r="C3205" s="19" t="str">
        <f>"FES1162674775"</f>
        <v>FES1162674775</v>
      </c>
      <c r="D3205" s="19" t="s">
        <v>18</v>
      </c>
      <c r="E3205" s="19" t="s">
        <v>246</v>
      </c>
      <c r="F3205" s="19" t="str">
        <f>"2170674774 "</f>
        <v xml:space="preserve">2170674774 </v>
      </c>
      <c r="G3205" s="19" t="str">
        <f t="shared" si="91"/>
        <v>ON1</v>
      </c>
      <c r="H3205" s="19" t="s">
        <v>20</v>
      </c>
      <c r="I3205" s="19" t="s">
        <v>53</v>
      </c>
      <c r="J3205" s="19" t="str">
        <f>""</f>
        <v/>
      </c>
      <c r="K3205" s="19" t="str">
        <f>"PFES1162674775_0001"</f>
        <v>PFES1162674775_0001</v>
      </c>
      <c r="L3205" s="19">
        <v>1</v>
      </c>
      <c r="M3205" s="19">
        <v>4</v>
      </c>
    </row>
    <row r="3206" spans="1:13">
      <c r="A3206" s="6">
        <v>43518</v>
      </c>
      <c r="B3206" s="7">
        <v>0.61944444444444446</v>
      </c>
      <c r="C3206" s="19" t="str">
        <f>"FES1162674824"</f>
        <v>FES1162674824</v>
      </c>
      <c r="D3206" s="19" t="s">
        <v>18</v>
      </c>
      <c r="E3206" s="19" t="s">
        <v>530</v>
      </c>
      <c r="F3206" s="19" t="str">
        <f>"2170675347 "</f>
        <v xml:space="preserve">2170675347 </v>
      </c>
      <c r="G3206" s="19" t="str">
        <f t="shared" si="91"/>
        <v>ON1</v>
      </c>
      <c r="H3206" s="19" t="s">
        <v>20</v>
      </c>
      <c r="I3206" s="19" t="s">
        <v>531</v>
      </c>
      <c r="J3206" s="19" t="str">
        <f>""</f>
        <v/>
      </c>
      <c r="K3206" s="19" t="str">
        <f>"PFES1162674824_0001"</f>
        <v>PFES1162674824_0001</v>
      </c>
      <c r="L3206" s="19">
        <v>1</v>
      </c>
      <c r="M3206" s="19">
        <v>1</v>
      </c>
    </row>
    <row r="3207" spans="1:13">
      <c r="A3207" s="6">
        <v>43518</v>
      </c>
      <c r="B3207" s="7">
        <v>0.61875000000000002</v>
      </c>
      <c r="C3207" s="19" t="str">
        <f>"FES1162674823"</f>
        <v>FES1162674823</v>
      </c>
      <c r="D3207" s="19" t="s">
        <v>18</v>
      </c>
      <c r="E3207" s="19" t="s">
        <v>350</v>
      </c>
      <c r="F3207" s="19" t="str">
        <f>"2170674103 "</f>
        <v xml:space="preserve">2170674103 </v>
      </c>
      <c r="G3207" s="19" t="str">
        <f t="shared" si="91"/>
        <v>ON1</v>
      </c>
      <c r="H3207" s="19" t="s">
        <v>20</v>
      </c>
      <c r="I3207" s="19" t="s">
        <v>351</v>
      </c>
      <c r="J3207" s="19" t="str">
        <f>""</f>
        <v/>
      </c>
      <c r="K3207" s="19" t="str">
        <f>"PFES1162674823_0001"</f>
        <v>PFES1162674823_0001</v>
      </c>
      <c r="L3207" s="19">
        <v>1</v>
      </c>
      <c r="M3207" s="19">
        <v>9</v>
      </c>
    </row>
    <row r="3208" spans="1:13">
      <c r="A3208" s="6">
        <v>43518</v>
      </c>
      <c r="B3208" s="7">
        <v>0.61805555555555558</v>
      </c>
      <c r="C3208" s="19" t="str">
        <f>"FES1162674816"</f>
        <v>FES1162674816</v>
      </c>
      <c r="D3208" s="19" t="s">
        <v>18</v>
      </c>
      <c r="E3208" s="19" t="s">
        <v>88</v>
      </c>
      <c r="F3208" s="19" t="str">
        <f>"2170675908 "</f>
        <v xml:space="preserve">2170675908 </v>
      </c>
      <c r="G3208" s="19" t="str">
        <f>"DBC"</f>
        <v>DBC</v>
      </c>
      <c r="H3208" s="19" t="s">
        <v>20</v>
      </c>
      <c r="I3208" s="19" t="s">
        <v>53</v>
      </c>
      <c r="J3208" s="19" t="str">
        <f>"FRAGILE OIL"</f>
        <v>FRAGILE OIL</v>
      </c>
      <c r="K3208" s="19" t="str">
        <f>"PFES1162674816_0001"</f>
        <v>PFES1162674816_0001</v>
      </c>
      <c r="L3208" s="19">
        <v>1</v>
      </c>
      <c r="M3208" s="19">
        <v>6</v>
      </c>
    </row>
    <row r="3209" spans="1:13">
      <c r="A3209" s="6">
        <v>43518</v>
      </c>
      <c r="B3209" s="7">
        <v>0.61736111111111114</v>
      </c>
      <c r="C3209" s="19" t="str">
        <f>"FES1162674808"</f>
        <v>FES1162674808</v>
      </c>
      <c r="D3209" s="19" t="s">
        <v>18</v>
      </c>
      <c r="E3209" s="19" t="s">
        <v>202</v>
      </c>
      <c r="F3209" s="19" t="str">
        <f>"2170675899 "</f>
        <v xml:space="preserve">2170675899 </v>
      </c>
      <c r="G3209" s="19" t="str">
        <f t="shared" ref="G3209:G3224" si="92">"ON1"</f>
        <v>ON1</v>
      </c>
      <c r="H3209" s="19" t="s">
        <v>20</v>
      </c>
      <c r="I3209" s="19" t="s">
        <v>143</v>
      </c>
      <c r="J3209" s="19" t="str">
        <f>""</f>
        <v/>
      </c>
      <c r="K3209" s="19" t="str">
        <f>"PFES1162674808_0001"</f>
        <v>PFES1162674808_0001</v>
      </c>
      <c r="L3209" s="19">
        <v>1</v>
      </c>
      <c r="M3209" s="19">
        <v>14</v>
      </c>
    </row>
    <row r="3210" spans="1:13">
      <c r="A3210" s="6">
        <v>43518</v>
      </c>
      <c r="B3210" s="7">
        <v>0.61597222222222225</v>
      </c>
      <c r="C3210" s="19" t="str">
        <f>"FES1162674777"</f>
        <v>FES1162674777</v>
      </c>
      <c r="D3210" s="19" t="s">
        <v>18</v>
      </c>
      <c r="E3210" s="19" t="s">
        <v>798</v>
      </c>
      <c r="F3210" s="19" t="str">
        <f>"2170675569 "</f>
        <v xml:space="preserve">2170675569 </v>
      </c>
      <c r="G3210" s="19" t="str">
        <f t="shared" si="92"/>
        <v>ON1</v>
      </c>
      <c r="H3210" s="19" t="s">
        <v>20</v>
      </c>
      <c r="I3210" s="19" t="s">
        <v>708</v>
      </c>
      <c r="J3210" s="19" t="str">
        <f>""</f>
        <v/>
      </c>
      <c r="K3210" s="19" t="str">
        <f>"PFES1162674777_0001"</f>
        <v>PFES1162674777_0001</v>
      </c>
      <c r="L3210" s="19">
        <v>1</v>
      </c>
      <c r="M3210" s="19">
        <v>2</v>
      </c>
    </row>
    <row r="3211" spans="1:13">
      <c r="A3211" s="6">
        <v>43518</v>
      </c>
      <c r="B3211" s="7">
        <v>0.61111111111111105</v>
      </c>
      <c r="C3211" s="19" t="str">
        <f>"FES1162674813"</f>
        <v>FES1162674813</v>
      </c>
      <c r="D3211" s="19" t="s">
        <v>18</v>
      </c>
      <c r="E3211" s="19" t="s">
        <v>335</v>
      </c>
      <c r="F3211" s="19" t="str">
        <f>"2170675902 "</f>
        <v xml:space="preserve">2170675902 </v>
      </c>
      <c r="G3211" s="19" t="str">
        <f t="shared" si="92"/>
        <v>ON1</v>
      </c>
      <c r="H3211" s="19" t="s">
        <v>20</v>
      </c>
      <c r="I3211" s="19" t="s">
        <v>336</v>
      </c>
      <c r="J3211" s="19" t="str">
        <f>""</f>
        <v/>
      </c>
      <c r="K3211" s="19" t="str">
        <f>"PFES1162674813_0001"</f>
        <v>PFES1162674813_0001</v>
      </c>
      <c r="L3211" s="19">
        <v>1</v>
      </c>
      <c r="M3211" s="19">
        <v>1</v>
      </c>
    </row>
    <row r="3212" spans="1:13">
      <c r="A3212" s="6">
        <v>43518</v>
      </c>
      <c r="B3212" s="7">
        <v>0.61111111111111105</v>
      </c>
      <c r="C3212" s="19" t="str">
        <f>"FES1162674814"</f>
        <v>FES1162674814</v>
      </c>
      <c r="D3212" s="19" t="s">
        <v>18</v>
      </c>
      <c r="E3212" s="19" t="s">
        <v>154</v>
      </c>
      <c r="F3212" s="19" t="str">
        <f>"2170675904 "</f>
        <v xml:space="preserve">2170675904 </v>
      </c>
      <c r="G3212" s="19" t="str">
        <f t="shared" si="92"/>
        <v>ON1</v>
      </c>
      <c r="H3212" s="19" t="s">
        <v>20</v>
      </c>
      <c r="I3212" s="19" t="s">
        <v>237</v>
      </c>
      <c r="J3212" s="19" t="str">
        <f>""</f>
        <v/>
      </c>
      <c r="K3212" s="19" t="str">
        <f>"PFES1162674814_0001"</f>
        <v>PFES1162674814_0001</v>
      </c>
      <c r="L3212" s="19">
        <v>1</v>
      </c>
      <c r="M3212" s="19">
        <v>1</v>
      </c>
    </row>
    <row r="3213" spans="1:13">
      <c r="A3213" s="6">
        <v>43518</v>
      </c>
      <c r="B3213" s="7">
        <v>0.60277777777777775</v>
      </c>
      <c r="C3213" s="19" t="str">
        <f>"FES1162674821"</f>
        <v>FES1162674821</v>
      </c>
      <c r="D3213" s="19" t="s">
        <v>18</v>
      </c>
      <c r="E3213" s="19" t="s">
        <v>136</v>
      </c>
      <c r="F3213" s="19" t="str">
        <f>"2170675915 "</f>
        <v xml:space="preserve">2170675915 </v>
      </c>
      <c r="G3213" s="19" t="str">
        <f t="shared" si="92"/>
        <v>ON1</v>
      </c>
      <c r="H3213" s="19" t="s">
        <v>20</v>
      </c>
      <c r="I3213" s="19" t="s">
        <v>137</v>
      </c>
      <c r="J3213" s="19" t="str">
        <f>""</f>
        <v/>
      </c>
      <c r="K3213" s="19" t="str">
        <f>"PFES1162674821_0001"</f>
        <v>PFES1162674821_0001</v>
      </c>
      <c r="L3213" s="19">
        <v>1</v>
      </c>
      <c r="M3213" s="19">
        <v>1</v>
      </c>
    </row>
    <row r="3214" spans="1:13">
      <c r="A3214" s="6">
        <v>43518</v>
      </c>
      <c r="B3214" s="7">
        <v>0.6</v>
      </c>
      <c r="C3214" s="19" t="str">
        <f>"FES1162674812"</f>
        <v>FES1162674812</v>
      </c>
      <c r="D3214" s="19" t="s">
        <v>18</v>
      </c>
      <c r="E3214" s="19" t="s">
        <v>150</v>
      </c>
      <c r="F3214" s="19" t="str">
        <f>"2170675901 "</f>
        <v xml:space="preserve">2170675901 </v>
      </c>
      <c r="G3214" s="19" t="str">
        <f t="shared" si="92"/>
        <v>ON1</v>
      </c>
      <c r="H3214" s="19" t="s">
        <v>20</v>
      </c>
      <c r="I3214" s="19" t="s">
        <v>137</v>
      </c>
      <c r="J3214" s="19" t="str">
        <f>""</f>
        <v/>
      </c>
      <c r="K3214" s="19" t="str">
        <f>"PFES1162674812_0001"</f>
        <v>PFES1162674812_0001</v>
      </c>
      <c r="L3214" s="19">
        <v>1</v>
      </c>
      <c r="M3214" s="19">
        <v>1</v>
      </c>
    </row>
    <row r="3215" spans="1:13">
      <c r="A3215" s="6">
        <v>43518</v>
      </c>
      <c r="B3215" s="7">
        <v>0.59930555555555554</v>
      </c>
      <c r="C3215" s="19" t="str">
        <f>"FES1162674804"</f>
        <v>FES1162674804</v>
      </c>
      <c r="D3215" s="19" t="s">
        <v>18</v>
      </c>
      <c r="E3215" s="19" t="s">
        <v>312</v>
      </c>
      <c r="F3215" s="19" t="str">
        <f>"2170675892 "</f>
        <v xml:space="preserve">2170675892 </v>
      </c>
      <c r="G3215" s="19" t="str">
        <f t="shared" si="92"/>
        <v>ON1</v>
      </c>
      <c r="H3215" s="19" t="s">
        <v>20</v>
      </c>
      <c r="I3215" s="19" t="s">
        <v>70</v>
      </c>
      <c r="J3215" s="19" t="str">
        <f>""</f>
        <v/>
      </c>
      <c r="K3215" s="19" t="str">
        <f>"PFES1162674804_0001"</f>
        <v>PFES1162674804_0001</v>
      </c>
      <c r="L3215" s="19">
        <v>1</v>
      </c>
      <c r="M3215" s="19">
        <v>1</v>
      </c>
    </row>
    <row r="3216" spans="1:13">
      <c r="A3216" s="6">
        <v>43518</v>
      </c>
      <c r="B3216" s="7">
        <v>0.59930555555555554</v>
      </c>
      <c r="C3216" s="19" t="str">
        <f>"FES1162674820"</f>
        <v>FES1162674820</v>
      </c>
      <c r="D3216" s="19" t="s">
        <v>18</v>
      </c>
      <c r="E3216" s="19" t="s">
        <v>361</v>
      </c>
      <c r="F3216" s="19" t="str">
        <f>"2170675911 "</f>
        <v xml:space="preserve">2170675911 </v>
      </c>
      <c r="G3216" s="19" t="str">
        <f t="shared" si="92"/>
        <v>ON1</v>
      </c>
      <c r="H3216" s="19" t="s">
        <v>20</v>
      </c>
      <c r="I3216" s="19" t="s">
        <v>362</v>
      </c>
      <c r="J3216" s="19" t="str">
        <f>""</f>
        <v/>
      </c>
      <c r="K3216" s="19" t="str">
        <f>"PFES1162674820_0001"</f>
        <v>PFES1162674820_0001</v>
      </c>
      <c r="L3216" s="19">
        <v>1</v>
      </c>
      <c r="M3216" s="19">
        <v>1</v>
      </c>
    </row>
    <row r="3217" spans="1:13">
      <c r="A3217" s="6">
        <v>43518</v>
      </c>
      <c r="B3217" s="7">
        <v>0.59791666666666665</v>
      </c>
      <c r="C3217" s="19" t="str">
        <f>"FES1162674815"</f>
        <v>FES1162674815</v>
      </c>
      <c r="D3217" s="19" t="s">
        <v>18</v>
      </c>
      <c r="E3217" s="19" t="s">
        <v>629</v>
      </c>
      <c r="F3217" s="19" t="str">
        <f>"2170675906 "</f>
        <v xml:space="preserve">2170675906 </v>
      </c>
      <c r="G3217" s="19" t="str">
        <f t="shared" si="92"/>
        <v>ON1</v>
      </c>
      <c r="H3217" s="19" t="s">
        <v>20</v>
      </c>
      <c r="I3217" s="19" t="s">
        <v>420</v>
      </c>
      <c r="J3217" s="19" t="str">
        <f>""</f>
        <v/>
      </c>
      <c r="K3217" s="19" t="str">
        <f>"PFES1162674815_0001"</f>
        <v>PFES1162674815_0001</v>
      </c>
      <c r="L3217" s="19">
        <v>1</v>
      </c>
      <c r="M3217" s="19">
        <v>3</v>
      </c>
    </row>
    <row r="3218" spans="1:13">
      <c r="A3218" s="6">
        <v>43518</v>
      </c>
      <c r="B3218" s="7">
        <v>0.59722222222222221</v>
      </c>
      <c r="C3218" s="19" t="str">
        <f>"FES1162674796"</f>
        <v>FES1162674796</v>
      </c>
      <c r="D3218" s="19" t="s">
        <v>18</v>
      </c>
      <c r="E3218" s="19" t="s">
        <v>346</v>
      </c>
      <c r="F3218" s="19" t="str">
        <f>"2170668383 "</f>
        <v xml:space="preserve">2170668383 </v>
      </c>
      <c r="G3218" s="19" t="str">
        <f t="shared" si="92"/>
        <v>ON1</v>
      </c>
      <c r="H3218" s="19" t="s">
        <v>20</v>
      </c>
      <c r="I3218" s="19" t="s">
        <v>143</v>
      </c>
      <c r="J3218" s="19" t="str">
        <f>""</f>
        <v/>
      </c>
      <c r="K3218" s="19" t="str">
        <f>"PFES1162674796_0001"</f>
        <v>PFES1162674796_0001</v>
      </c>
      <c r="L3218" s="19">
        <v>1</v>
      </c>
      <c r="M3218" s="19">
        <v>1</v>
      </c>
    </row>
    <row r="3219" spans="1:13">
      <c r="A3219" s="6">
        <v>43518</v>
      </c>
      <c r="B3219" s="7">
        <v>0.59652777777777777</v>
      </c>
      <c r="C3219" s="19" t="str">
        <f>"FES1162674818"</f>
        <v>FES1162674818</v>
      </c>
      <c r="D3219" s="19" t="s">
        <v>18</v>
      </c>
      <c r="E3219" s="19" t="s">
        <v>522</v>
      </c>
      <c r="F3219" s="19" t="str">
        <f>"2170675713 "</f>
        <v xml:space="preserve">2170675713 </v>
      </c>
      <c r="G3219" s="19" t="str">
        <f t="shared" si="92"/>
        <v>ON1</v>
      </c>
      <c r="H3219" s="19" t="s">
        <v>20</v>
      </c>
      <c r="I3219" s="19" t="s">
        <v>388</v>
      </c>
      <c r="J3219" s="19" t="str">
        <f>""</f>
        <v/>
      </c>
      <c r="K3219" s="19" t="str">
        <f>"PFES1162674818_0001"</f>
        <v>PFES1162674818_0001</v>
      </c>
      <c r="L3219" s="19">
        <v>1</v>
      </c>
      <c r="M3219" s="19">
        <v>1</v>
      </c>
    </row>
    <row r="3220" spans="1:13">
      <c r="A3220" s="6">
        <v>43518</v>
      </c>
      <c r="B3220" s="7">
        <v>0.59652777777777777</v>
      </c>
      <c r="C3220" s="19" t="str">
        <f>"FES1162674762"</f>
        <v>FES1162674762</v>
      </c>
      <c r="D3220" s="19" t="s">
        <v>18</v>
      </c>
      <c r="E3220" s="19" t="s">
        <v>994</v>
      </c>
      <c r="F3220" s="19" t="str">
        <f>"2170675856 "</f>
        <v xml:space="preserve">2170675856 </v>
      </c>
      <c r="G3220" s="19" t="str">
        <f t="shared" si="92"/>
        <v>ON1</v>
      </c>
      <c r="H3220" s="19" t="s">
        <v>20</v>
      </c>
      <c r="I3220" s="19" t="s">
        <v>137</v>
      </c>
      <c r="J3220" s="19" t="str">
        <f>""</f>
        <v/>
      </c>
      <c r="K3220" s="19" t="str">
        <f>"PFES1162674762_0001"</f>
        <v>PFES1162674762_0001</v>
      </c>
      <c r="L3220" s="19">
        <v>1</v>
      </c>
      <c r="M3220" s="19">
        <v>1</v>
      </c>
    </row>
    <row r="3221" spans="1:13">
      <c r="A3221" s="6">
        <v>43518</v>
      </c>
      <c r="B3221" s="7">
        <v>0.59583333333333333</v>
      </c>
      <c r="C3221" s="19" t="str">
        <f>"FES1162674819"</f>
        <v>FES1162674819</v>
      </c>
      <c r="D3221" s="19" t="s">
        <v>18</v>
      </c>
      <c r="E3221" s="19" t="s">
        <v>405</v>
      </c>
      <c r="F3221" s="19" t="str">
        <f>"2170675910 "</f>
        <v xml:space="preserve">2170675910 </v>
      </c>
      <c r="G3221" s="19" t="str">
        <f t="shared" si="92"/>
        <v>ON1</v>
      </c>
      <c r="H3221" s="19" t="s">
        <v>20</v>
      </c>
      <c r="I3221" s="19" t="s">
        <v>161</v>
      </c>
      <c r="J3221" s="19" t="str">
        <f>""</f>
        <v/>
      </c>
      <c r="K3221" s="19" t="str">
        <f>"PFES1162674819_0001"</f>
        <v>PFES1162674819_0001</v>
      </c>
      <c r="L3221" s="19">
        <v>1</v>
      </c>
      <c r="M3221" s="19">
        <v>1</v>
      </c>
    </row>
    <row r="3222" spans="1:13">
      <c r="A3222" s="6">
        <v>43518</v>
      </c>
      <c r="B3222" s="7">
        <v>0.59583333333333333</v>
      </c>
      <c r="C3222" s="19" t="str">
        <f>"FES1162674786"</f>
        <v>FES1162674786</v>
      </c>
      <c r="D3222" s="19" t="s">
        <v>18</v>
      </c>
      <c r="E3222" s="19" t="s">
        <v>356</v>
      </c>
      <c r="F3222" s="19" t="str">
        <f>"2170673154 "</f>
        <v xml:space="preserve">2170673154 </v>
      </c>
      <c r="G3222" s="19" t="str">
        <f t="shared" si="92"/>
        <v>ON1</v>
      </c>
      <c r="H3222" s="19" t="s">
        <v>20</v>
      </c>
      <c r="I3222" s="19" t="s">
        <v>357</v>
      </c>
      <c r="J3222" s="19" t="str">
        <f>""</f>
        <v/>
      </c>
      <c r="K3222" s="19" t="str">
        <f>"PFES1162674786_0001"</f>
        <v>PFES1162674786_0001</v>
      </c>
      <c r="L3222" s="19">
        <v>1</v>
      </c>
      <c r="M3222" s="19">
        <v>1</v>
      </c>
    </row>
    <row r="3223" spans="1:13">
      <c r="A3223" s="6">
        <v>43518</v>
      </c>
      <c r="B3223" s="7">
        <v>0.59444444444444444</v>
      </c>
      <c r="C3223" s="19" t="str">
        <f>"FES1162674800"</f>
        <v>FES1162674800</v>
      </c>
      <c r="D3223" s="19" t="s">
        <v>18</v>
      </c>
      <c r="E3223" s="19" t="s">
        <v>609</v>
      </c>
      <c r="F3223" s="19" t="str">
        <f>"2170675888 "</f>
        <v xml:space="preserve">2170675888 </v>
      </c>
      <c r="G3223" s="19" t="str">
        <f t="shared" si="92"/>
        <v>ON1</v>
      </c>
      <c r="H3223" s="19" t="s">
        <v>20</v>
      </c>
      <c r="I3223" s="19" t="s">
        <v>61</v>
      </c>
      <c r="J3223" s="19" t="str">
        <f>""</f>
        <v/>
      </c>
      <c r="K3223" s="19" t="str">
        <f>"PFES1162674800_0001"</f>
        <v>PFES1162674800_0001</v>
      </c>
      <c r="L3223" s="19">
        <v>1</v>
      </c>
      <c r="M3223" s="19">
        <v>5</v>
      </c>
    </row>
    <row r="3224" spans="1:13">
      <c r="A3224" s="6">
        <v>43518</v>
      </c>
      <c r="B3224" s="7">
        <v>0.59305555555555556</v>
      </c>
      <c r="C3224" s="19" t="str">
        <f>"FES116674802"</f>
        <v>FES116674802</v>
      </c>
      <c r="D3224" s="19" t="s">
        <v>18</v>
      </c>
      <c r="E3224" s="19" t="s">
        <v>138</v>
      </c>
      <c r="F3224" s="19" t="str">
        <f>"2170675891 "</f>
        <v xml:space="preserve">2170675891 </v>
      </c>
      <c r="G3224" s="19" t="str">
        <f t="shared" si="92"/>
        <v>ON1</v>
      </c>
      <c r="H3224" s="19" t="s">
        <v>20</v>
      </c>
      <c r="I3224" s="19" t="s">
        <v>139</v>
      </c>
      <c r="J3224" s="19" t="str">
        <f>""</f>
        <v/>
      </c>
      <c r="K3224" s="19" t="str">
        <f>"PFES116674802_0001"</f>
        <v>PFES116674802_0001</v>
      </c>
      <c r="L3224" s="19">
        <v>1</v>
      </c>
      <c r="M3224" s="19">
        <v>8</v>
      </c>
    </row>
    <row r="3225" spans="1:13">
      <c r="A3225" s="6">
        <v>43518</v>
      </c>
      <c r="B3225" s="7">
        <v>0.59305555555555556</v>
      </c>
      <c r="C3225" s="19" t="str">
        <f>"FES1162674810"</f>
        <v>FES1162674810</v>
      </c>
      <c r="D3225" s="19" t="s">
        <v>18</v>
      </c>
      <c r="E3225" s="19" t="s">
        <v>452</v>
      </c>
      <c r="F3225" s="19" t="str">
        <f>"2170675903 "</f>
        <v xml:space="preserve">2170675903 </v>
      </c>
      <c r="G3225" s="19" t="str">
        <f>"SDX"</f>
        <v>SDX</v>
      </c>
      <c r="H3225" s="19" t="s">
        <v>20</v>
      </c>
      <c r="I3225" s="19" t="s">
        <v>453</v>
      </c>
      <c r="J3225" s="19" t="str">
        <f>""</f>
        <v/>
      </c>
      <c r="K3225" s="19" t="str">
        <f>"PFES1162674810_0001"</f>
        <v>PFES1162674810_0001</v>
      </c>
      <c r="L3225" s="19">
        <v>1</v>
      </c>
      <c r="M3225" s="19">
        <v>1</v>
      </c>
    </row>
    <row r="3226" spans="1:13">
      <c r="A3226" s="6">
        <v>43518</v>
      </c>
      <c r="B3226" s="7">
        <v>0.58958333333333335</v>
      </c>
      <c r="C3226" s="19" t="str">
        <f>"FES1162674794"</f>
        <v>FES1162674794</v>
      </c>
      <c r="D3226" s="19" t="s">
        <v>18</v>
      </c>
      <c r="E3226" s="19" t="s">
        <v>185</v>
      </c>
      <c r="F3226" s="19" t="str">
        <f>"2170675884 "</f>
        <v xml:space="preserve">2170675884 </v>
      </c>
      <c r="G3226" s="19" t="str">
        <f t="shared" ref="G3226:G3237" si="93">"ON1"</f>
        <v>ON1</v>
      </c>
      <c r="H3226" s="19" t="s">
        <v>20</v>
      </c>
      <c r="I3226" s="19" t="s">
        <v>93</v>
      </c>
      <c r="J3226" s="19" t="str">
        <f>""</f>
        <v/>
      </c>
      <c r="K3226" s="19" t="str">
        <f>"PFES1162674794_0001"</f>
        <v>PFES1162674794_0001</v>
      </c>
      <c r="L3226" s="19">
        <v>1</v>
      </c>
      <c r="M3226" s="19">
        <v>1</v>
      </c>
    </row>
    <row r="3227" spans="1:13">
      <c r="A3227" s="6">
        <v>43518</v>
      </c>
      <c r="B3227" s="7">
        <v>0.58958333333333335</v>
      </c>
      <c r="C3227" s="19" t="str">
        <f>"FES1162674806"</f>
        <v>FES1162674806</v>
      </c>
      <c r="D3227" s="19" t="s">
        <v>18</v>
      </c>
      <c r="E3227" s="19" t="s">
        <v>460</v>
      </c>
      <c r="F3227" s="19" t="str">
        <f>"2170675896 "</f>
        <v xml:space="preserve">2170675896 </v>
      </c>
      <c r="G3227" s="19" t="str">
        <f t="shared" si="93"/>
        <v>ON1</v>
      </c>
      <c r="H3227" s="19" t="s">
        <v>20</v>
      </c>
      <c r="I3227" s="19" t="s">
        <v>239</v>
      </c>
      <c r="J3227" s="19" t="str">
        <f>""</f>
        <v/>
      </c>
      <c r="K3227" s="19" t="str">
        <f>"PFES1162674806_0001"</f>
        <v>PFES1162674806_0001</v>
      </c>
      <c r="L3227" s="19">
        <v>1</v>
      </c>
      <c r="M3227" s="19">
        <v>1</v>
      </c>
    </row>
    <row r="3228" spans="1:13">
      <c r="A3228" s="6">
        <v>43518</v>
      </c>
      <c r="B3228" s="7">
        <v>0.58958333333333335</v>
      </c>
      <c r="C3228" s="19" t="str">
        <f>"FES1162674801"</f>
        <v>FES1162674801</v>
      </c>
      <c r="D3228" s="19" t="s">
        <v>18</v>
      </c>
      <c r="E3228" s="19" t="s">
        <v>315</v>
      </c>
      <c r="F3228" s="19" t="str">
        <f>"2170649238 "</f>
        <v xml:space="preserve">2170649238 </v>
      </c>
      <c r="G3228" s="19" t="str">
        <f t="shared" si="93"/>
        <v>ON1</v>
      </c>
      <c r="H3228" s="19" t="s">
        <v>20</v>
      </c>
      <c r="I3228" s="19" t="s">
        <v>239</v>
      </c>
      <c r="J3228" s="19" t="str">
        <f>""</f>
        <v/>
      </c>
      <c r="K3228" s="19" t="str">
        <f>"PFES1162674801_0001"</f>
        <v>PFES1162674801_0001</v>
      </c>
      <c r="L3228" s="19">
        <v>1</v>
      </c>
      <c r="M3228" s="19">
        <v>1</v>
      </c>
    </row>
    <row r="3229" spans="1:13">
      <c r="A3229" s="6">
        <v>43518</v>
      </c>
      <c r="B3229" s="7">
        <v>0.58888888888888891</v>
      </c>
      <c r="C3229" s="19" t="str">
        <f>"FES1162674795"</f>
        <v>FES1162674795</v>
      </c>
      <c r="D3229" s="19" t="s">
        <v>18</v>
      </c>
      <c r="E3229" s="19" t="s">
        <v>346</v>
      </c>
      <c r="F3229" s="19" t="str">
        <f>"2170661151 "</f>
        <v xml:space="preserve">2170661151 </v>
      </c>
      <c r="G3229" s="19" t="str">
        <f t="shared" si="93"/>
        <v>ON1</v>
      </c>
      <c r="H3229" s="19" t="s">
        <v>20</v>
      </c>
      <c r="I3229" s="19" t="s">
        <v>143</v>
      </c>
      <c r="J3229" s="19" t="str">
        <f>""</f>
        <v/>
      </c>
      <c r="K3229" s="19" t="str">
        <f>"PFES1162674795_0001"</f>
        <v>PFES1162674795_0001</v>
      </c>
      <c r="L3229" s="19">
        <v>1</v>
      </c>
      <c r="M3229" s="19">
        <v>1</v>
      </c>
    </row>
    <row r="3230" spans="1:13">
      <c r="A3230" s="6">
        <v>43518</v>
      </c>
      <c r="B3230" s="7">
        <v>0.58888888888888891</v>
      </c>
      <c r="C3230" s="19" t="str">
        <f>"FES1162674807"</f>
        <v>FES1162674807</v>
      </c>
      <c r="D3230" s="19" t="s">
        <v>18</v>
      </c>
      <c r="E3230" s="19" t="s">
        <v>460</v>
      </c>
      <c r="F3230" s="19" t="str">
        <f>"2170675897 "</f>
        <v xml:space="preserve">2170675897 </v>
      </c>
      <c r="G3230" s="19" t="str">
        <f t="shared" si="93"/>
        <v>ON1</v>
      </c>
      <c r="H3230" s="19" t="s">
        <v>20</v>
      </c>
      <c r="I3230" s="19" t="s">
        <v>239</v>
      </c>
      <c r="J3230" s="19" t="str">
        <f>""</f>
        <v/>
      </c>
      <c r="K3230" s="19" t="str">
        <f>"PFES1162674807_0001"</f>
        <v>PFES1162674807_0001</v>
      </c>
      <c r="L3230" s="19">
        <v>1</v>
      </c>
      <c r="M3230" s="19">
        <v>1</v>
      </c>
    </row>
    <row r="3231" spans="1:13">
      <c r="A3231" s="6">
        <v>43518</v>
      </c>
      <c r="B3231" s="7">
        <v>0.58263888888888882</v>
      </c>
      <c r="C3231" s="19" t="str">
        <f>"FES1162674793"</f>
        <v>FES1162674793</v>
      </c>
      <c r="D3231" s="19" t="s">
        <v>18</v>
      </c>
      <c r="E3231" s="19" t="s">
        <v>312</v>
      </c>
      <c r="F3231" s="19" t="str">
        <f>"217067588 "</f>
        <v xml:space="preserve">217067588 </v>
      </c>
      <c r="G3231" s="19" t="str">
        <f t="shared" si="93"/>
        <v>ON1</v>
      </c>
      <c r="H3231" s="19" t="s">
        <v>20</v>
      </c>
      <c r="I3231" s="19" t="s">
        <v>70</v>
      </c>
      <c r="J3231" s="19" t="str">
        <f>""</f>
        <v/>
      </c>
      <c r="K3231" s="19" t="str">
        <f>"PFES1162674793_0001"</f>
        <v>PFES1162674793_0001</v>
      </c>
      <c r="L3231" s="19">
        <v>1</v>
      </c>
      <c r="M3231" s="19">
        <v>1</v>
      </c>
    </row>
    <row r="3232" spans="1:13">
      <c r="A3232" s="6">
        <v>43518</v>
      </c>
      <c r="B3232" s="7">
        <v>0.58263888888888882</v>
      </c>
      <c r="C3232" s="19" t="str">
        <f>"FES1162674781"</f>
        <v>FES1162674781</v>
      </c>
      <c r="D3232" s="19" t="s">
        <v>18</v>
      </c>
      <c r="E3232" s="19" t="s">
        <v>677</v>
      </c>
      <c r="F3232" s="19" t="str">
        <f>"2170675872 "</f>
        <v xml:space="preserve">2170675872 </v>
      </c>
      <c r="G3232" s="19" t="str">
        <f t="shared" si="93"/>
        <v>ON1</v>
      </c>
      <c r="H3232" s="19" t="s">
        <v>20</v>
      </c>
      <c r="I3232" s="19" t="s">
        <v>149</v>
      </c>
      <c r="J3232" s="19" t="str">
        <f>""</f>
        <v/>
      </c>
      <c r="K3232" s="19" t="str">
        <f>"PFES1162674781_0001"</f>
        <v>PFES1162674781_0001</v>
      </c>
      <c r="L3232" s="19">
        <v>1</v>
      </c>
      <c r="M3232" s="19">
        <v>1</v>
      </c>
    </row>
    <row r="3233" spans="1:13">
      <c r="A3233" s="6">
        <v>43518</v>
      </c>
      <c r="B3233" s="7">
        <v>0.58263888888888882</v>
      </c>
      <c r="C3233" s="19" t="str">
        <f>"FES1162674787"</f>
        <v>FES1162674787</v>
      </c>
      <c r="D3233" s="19" t="s">
        <v>18</v>
      </c>
      <c r="E3233" s="19" t="s">
        <v>356</v>
      </c>
      <c r="F3233" s="19" t="str">
        <f>"2170673156 "</f>
        <v xml:space="preserve">2170673156 </v>
      </c>
      <c r="G3233" s="19" t="str">
        <f t="shared" si="93"/>
        <v>ON1</v>
      </c>
      <c r="H3233" s="19" t="s">
        <v>20</v>
      </c>
      <c r="I3233" s="19" t="s">
        <v>357</v>
      </c>
      <c r="J3233" s="19" t="str">
        <f>""</f>
        <v/>
      </c>
      <c r="K3233" s="19" t="str">
        <f>"PFES1162674787_0001"</f>
        <v>PFES1162674787_0001</v>
      </c>
      <c r="L3233" s="19">
        <v>1</v>
      </c>
      <c r="M3233" s="19">
        <v>1</v>
      </c>
    </row>
    <row r="3234" spans="1:13">
      <c r="A3234" s="6">
        <v>43518</v>
      </c>
      <c r="B3234" s="7">
        <v>0.58194444444444449</v>
      </c>
      <c r="C3234" s="19" t="str">
        <f>"FES1162674789"</f>
        <v>FES1162674789</v>
      </c>
      <c r="D3234" s="19" t="s">
        <v>18</v>
      </c>
      <c r="E3234" s="19" t="s">
        <v>356</v>
      </c>
      <c r="F3234" s="19" t="str">
        <f>"21706723259 "</f>
        <v xml:space="preserve">21706723259 </v>
      </c>
      <c r="G3234" s="19" t="str">
        <f t="shared" si="93"/>
        <v>ON1</v>
      </c>
      <c r="H3234" s="19" t="s">
        <v>20</v>
      </c>
      <c r="I3234" s="19" t="s">
        <v>357</v>
      </c>
      <c r="J3234" s="19" t="str">
        <f>""</f>
        <v/>
      </c>
      <c r="K3234" s="19" t="str">
        <f>"PFES1162674789_0001"</f>
        <v>PFES1162674789_0001</v>
      </c>
      <c r="L3234" s="19">
        <v>1</v>
      </c>
      <c r="M3234" s="19">
        <v>1</v>
      </c>
    </row>
    <row r="3235" spans="1:13">
      <c r="A3235" s="6">
        <v>43518</v>
      </c>
      <c r="B3235" s="7">
        <v>0.58194444444444449</v>
      </c>
      <c r="C3235" s="19" t="str">
        <f>"FES1162674788"</f>
        <v>FES1162674788</v>
      </c>
      <c r="D3235" s="19" t="s">
        <v>18</v>
      </c>
      <c r="E3235" s="19" t="s">
        <v>356</v>
      </c>
      <c r="F3235" s="19" t="str">
        <f>"2170673159 "</f>
        <v xml:space="preserve">2170673159 </v>
      </c>
      <c r="G3235" s="19" t="str">
        <f t="shared" si="93"/>
        <v>ON1</v>
      </c>
      <c r="H3235" s="19" t="s">
        <v>20</v>
      </c>
      <c r="I3235" s="19" t="s">
        <v>357</v>
      </c>
      <c r="J3235" s="19" t="str">
        <f>""</f>
        <v/>
      </c>
      <c r="K3235" s="19" t="str">
        <f>"PFES1162674788_0001"</f>
        <v>PFES1162674788_0001</v>
      </c>
      <c r="L3235" s="19">
        <v>1</v>
      </c>
      <c r="M3235" s="19">
        <v>1</v>
      </c>
    </row>
    <row r="3236" spans="1:13">
      <c r="A3236" s="6">
        <v>43518</v>
      </c>
      <c r="B3236" s="7">
        <v>0.58194444444444449</v>
      </c>
      <c r="C3236" s="19" t="str">
        <f>"FES1162674780"</f>
        <v>FES1162674780</v>
      </c>
      <c r="D3236" s="19" t="s">
        <v>18</v>
      </c>
      <c r="E3236" s="19" t="s">
        <v>140</v>
      </c>
      <c r="F3236" s="19" t="str">
        <f>"2170675871 "</f>
        <v xml:space="preserve">2170675871 </v>
      </c>
      <c r="G3236" s="19" t="str">
        <f t="shared" si="93"/>
        <v>ON1</v>
      </c>
      <c r="H3236" s="19" t="s">
        <v>20</v>
      </c>
      <c r="I3236" s="19" t="s">
        <v>141</v>
      </c>
      <c r="J3236" s="19" t="str">
        <f>""</f>
        <v/>
      </c>
      <c r="K3236" s="19" t="str">
        <f>"PFES1162674780_0001"</f>
        <v>PFES1162674780_0001</v>
      </c>
      <c r="L3236" s="19">
        <v>1</v>
      </c>
      <c r="M3236" s="19">
        <v>1</v>
      </c>
    </row>
    <row r="3237" spans="1:13">
      <c r="A3237" s="6">
        <v>43518</v>
      </c>
      <c r="B3237" s="7">
        <v>0.58194444444444449</v>
      </c>
      <c r="C3237" s="19" t="str">
        <f>"FES1162674774"</f>
        <v>FES1162674774</v>
      </c>
      <c r="D3237" s="19" t="s">
        <v>18</v>
      </c>
      <c r="E3237" s="19" t="s">
        <v>88</v>
      </c>
      <c r="F3237" s="19" t="str">
        <f>"2170674101 "</f>
        <v xml:space="preserve">2170674101 </v>
      </c>
      <c r="G3237" s="19" t="str">
        <f t="shared" si="93"/>
        <v>ON1</v>
      </c>
      <c r="H3237" s="19" t="s">
        <v>20</v>
      </c>
      <c r="I3237" s="19" t="s">
        <v>53</v>
      </c>
      <c r="J3237" s="19" t="str">
        <f>""</f>
        <v/>
      </c>
      <c r="K3237" s="19" t="str">
        <f>"PFES1162674774_0001"</f>
        <v>PFES1162674774_0001</v>
      </c>
      <c r="L3237" s="19">
        <v>1</v>
      </c>
      <c r="M3237" s="19">
        <v>8</v>
      </c>
    </row>
    <row r="3238" spans="1:13">
      <c r="A3238" s="6">
        <v>43518</v>
      </c>
      <c r="B3238" s="7">
        <v>0.57986111111111105</v>
      </c>
      <c r="C3238" s="19" t="str">
        <f>"FES1162674798"</f>
        <v>FES1162674798</v>
      </c>
      <c r="D3238" s="19" t="s">
        <v>18</v>
      </c>
      <c r="E3238" s="19" t="s">
        <v>47</v>
      </c>
      <c r="F3238" s="19" t="str">
        <f>"2170675881 "</f>
        <v xml:space="preserve">2170675881 </v>
      </c>
      <c r="G3238" s="19" t="str">
        <f>"SAT"</f>
        <v>SAT</v>
      </c>
      <c r="H3238" s="19" t="s">
        <v>20</v>
      </c>
      <c r="I3238" s="19" t="s">
        <v>48</v>
      </c>
      <c r="J3238" s="19" t="str">
        <f>"PLS SATURDAY DELIVER CONTACT,"</f>
        <v>PLS SATURDAY DELIVER CONTACT,</v>
      </c>
      <c r="K3238" s="19" t="str">
        <f>"PFES1162674798_0001"</f>
        <v>PFES1162674798_0001</v>
      </c>
      <c r="L3238" s="19">
        <v>1</v>
      </c>
      <c r="M3238" s="19">
        <v>1</v>
      </c>
    </row>
    <row r="3239" spans="1:13">
      <c r="A3239" s="6">
        <v>43518</v>
      </c>
      <c r="B3239" s="7">
        <v>0.57916666666666672</v>
      </c>
      <c r="C3239" s="19" t="str">
        <f>"FES1162674809"</f>
        <v>FES1162674809</v>
      </c>
      <c r="D3239" s="19" t="s">
        <v>18</v>
      </c>
      <c r="E3239" s="19" t="s">
        <v>129</v>
      </c>
      <c r="F3239" s="19" t="str">
        <f>"2170675900 "</f>
        <v xml:space="preserve">2170675900 </v>
      </c>
      <c r="G3239" s="19" t="str">
        <f t="shared" ref="G3239:G3302" si="94">"ON1"</f>
        <v>ON1</v>
      </c>
      <c r="H3239" s="19" t="s">
        <v>20</v>
      </c>
      <c r="I3239" s="19" t="s">
        <v>130</v>
      </c>
      <c r="J3239" s="19" t="str">
        <f>""</f>
        <v/>
      </c>
      <c r="K3239" s="19" t="str">
        <f>"PFES1162674809_0001"</f>
        <v>PFES1162674809_0001</v>
      </c>
      <c r="L3239" s="19">
        <v>1</v>
      </c>
      <c r="M3239" s="19">
        <v>1</v>
      </c>
    </row>
    <row r="3240" spans="1:13">
      <c r="A3240" s="6">
        <v>43518</v>
      </c>
      <c r="B3240" s="7">
        <v>0.57708333333333328</v>
      </c>
      <c r="C3240" s="19" t="str">
        <f>"FES1162674776"</f>
        <v>FES1162674776</v>
      </c>
      <c r="D3240" s="19" t="s">
        <v>18</v>
      </c>
      <c r="E3240" s="19" t="s">
        <v>530</v>
      </c>
      <c r="F3240" s="19" t="str">
        <f>"2170675347 "</f>
        <v xml:space="preserve">2170675347 </v>
      </c>
      <c r="G3240" s="19" t="str">
        <f t="shared" si="94"/>
        <v>ON1</v>
      </c>
      <c r="H3240" s="19" t="s">
        <v>20</v>
      </c>
      <c r="I3240" s="19" t="s">
        <v>531</v>
      </c>
      <c r="J3240" s="19" t="str">
        <f>""</f>
        <v/>
      </c>
      <c r="K3240" s="19" t="str">
        <f>"PFES1162674776_0001"</f>
        <v>PFES1162674776_0001</v>
      </c>
      <c r="L3240" s="19">
        <v>1</v>
      </c>
      <c r="M3240" s="19">
        <v>5</v>
      </c>
    </row>
    <row r="3241" spans="1:13">
      <c r="A3241" s="6">
        <v>43518</v>
      </c>
      <c r="B3241" s="7">
        <v>0.57638888888888895</v>
      </c>
      <c r="C3241" s="19" t="str">
        <f>"FES1162674771"</f>
        <v>FES1162674771</v>
      </c>
      <c r="D3241" s="19" t="s">
        <v>18</v>
      </c>
      <c r="E3241" s="19" t="s">
        <v>399</v>
      </c>
      <c r="F3241" s="19" t="str">
        <f>"2170675866 "</f>
        <v xml:space="preserve">2170675866 </v>
      </c>
      <c r="G3241" s="19" t="str">
        <f t="shared" si="94"/>
        <v>ON1</v>
      </c>
      <c r="H3241" s="19" t="s">
        <v>20</v>
      </c>
      <c r="I3241" s="19" t="s">
        <v>29</v>
      </c>
      <c r="J3241" s="19" t="str">
        <f>""</f>
        <v/>
      </c>
      <c r="K3241" s="19" t="str">
        <f>"PFES1162674771_0001"</f>
        <v>PFES1162674771_0001</v>
      </c>
      <c r="L3241" s="19">
        <v>1</v>
      </c>
      <c r="M3241" s="19">
        <v>4</v>
      </c>
    </row>
    <row r="3242" spans="1:13">
      <c r="A3242" s="6">
        <v>43518</v>
      </c>
      <c r="B3242" s="7">
        <v>0.5756944444444444</v>
      </c>
      <c r="C3242" s="19" t="str">
        <f>"FES1162674744"</f>
        <v>FES1162674744</v>
      </c>
      <c r="D3242" s="19" t="s">
        <v>18</v>
      </c>
      <c r="E3242" s="19" t="s">
        <v>405</v>
      </c>
      <c r="F3242" s="19" t="str">
        <f>"2170675839 "</f>
        <v xml:space="preserve">2170675839 </v>
      </c>
      <c r="G3242" s="19" t="str">
        <f t="shared" si="94"/>
        <v>ON1</v>
      </c>
      <c r="H3242" s="19" t="s">
        <v>20</v>
      </c>
      <c r="I3242" s="19" t="s">
        <v>239</v>
      </c>
      <c r="J3242" s="19" t="str">
        <f>""</f>
        <v/>
      </c>
      <c r="K3242" s="19" t="str">
        <f>"PFES1162674744_0001"</f>
        <v>PFES1162674744_0001</v>
      </c>
      <c r="L3242" s="19">
        <v>1</v>
      </c>
      <c r="M3242" s="19">
        <v>1</v>
      </c>
    </row>
    <row r="3243" spans="1:13">
      <c r="A3243" s="6">
        <v>43518</v>
      </c>
      <c r="B3243" s="7">
        <v>0.57430555555555551</v>
      </c>
      <c r="C3243" s="19" t="str">
        <f>"FES1162674764"</f>
        <v>FES1162674764</v>
      </c>
      <c r="D3243" s="19" t="s">
        <v>18</v>
      </c>
      <c r="E3243" s="19" t="s">
        <v>19</v>
      </c>
      <c r="F3243" s="19" t="str">
        <f>"2170675859 "</f>
        <v xml:space="preserve">2170675859 </v>
      </c>
      <c r="G3243" s="19" t="str">
        <f t="shared" si="94"/>
        <v>ON1</v>
      </c>
      <c r="H3243" s="19" t="s">
        <v>20</v>
      </c>
      <c r="I3243" s="19" t="s">
        <v>21</v>
      </c>
      <c r="J3243" s="19" t="str">
        <f>""</f>
        <v/>
      </c>
      <c r="K3243" s="19" t="str">
        <f>"PFES1162674764_0001"</f>
        <v>PFES1162674764_0001</v>
      </c>
      <c r="L3243" s="19">
        <v>1</v>
      </c>
      <c r="M3243" s="19">
        <v>2</v>
      </c>
    </row>
    <row r="3244" spans="1:13">
      <c r="A3244" s="6">
        <v>43518</v>
      </c>
      <c r="B3244" s="7">
        <v>0.57361111111111118</v>
      </c>
      <c r="C3244" s="19" t="str">
        <f>"009935723026"</f>
        <v>009935723026</v>
      </c>
      <c r="D3244" s="19" t="s">
        <v>18</v>
      </c>
      <c r="E3244" s="19" t="s">
        <v>646</v>
      </c>
      <c r="F3244" s="19" t="str">
        <f>"1162672824 "</f>
        <v xml:space="preserve">1162672824 </v>
      </c>
      <c r="G3244" s="19" t="str">
        <f t="shared" si="94"/>
        <v>ON1</v>
      </c>
      <c r="H3244" s="19" t="s">
        <v>20</v>
      </c>
      <c r="I3244" s="19" t="s">
        <v>410</v>
      </c>
      <c r="J3244" s="19" t="str">
        <f>"RE SEND PARCEL"</f>
        <v>RE SEND PARCEL</v>
      </c>
      <c r="K3244" s="19" t="str">
        <f>"P009935723026_0001"</f>
        <v>P009935723026_0001</v>
      </c>
      <c r="L3244" s="19">
        <v>1</v>
      </c>
      <c r="M3244" s="19">
        <v>3</v>
      </c>
    </row>
    <row r="3245" spans="1:13">
      <c r="A3245" s="6">
        <v>43518</v>
      </c>
      <c r="B3245" s="7">
        <v>0.57152777777777775</v>
      </c>
      <c r="C3245" s="19" t="str">
        <f>"009935723025"</f>
        <v>009935723025</v>
      </c>
      <c r="D3245" s="19" t="s">
        <v>18</v>
      </c>
      <c r="E3245" s="19" t="s">
        <v>1111</v>
      </c>
      <c r="F3245" s="19" t="str">
        <f>"1162667309 "</f>
        <v xml:space="preserve">1162667309 </v>
      </c>
      <c r="G3245" s="19" t="str">
        <f t="shared" si="94"/>
        <v>ON1</v>
      </c>
      <c r="H3245" s="19" t="s">
        <v>20</v>
      </c>
      <c r="I3245" s="19" t="s">
        <v>1112</v>
      </c>
      <c r="J3245" s="19" t="str">
        <f>"RE SEND PARCEL"</f>
        <v>RE SEND PARCEL</v>
      </c>
      <c r="K3245" s="19" t="str">
        <f>"P009935723025_0001"</f>
        <v>P009935723025_0001</v>
      </c>
      <c r="L3245" s="19">
        <v>1</v>
      </c>
      <c r="M3245" s="19">
        <v>2</v>
      </c>
    </row>
    <row r="3246" spans="1:13">
      <c r="A3246" s="6">
        <v>43518</v>
      </c>
      <c r="B3246" s="7">
        <v>0.56944444444444442</v>
      </c>
      <c r="C3246" s="19" t="str">
        <f>"FES1162674759"</f>
        <v>FES1162674759</v>
      </c>
      <c r="D3246" s="19" t="s">
        <v>18</v>
      </c>
      <c r="E3246" s="19" t="s">
        <v>19</v>
      </c>
      <c r="F3246" s="19" t="str">
        <f>"2170675823 "</f>
        <v xml:space="preserve">2170675823 </v>
      </c>
      <c r="G3246" s="19" t="str">
        <f t="shared" si="94"/>
        <v>ON1</v>
      </c>
      <c r="H3246" s="19" t="s">
        <v>20</v>
      </c>
      <c r="I3246" s="19" t="s">
        <v>21</v>
      </c>
      <c r="J3246" s="19" t="str">
        <f>""</f>
        <v/>
      </c>
      <c r="K3246" s="19" t="str">
        <f>"PFES1162674759_0001"</f>
        <v>PFES1162674759_0001</v>
      </c>
      <c r="L3246" s="19">
        <v>1</v>
      </c>
      <c r="M3246" s="19">
        <v>4</v>
      </c>
    </row>
    <row r="3247" spans="1:13">
      <c r="A3247" s="6">
        <v>43518</v>
      </c>
      <c r="B3247" s="7">
        <v>0.56805555555555554</v>
      </c>
      <c r="C3247" s="19" t="str">
        <f>"FES1162674790"</f>
        <v>FES1162674790</v>
      </c>
      <c r="D3247" s="19" t="s">
        <v>18</v>
      </c>
      <c r="E3247" s="19" t="s">
        <v>502</v>
      </c>
      <c r="F3247" s="19" t="str">
        <f>"2170674388 "</f>
        <v xml:space="preserve">2170674388 </v>
      </c>
      <c r="G3247" s="19" t="str">
        <f t="shared" si="94"/>
        <v>ON1</v>
      </c>
      <c r="H3247" s="19" t="s">
        <v>20</v>
      </c>
      <c r="I3247" s="19" t="s">
        <v>139</v>
      </c>
      <c r="J3247" s="19" t="str">
        <f>""</f>
        <v/>
      </c>
      <c r="K3247" s="19" t="str">
        <f>"PFES1162674790_0001"</f>
        <v>PFES1162674790_0001</v>
      </c>
      <c r="L3247" s="19">
        <v>2</v>
      </c>
      <c r="M3247" s="19">
        <v>8</v>
      </c>
    </row>
    <row r="3248" spans="1:13">
      <c r="A3248" s="6">
        <v>43496</v>
      </c>
      <c r="B3248" s="7">
        <v>0.62777777777777777</v>
      </c>
      <c r="C3248" s="19" t="str">
        <f>"FES1162674790"</f>
        <v>FES1162674790</v>
      </c>
      <c r="D3248" s="19" t="s">
        <v>18</v>
      </c>
      <c r="E3248" s="19" t="s">
        <v>190</v>
      </c>
      <c r="F3248" s="19" t="str">
        <f>"2170671735 "</f>
        <v xml:space="preserve">2170671735 </v>
      </c>
      <c r="G3248" s="19" t="str">
        <f t="shared" si="94"/>
        <v>ON1</v>
      </c>
      <c r="H3248" s="19" t="s">
        <v>20</v>
      </c>
      <c r="I3248" s="19" t="s">
        <v>362</v>
      </c>
      <c r="J3248" s="19" t="str">
        <f>""</f>
        <v/>
      </c>
      <c r="K3248" s="19" t="str">
        <f>"PFES1162674790_0002"</f>
        <v>PFES1162674790_0002</v>
      </c>
      <c r="L3248" s="19">
        <v>1</v>
      </c>
      <c r="M3248" s="19">
        <v>1</v>
      </c>
    </row>
    <row r="3249" spans="1:13">
      <c r="A3249" s="6">
        <v>43518</v>
      </c>
      <c r="B3249" s="7">
        <v>0.56388888888888888</v>
      </c>
      <c r="C3249" s="19" t="str">
        <f>"FES1162674739"</f>
        <v>FES1162674739</v>
      </c>
      <c r="D3249" s="19" t="s">
        <v>18</v>
      </c>
      <c r="E3249" s="19" t="s">
        <v>132</v>
      </c>
      <c r="F3249" s="19" t="str">
        <f>"2170675833 "</f>
        <v xml:space="preserve">2170675833 </v>
      </c>
      <c r="G3249" s="19" t="str">
        <f t="shared" si="94"/>
        <v>ON1</v>
      </c>
      <c r="H3249" s="19" t="s">
        <v>20</v>
      </c>
      <c r="I3249" s="19" t="s">
        <v>213</v>
      </c>
      <c r="J3249" s="19" t="str">
        <f>""</f>
        <v/>
      </c>
      <c r="K3249" s="19" t="str">
        <f>"PFES1162674739_0001"</f>
        <v>PFES1162674739_0001</v>
      </c>
      <c r="L3249" s="19">
        <v>1</v>
      </c>
      <c r="M3249" s="19">
        <v>1</v>
      </c>
    </row>
    <row r="3250" spans="1:13">
      <c r="A3250" s="6">
        <v>43518</v>
      </c>
      <c r="B3250" s="7">
        <v>0.5625</v>
      </c>
      <c r="C3250" s="19" t="str">
        <f>"FES1162674724"</f>
        <v>FES1162674724</v>
      </c>
      <c r="D3250" s="19" t="s">
        <v>18</v>
      </c>
      <c r="E3250" s="19" t="s">
        <v>534</v>
      </c>
      <c r="F3250" s="19" t="str">
        <f>"2170675818 "</f>
        <v xml:space="preserve">2170675818 </v>
      </c>
      <c r="G3250" s="19" t="str">
        <f t="shared" si="94"/>
        <v>ON1</v>
      </c>
      <c r="H3250" s="19" t="s">
        <v>20</v>
      </c>
      <c r="I3250" s="19" t="s">
        <v>535</v>
      </c>
      <c r="J3250" s="19" t="str">
        <f>""</f>
        <v/>
      </c>
      <c r="K3250" s="19" t="str">
        <f>"PFES1162674724_0001"</f>
        <v>PFES1162674724_0001</v>
      </c>
      <c r="L3250" s="19">
        <v>1</v>
      </c>
      <c r="M3250" s="19">
        <v>7</v>
      </c>
    </row>
    <row r="3251" spans="1:13">
      <c r="A3251" s="6">
        <v>43518</v>
      </c>
      <c r="B3251" s="7">
        <v>0.56180555555555556</v>
      </c>
      <c r="C3251" s="19" t="str">
        <f>"FES1162674741"</f>
        <v>FES1162674741</v>
      </c>
      <c r="D3251" s="19" t="s">
        <v>18</v>
      </c>
      <c r="E3251" s="19" t="s">
        <v>120</v>
      </c>
      <c r="F3251" s="19" t="str">
        <f>"2170675836 "</f>
        <v xml:space="preserve">2170675836 </v>
      </c>
      <c r="G3251" s="19" t="str">
        <f t="shared" si="94"/>
        <v>ON1</v>
      </c>
      <c r="H3251" s="19" t="s">
        <v>20</v>
      </c>
      <c r="I3251" s="19" t="s">
        <v>121</v>
      </c>
      <c r="J3251" s="19" t="str">
        <f>""</f>
        <v/>
      </c>
      <c r="K3251" s="19" t="str">
        <f>"PFES1162674741_0001"</f>
        <v>PFES1162674741_0001</v>
      </c>
      <c r="L3251" s="19">
        <v>1</v>
      </c>
      <c r="M3251" s="19">
        <v>2</v>
      </c>
    </row>
    <row r="3252" spans="1:13">
      <c r="A3252" s="6">
        <v>43518</v>
      </c>
      <c r="B3252" s="7">
        <v>0.56111111111111112</v>
      </c>
      <c r="C3252" s="19" t="str">
        <f>"FES1162674750"</f>
        <v>FES1162674750</v>
      </c>
      <c r="D3252" s="19" t="s">
        <v>18</v>
      </c>
      <c r="E3252" s="19" t="s">
        <v>1113</v>
      </c>
      <c r="F3252" s="19" t="str">
        <f>"2170675842 "</f>
        <v xml:space="preserve">2170675842 </v>
      </c>
      <c r="G3252" s="19" t="str">
        <f t="shared" si="94"/>
        <v>ON1</v>
      </c>
      <c r="H3252" s="19" t="s">
        <v>20</v>
      </c>
      <c r="I3252" s="19" t="s">
        <v>182</v>
      </c>
      <c r="J3252" s="19" t="str">
        <f>""</f>
        <v/>
      </c>
      <c r="K3252" s="19" t="str">
        <f>"PFES1162674750_0001"</f>
        <v>PFES1162674750_0001</v>
      </c>
      <c r="L3252" s="19">
        <v>1</v>
      </c>
      <c r="M3252" s="19">
        <v>5</v>
      </c>
    </row>
    <row r="3253" spans="1:13">
      <c r="A3253" s="6">
        <v>43518</v>
      </c>
      <c r="B3253" s="7">
        <v>0.55972222222222223</v>
      </c>
      <c r="C3253" s="19" t="str">
        <f>"FES1162674754"</f>
        <v>FES1162674754</v>
      </c>
      <c r="D3253" s="19" t="s">
        <v>18</v>
      </c>
      <c r="E3253" s="19" t="s">
        <v>97</v>
      </c>
      <c r="F3253" s="19" t="str">
        <f>"2170675849 "</f>
        <v xml:space="preserve">2170675849 </v>
      </c>
      <c r="G3253" s="19" t="str">
        <f t="shared" si="94"/>
        <v>ON1</v>
      </c>
      <c r="H3253" s="19" t="s">
        <v>20</v>
      </c>
      <c r="I3253" s="19" t="s">
        <v>70</v>
      </c>
      <c r="J3253" s="19" t="str">
        <f>""</f>
        <v/>
      </c>
      <c r="K3253" s="19" t="str">
        <f>"PFES1162674754_0001"</f>
        <v>PFES1162674754_0001</v>
      </c>
      <c r="L3253" s="19">
        <v>1</v>
      </c>
      <c r="M3253" s="19">
        <v>1</v>
      </c>
    </row>
    <row r="3254" spans="1:13">
      <c r="A3254" s="6">
        <v>43518</v>
      </c>
      <c r="B3254" s="7">
        <v>0.55972222222222223</v>
      </c>
      <c r="C3254" s="19" t="str">
        <f>"FES1162674707"</f>
        <v>FES1162674707</v>
      </c>
      <c r="D3254" s="19" t="s">
        <v>18</v>
      </c>
      <c r="E3254" s="19" t="s">
        <v>1031</v>
      </c>
      <c r="F3254" s="19" t="str">
        <f>"2170675172 "</f>
        <v xml:space="preserve">2170675172 </v>
      </c>
      <c r="G3254" s="19" t="str">
        <f t="shared" si="94"/>
        <v>ON1</v>
      </c>
      <c r="H3254" s="19" t="s">
        <v>20</v>
      </c>
      <c r="I3254" s="19" t="s">
        <v>390</v>
      </c>
      <c r="J3254" s="19" t="str">
        <f>""</f>
        <v/>
      </c>
      <c r="K3254" s="19" t="str">
        <f>"PFES1162674707_0001"</f>
        <v>PFES1162674707_0001</v>
      </c>
      <c r="L3254" s="19">
        <v>1</v>
      </c>
      <c r="M3254" s="19">
        <v>4</v>
      </c>
    </row>
    <row r="3255" spans="1:13">
      <c r="A3255" s="6">
        <v>43518</v>
      </c>
      <c r="B3255" s="7">
        <v>0.55902777777777779</v>
      </c>
      <c r="C3255" s="19" t="str">
        <f>"FES1162674708"</f>
        <v>FES1162674708</v>
      </c>
      <c r="D3255" s="19" t="s">
        <v>18</v>
      </c>
      <c r="E3255" s="19" t="s">
        <v>807</v>
      </c>
      <c r="F3255" s="19" t="str">
        <f>"2170675152 "</f>
        <v xml:space="preserve">2170675152 </v>
      </c>
      <c r="G3255" s="19" t="str">
        <f t="shared" si="94"/>
        <v>ON1</v>
      </c>
      <c r="H3255" s="19" t="s">
        <v>20</v>
      </c>
      <c r="I3255" s="19" t="s">
        <v>808</v>
      </c>
      <c r="J3255" s="19" t="str">
        <f>""</f>
        <v/>
      </c>
      <c r="K3255" s="19" t="str">
        <f>"PFES1162674708_0001"</f>
        <v>PFES1162674708_0001</v>
      </c>
      <c r="L3255" s="19">
        <v>1</v>
      </c>
      <c r="M3255" s="19">
        <v>16</v>
      </c>
    </row>
    <row r="3256" spans="1:13">
      <c r="A3256" s="6">
        <v>43518</v>
      </c>
      <c r="B3256" s="7">
        <v>0.55763888888888891</v>
      </c>
      <c r="C3256" s="19" t="str">
        <f>"FES1162674727"</f>
        <v>FES1162674727</v>
      </c>
      <c r="D3256" s="19" t="s">
        <v>18</v>
      </c>
      <c r="E3256" s="19" t="s">
        <v>1114</v>
      </c>
      <c r="F3256" s="19" t="str">
        <f>"2170671151 "</f>
        <v xml:space="preserve">2170671151 </v>
      </c>
      <c r="G3256" s="19" t="str">
        <f t="shared" si="94"/>
        <v>ON1</v>
      </c>
      <c r="H3256" s="19" t="s">
        <v>20</v>
      </c>
      <c r="I3256" s="19" t="s">
        <v>61</v>
      </c>
      <c r="J3256" s="19" t="str">
        <f>""</f>
        <v/>
      </c>
      <c r="K3256" s="19" t="str">
        <f>"PFES1162674727_0001"</f>
        <v>PFES1162674727_0001</v>
      </c>
      <c r="L3256" s="19">
        <v>1</v>
      </c>
      <c r="M3256" s="19">
        <v>7</v>
      </c>
    </row>
    <row r="3257" spans="1:13">
      <c r="A3257" s="6">
        <v>43518</v>
      </c>
      <c r="B3257" s="7">
        <v>0.55555555555555558</v>
      </c>
      <c r="C3257" s="19" t="str">
        <f>"FES1162674688"</f>
        <v>FES1162674688</v>
      </c>
      <c r="D3257" s="19" t="s">
        <v>18</v>
      </c>
      <c r="E3257" s="19" t="s">
        <v>73</v>
      </c>
      <c r="F3257" s="19" t="str">
        <f>"2170675781 "</f>
        <v xml:space="preserve">2170675781 </v>
      </c>
      <c r="G3257" s="19" t="str">
        <f t="shared" si="94"/>
        <v>ON1</v>
      </c>
      <c r="H3257" s="19" t="s">
        <v>20</v>
      </c>
      <c r="I3257" s="19" t="s">
        <v>61</v>
      </c>
      <c r="J3257" s="19" t="str">
        <f>""</f>
        <v/>
      </c>
      <c r="K3257" s="19" t="str">
        <f>"PFES1162674688_0001"</f>
        <v>PFES1162674688_0001</v>
      </c>
      <c r="L3257" s="19">
        <v>1</v>
      </c>
      <c r="M3257" s="19">
        <v>14</v>
      </c>
    </row>
    <row r="3258" spans="1:13">
      <c r="A3258" s="6">
        <v>43518</v>
      </c>
      <c r="B3258" s="7">
        <v>0.55486111111111114</v>
      </c>
      <c r="C3258" s="19" t="str">
        <f>"FES1162674709"</f>
        <v>FES1162674709</v>
      </c>
      <c r="D3258" s="19" t="s">
        <v>18</v>
      </c>
      <c r="E3258" s="19" t="s">
        <v>332</v>
      </c>
      <c r="F3258" s="19" t="str">
        <f>"2170675799 "</f>
        <v xml:space="preserve">2170675799 </v>
      </c>
      <c r="G3258" s="19" t="str">
        <f t="shared" si="94"/>
        <v>ON1</v>
      </c>
      <c r="H3258" s="19" t="s">
        <v>20</v>
      </c>
      <c r="I3258" s="19" t="s">
        <v>333</v>
      </c>
      <c r="J3258" s="19" t="str">
        <f>""</f>
        <v/>
      </c>
      <c r="K3258" s="19" t="str">
        <f>"PFES1162674709_0001"</f>
        <v>PFES1162674709_0001</v>
      </c>
      <c r="L3258" s="19">
        <v>1</v>
      </c>
      <c r="M3258" s="19">
        <v>1</v>
      </c>
    </row>
    <row r="3259" spans="1:13">
      <c r="A3259" s="6">
        <v>43518</v>
      </c>
      <c r="B3259" s="7">
        <v>0.5541666666666667</v>
      </c>
      <c r="C3259" s="19" t="str">
        <f>"FES1162674765"</f>
        <v>FES1162674765</v>
      </c>
      <c r="D3259" s="19" t="s">
        <v>18</v>
      </c>
      <c r="E3259" s="19" t="s">
        <v>375</v>
      </c>
      <c r="F3259" s="19" t="str">
        <f>"2170675860 "</f>
        <v xml:space="preserve">2170675860 </v>
      </c>
      <c r="G3259" s="19" t="str">
        <f t="shared" si="94"/>
        <v>ON1</v>
      </c>
      <c r="H3259" s="19" t="s">
        <v>20</v>
      </c>
      <c r="I3259" s="19" t="s">
        <v>99</v>
      </c>
      <c r="J3259" s="19" t="str">
        <f>""</f>
        <v/>
      </c>
      <c r="K3259" s="19" t="str">
        <f>"PFES1162674765_0001"</f>
        <v>PFES1162674765_0001</v>
      </c>
      <c r="L3259" s="19">
        <v>1</v>
      </c>
      <c r="M3259" s="19">
        <v>1</v>
      </c>
    </row>
    <row r="3260" spans="1:13">
      <c r="A3260" s="6">
        <v>43518</v>
      </c>
      <c r="B3260" s="7">
        <v>0.5541666666666667</v>
      </c>
      <c r="C3260" s="19" t="str">
        <f>"FES1162674718"</f>
        <v>FES1162674718</v>
      </c>
      <c r="D3260" s="19" t="s">
        <v>18</v>
      </c>
      <c r="E3260" s="19" t="s">
        <v>452</v>
      </c>
      <c r="F3260" s="19" t="str">
        <f>"2170675810 "</f>
        <v xml:space="preserve">2170675810 </v>
      </c>
      <c r="G3260" s="19" t="str">
        <f t="shared" si="94"/>
        <v>ON1</v>
      </c>
      <c r="H3260" s="19" t="s">
        <v>20</v>
      </c>
      <c r="I3260" s="19" t="s">
        <v>453</v>
      </c>
      <c r="J3260" s="19" t="str">
        <f>""</f>
        <v/>
      </c>
      <c r="K3260" s="19" t="str">
        <f>"PFES1162674718_0001"</f>
        <v>PFES1162674718_0001</v>
      </c>
      <c r="L3260" s="19">
        <v>1</v>
      </c>
      <c r="M3260" s="19">
        <v>1</v>
      </c>
    </row>
    <row r="3261" spans="1:13">
      <c r="A3261" s="6">
        <v>43518</v>
      </c>
      <c r="B3261" s="7">
        <v>0.5541666666666667</v>
      </c>
      <c r="C3261" s="19" t="str">
        <f>"FES1162674752"</f>
        <v>FES1162674752</v>
      </c>
      <c r="D3261" s="19" t="s">
        <v>18</v>
      </c>
      <c r="E3261" s="19" t="s">
        <v>71</v>
      </c>
      <c r="F3261" s="19" t="str">
        <f>"2170671998 "</f>
        <v xml:space="preserve">2170671998 </v>
      </c>
      <c r="G3261" s="19" t="str">
        <f t="shared" si="94"/>
        <v>ON1</v>
      </c>
      <c r="H3261" s="19" t="s">
        <v>20</v>
      </c>
      <c r="I3261" s="19" t="s">
        <v>72</v>
      </c>
      <c r="J3261" s="19" t="str">
        <f>""</f>
        <v/>
      </c>
      <c r="K3261" s="19" t="str">
        <f>"PFES1162674752_0001"</f>
        <v>PFES1162674752_0001</v>
      </c>
      <c r="L3261" s="19">
        <v>1</v>
      </c>
      <c r="M3261" s="19">
        <v>6</v>
      </c>
    </row>
    <row r="3262" spans="1:13">
      <c r="A3262" s="6">
        <v>43518</v>
      </c>
      <c r="B3262" s="7">
        <v>0.55347222222222225</v>
      </c>
      <c r="C3262" s="19" t="str">
        <f>"FES1162674779"</f>
        <v>FES1162674779</v>
      </c>
      <c r="D3262" s="19" t="s">
        <v>18</v>
      </c>
      <c r="E3262" s="19" t="s">
        <v>530</v>
      </c>
      <c r="F3262" s="19" t="str">
        <f>"2170675870 "</f>
        <v xml:space="preserve">2170675870 </v>
      </c>
      <c r="G3262" s="19" t="str">
        <f t="shared" si="94"/>
        <v>ON1</v>
      </c>
      <c r="H3262" s="19" t="s">
        <v>20</v>
      </c>
      <c r="I3262" s="19" t="s">
        <v>531</v>
      </c>
      <c r="J3262" s="19" t="str">
        <f>""</f>
        <v/>
      </c>
      <c r="K3262" s="19" t="str">
        <f>"PFES1162674779_0001"</f>
        <v>PFES1162674779_0001</v>
      </c>
      <c r="L3262" s="19">
        <v>1</v>
      </c>
      <c r="M3262" s="19">
        <v>1</v>
      </c>
    </row>
    <row r="3263" spans="1:13">
      <c r="A3263" s="6">
        <v>43518</v>
      </c>
      <c r="B3263" s="7">
        <v>0.55277777777777781</v>
      </c>
      <c r="C3263" s="19" t="str">
        <f>"FES1162674784"</f>
        <v>FES1162674784</v>
      </c>
      <c r="D3263" s="19" t="s">
        <v>18</v>
      </c>
      <c r="E3263" s="19" t="s">
        <v>780</v>
      </c>
      <c r="F3263" s="19" t="str">
        <f>"2170675876 "</f>
        <v xml:space="preserve">2170675876 </v>
      </c>
      <c r="G3263" s="19" t="str">
        <f t="shared" si="94"/>
        <v>ON1</v>
      </c>
      <c r="H3263" s="19" t="s">
        <v>20</v>
      </c>
      <c r="I3263" s="19" t="s">
        <v>781</v>
      </c>
      <c r="J3263" s="19" t="str">
        <f>""</f>
        <v/>
      </c>
      <c r="K3263" s="19" t="str">
        <f>"PFES1162674784_0001"</f>
        <v>PFES1162674784_0001</v>
      </c>
      <c r="L3263" s="19">
        <v>1</v>
      </c>
      <c r="M3263" s="19">
        <v>1</v>
      </c>
    </row>
    <row r="3264" spans="1:13">
      <c r="A3264" s="6">
        <v>43518</v>
      </c>
      <c r="B3264" s="7">
        <v>0.55277777777777781</v>
      </c>
      <c r="C3264" s="19" t="str">
        <f>"FES1162674763"</f>
        <v>FES1162674763</v>
      </c>
      <c r="D3264" s="19" t="s">
        <v>18</v>
      </c>
      <c r="E3264" s="19" t="s">
        <v>1113</v>
      </c>
      <c r="F3264" s="19" t="str">
        <f>"2170675857 "</f>
        <v xml:space="preserve">2170675857 </v>
      </c>
      <c r="G3264" s="19" t="str">
        <f t="shared" si="94"/>
        <v>ON1</v>
      </c>
      <c r="H3264" s="19" t="s">
        <v>20</v>
      </c>
      <c r="I3264" s="19" t="s">
        <v>182</v>
      </c>
      <c r="J3264" s="19" t="str">
        <f>""</f>
        <v/>
      </c>
      <c r="K3264" s="19" t="str">
        <f>"PFES1162674763_0001"</f>
        <v>PFES1162674763_0001</v>
      </c>
      <c r="L3264" s="19">
        <v>1</v>
      </c>
      <c r="M3264" s="19">
        <v>4</v>
      </c>
    </row>
    <row r="3265" spans="1:13">
      <c r="A3265" s="6">
        <v>43518</v>
      </c>
      <c r="B3265" s="7">
        <v>0.55277777777777781</v>
      </c>
      <c r="C3265" s="19" t="str">
        <f>"FES1162674783"</f>
        <v>FES1162674783</v>
      </c>
      <c r="D3265" s="19" t="s">
        <v>18</v>
      </c>
      <c r="E3265" s="19" t="s">
        <v>1012</v>
      </c>
      <c r="F3265" s="19" t="str">
        <f>"2170675875 "</f>
        <v xml:space="preserve">2170675875 </v>
      </c>
      <c r="G3265" s="19" t="str">
        <f t="shared" si="94"/>
        <v>ON1</v>
      </c>
      <c r="H3265" s="19" t="s">
        <v>20</v>
      </c>
      <c r="I3265" s="19" t="s">
        <v>103</v>
      </c>
      <c r="J3265" s="19" t="str">
        <f>""</f>
        <v/>
      </c>
      <c r="K3265" s="19" t="str">
        <f>"PFES1162674783_0001"</f>
        <v>PFES1162674783_0001</v>
      </c>
      <c r="L3265" s="19">
        <v>1</v>
      </c>
      <c r="M3265" s="19">
        <v>1</v>
      </c>
    </row>
    <row r="3266" spans="1:13">
      <c r="A3266" s="6">
        <v>43518</v>
      </c>
      <c r="B3266" s="7">
        <v>0.55277777777777781</v>
      </c>
      <c r="C3266" s="19" t="str">
        <f>"FES1162674768"</f>
        <v>FES1162674768</v>
      </c>
      <c r="D3266" s="19" t="s">
        <v>18</v>
      </c>
      <c r="E3266" s="19" t="s">
        <v>1109</v>
      </c>
      <c r="F3266" s="19" t="str">
        <f>"2170675863 "</f>
        <v xml:space="preserve">2170675863 </v>
      </c>
      <c r="G3266" s="19" t="str">
        <f t="shared" si="94"/>
        <v>ON1</v>
      </c>
      <c r="H3266" s="19" t="s">
        <v>20</v>
      </c>
      <c r="I3266" s="19" t="s">
        <v>322</v>
      </c>
      <c r="J3266" s="19" t="str">
        <f>""</f>
        <v/>
      </c>
      <c r="K3266" s="19" t="str">
        <f>"PFES1162674768_0001"</f>
        <v>PFES1162674768_0001</v>
      </c>
      <c r="L3266" s="19">
        <v>1</v>
      </c>
      <c r="M3266" s="19">
        <v>1</v>
      </c>
    </row>
    <row r="3267" spans="1:13">
      <c r="A3267" s="6">
        <v>43518</v>
      </c>
      <c r="B3267" s="7">
        <v>0.55208333333333337</v>
      </c>
      <c r="C3267" s="19" t="str">
        <f>"FES1162674755"</f>
        <v>FES1162674755</v>
      </c>
      <c r="D3267" s="19" t="s">
        <v>18</v>
      </c>
      <c r="E3267" s="19" t="s">
        <v>782</v>
      </c>
      <c r="F3267" s="19" t="str">
        <f>"2170675851 "</f>
        <v xml:space="preserve">2170675851 </v>
      </c>
      <c r="G3267" s="19" t="str">
        <f t="shared" si="94"/>
        <v>ON1</v>
      </c>
      <c r="H3267" s="19" t="s">
        <v>20</v>
      </c>
      <c r="I3267" s="19" t="s">
        <v>153</v>
      </c>
      <c r="J3267" s="19" t="str">
        <f>""</f>
        <v/>
      </c>
      <c r="K3267" s="19" t="str">
        <f>"PFES1162674755_0001"</f>
        <v>PFES1162674755_0001</v>
      </c>
      <c r="L3267" s="19">
        <v>1</v>
      </c>
      <c r="M3267" s="19">
        <v>1</v>
      </c>
    </row>
    <row r="3268" spans="1:13">
      <c r="A3268" s="6">
        <v>43518</v>
      </c>
      <c r="B3268" s="7">
        <v>0.55208333333333337</v>
      </c>
      <c r="C3268" s="19" t="str">
        <f>"FES1162674772"</f>
        <v>FES1162674772</v>
      </c>
      <c r="D3268" s="19" t="s">
        <v>18</v>
      </c>
      <c r="E3268" s="19" t="s">
        <v>19</v>
      </c>
      <c r="F3268" s="19" t="str">
        <f>"2170675869 "</f>
        <v xml:space="preserve">2170675869 </v>
      </c>
      <c r="G3268" s="19" t="str">
        <f t="shared" si="94"/>
        <v>ON1</v>
      </c>
      <c r="H3268" s="19" t="s">
        <v>20</v>
      </c>
      <c r="I3268" s="19" t="s">
        <v>21</v>
      </c>
      <c r="J3268" s="19" t="str">
        <f>""</f>
        <v/>
      </c>
      <c r="K3268" s="19" t="str">
        <f>"PFES1162674772_0001"</f>
        <v>PFES1162674772_0001</v>
      </c>
      <c r="L3268" s="19">
        <v>1</v>
      </c>
      <c r="M3268" s="19">
        <v>1</v>
      </c>
    </row>
    <row r="3269" spans="1:13">
      <c r="A3269" s="6">
        <v>43518</v>
      </c>
      <c r="B3269" s="7">
        <v>0.54999999999999993</v>
      </c>
      <c r="C3269" s="19" t="str">
        <f>"FES1162674749"</f>
        <v>FES1162674749</v>
      </c>
      <c r="D3269" s="19" t="s">
        <v>18</v>
      </c>
      <c r="E3269" s="19" t="s">
        <v>88</v>
      </c>
      <c r="F3269" s="19" t="str">
        <f>"2170675840 "</f>
        <v xml:space="preserve">2170675840 </v>
      </c>
      <c r="G3269" s="19" t="str">
        <f t="shared" si="94"/>
        <v>ON1</v>
      </c>
      <c r="H3269" s="19" t="s">
        <v>20</v>
      </c>
      <c r="I3269" s="19" t="s">
        <v>53</v>
      </c>
      <c r="J3269" s="19" t="str">
        <f>""</f>
        <v/>
      </c>
      <c r="K3269" s="19" t="str">
        <f>"PFES1162674749_0001"</f>
        <v>PFES1162674749_0001</v>
      </c>
      <c r="L3269" s="19">
        <v>1</v>
      </c>
      <c r="M3269" s="19">
        <v>14</v>
      </c>
    </row>
    <row r="3270" spans="1:13">
      <c r="A3270" s="6">
        <v>43518</v>
      </c>
      <c r="B3270" s="7">
        <v>0.54861111111111105</v>
      </c>
      <c r="C3270" s="19" t="str">
        <f>"FES1162674736"</f>
        <v>FES1162674736</v>
      </c>
      <c r="D3270" s="19" t="s">
        <v>18</v>
      </c>
      <c r="E3270" s="19" t="s">
        <v>92</v>
      </c>
      <c r="F3270" s="19" t="str">
        <f>"2170674894 "</f>
        <v xml:space="preserve">2170674894 </v>
      </c>
      <c r="G3270" s="19" t="str">
        <f t="shared" si="94"/>
        <v>ON1</v>
      </c>
      <c r="H3270" s="19" t="s">
        <v>20</v>
      </c>
      <c r="I3270" s="19" t="s">
        <v>93</v>
      </c>
      <c r="J3270" s="19" t="str">
        <f>""</f>
        <v/>
      </c>
      <c r="K3270" s="19" t="str">
        <f>"PFES1162674736_0001"</f>
        <v>PFES1162674736_0001</v>
      </c>
      <c r="L3270" s="19">
        <v>1</v>
      </c>
      <c r="M3270" s="19">
        <v>7</v>
      </c>
    </row>
    <row r="3271" spans="1:13">
      <c r="A3271" s="6">
        <v>43518</v>
      </c>
      <c r="B3271" s="7">
        <v>0.54791666666666672</v>
      </c>
      <c r="C3271" s="19" t="str">
        <f>"FES1162674706"</f>
        <v>FES1162674706</v>
      </c>
      <c r="D3271" s="19" t="s">
        <v>18</v>
      </c>
      <c r="E3271" s="19" t="s">
        <v>523</v>
      </c>
      <c r="F3271" s="19" t="str">
        <f>"2170675798 "</f>
        <v xml:space="preserve">2170675798 </v>
      </c>
      <c r="G3271" s="19" t="str">
        <f t="shared" si="94"/>
        <v>ON1</v>
      </c>
      <c r="H3271" s="19" t="s">
        <v>20</v>
      </c>
      <c r="I3271" s="19" t="s">
        <v>333</v>
      </c>
      <c r="J3271" s="19" t="str">
        <f>""</f>
        <v/>
      </c>
      <c r="K3271" s="19" t="str">
        <f>"PFES1162674706_0001"</f>
        <v>PFES1162674706_0001</v>
      </c>
      <c r="L3271" s="19">
        <v>1</v>
      </c>
      <c r="M3271" s="19">
        <v>5</v>
      </c>
    </row>
    <row r="3272" spans="1:13">
      <c r="A3272" s="6">
        <v>43518</v>
      </c>
      <c r="B3272" s="7">
        <v>0.54722222222222217</v>
      </c>
      <c r="C3272" s="19" t="str">
        <f>"FES1162674717"</f>
        <v>FES1162674717</v>
      </c>
      <c r="D3272" s="19" t="s">
        <v>18</v>
      </c>
      <c r="E3272" s="19" t="s">
        <v>1115</v>
      </c>
      <c r="F3272" s="19" t="str">
        <f>"2170675809 "</f>
        <v xml:space="preserve">2170675809 </v>
      </c>
      <c r="G3272" s="19" t="str">
        <f t="shared" si="94"/>
        <v>ON1</v>
      </c>
      <c r="H3272" s="19" t="s">
        <v>20</v>
      </c>
      <c r="I3272" s="19" t="s">
        <v>53</v>
      </c>
      <c r="J3272" s="19" t="str">
        <f>""</f>
        <v/>
      </c>
      <c r="K3272" s="19" t="str">
        <f>"PFES1162674717_0001"</f>
        <v>PFES1162674717_0001</v>
      </c>
      <c r="L3272" s="19">
        <v>1</v>
      </c>
      <c r="M3272" s="19">
        <v>16</v>
      </c>
    </row>
    <row r="3273" spans="1:13">
      <c r="A3273" s="6">
        <v>43518</v>
      </c>
      <c r="B3273" s="7">
        <v>0.54513888888888895</v>
      </c>
      <c r="C3273" s="19" t="str">
        <f>"FES1162674737"</f>
        <v>FES1162674737</v>
      </c>
      <c r="D3273" s="19" t="s">
        <v>18</v>
      </c>
      <c r="E3273" s="19" t="s">
        <v>269</v>
      </c>
      <c r="F3273" s="19" t="str">
        <f>"2170675830 "</f>
        <v xml:space="preserve">2170675830 </v>
      </c>
      <c r="G3273" s="19" t="str">
        <f t="shared" si="94"/>
        <v>ON1</v>
      </c>
      <c r="H3273" s="19" t="s">
        <v>20</v>
      </c>
      <c r="I3273" s="19" t="s">
        <v>53</v>
      </c>
      <c r="J3273" s="19" t="str">
        <f>""</f>
        <v/>
      </c>
      <c r="K3273" s="19" t="str">
        <f>"PFES1162674737_0001"</f>
        <v>PFES1162674737_0001</v>
      </c>
      <c r="L3273" s="19">
        <v>1</v>
      </c>
      <c r="M3273" s="19">
        <v>2</v>
      </c>
    </row>
    <row r="3274" spans="1:13">
      <c r="A3274" s="6">
        <v>43518</v>
      </c>
      <c r="B3274" s="7">
        <v>0.53888888888888886</v>
      </c>
      <c r="C3274" s="19" t="str">
        <f>"FES1162674756"</f>
        <v>FES1162674756</v>
      </c>
      <c r="D3274" s="19" t="s">
        <v>18</v>
      </c>
      <c r="E3274" s="19" t="s">
        <v>140</v>
      </c>
      <c r="F3274" s="19" t="str">
        <f>"2170675852 "</f>
        <v xml:space="preserve">2170675852 </v>
      </c>
      <c r="G3274" s="19" t="str">
        <f t="shared" si="94"/>
        <v>ON1</v>
      </c>
      <c r="H3274" s="19" t="s">
        <v>20</v>
      </c>
      <c r="I3274" s="19" t="s">
        <v>141</v>
      </c>
      <c r="J3274" s="19" t="str">
        <f>""</f>
        <v/>
      </c>
      <c r="K3274" s="19" t="str">
        <f>"PFES1162674756_0001"</f>
        <v>PFES1162674756_0001</v>
      </c>
      <c r="L3274" s="19">
        <v>1</v>
      </c>
      <c r="M3274" s="19">
        <v>4</v>
      </c>
    </row>
    <row r="3275" spans="1:13">
      <c r="A3275" s="6">
        <v>43518</v>
      </c>
      <c r="B3275" s="7">
        <v>0.53819444444444442</v>
      </c>
      <c r="C3275" s="19" t="str">
        <f>"FES1162674767"</f>
        <v>FES1162674767</v>
      </c>
      <c r="D3275" s="19" t="s">
        <v>18</v>
      </c>
      <c r="E3275" s="19" t="s">
        <v>772</v>
      </c>
      <c r="F3275" s="19" t="str">
        <f>"2170675862 "</f>
        <v xml:space="preserve">2170675862 </v>
      </c>
      <c r="G3275" s="19" t="str">
        <f t="shared" si="94"/>
        <v>ON1</v>
      </c>
      <c r="H3275" s="19" t="s">
        <v>20</v>
      </c>
      <c r="I3275" s="19" t="s">
        <v>773</v>
      </c>
      <c r="J3275" s="19" t="str">
        <f>""</f>
        <v/>
      </c>
      <c r="K3275" s="19" t="str">
        <f>"PFES1162674767_0001"</f>
        <v>PFES1162674767_0001</v>
      </c>
      <c r="L3275" s="19">
        <v>1</v>
      </c>
      <c r="M3275" s="19">
        <v>1</v>
      </c>
    </row>
    <row r="3276" spans="1:13">
      <c r="A3276" s="6">
        <v>43518</v>
      </c>
      <c r="B3276" s="7">
        <v>0.52777777777777779</v>
      </c>
      <c r="C3276" s="19" t="str">
        <f>"FES1162674770"</f>
        <v>FES1162674770</v>
      </c>
      <c r="D3276" s="19" t="s">
        <v>18</v>
      </c>
      <c r="E3276" s="19" t="s">
        <v>730</v>
      </c>
      <c r="F3276" s="19" t="str">
        <f>"2170675865 "</f>
        <v xml:space="preserve">2170675865 </v>
      </c>
      <c r="G3276" s="19" t="str">
        <f t="shared" si="94"/>
        <v>ON1</v>
      </c>
      <c r="H3276" s="19" t="s">
        <v>20</v>
      </c>
      <c r="I3276" s="19" t="s">
        <v>731</v>
      </c>
      <c r="J3276" s="19" t="str">
        <f>""</f>
        <v/>
      </c>
      <c r="K3276" s="19" t="str">
        <f>"PFES1162674770_0001"</f>
        <v>PFES1162674770_0001</v>
      </c>
      <c r="L3276" s="19">
        <v>1</v>
      </c>
      <c r="M3276" s="19">
        <v>8</v>
      </c>
    </row>
    <row r="3277" spans="1:13">
      <c r="A3277" s="6">
        <v>43518</v>
      </c>
      <c r="B3277" s="7">
        <v>0.51944444444444449</v>
      </c>
      <c r="C3277" s="19" t="str">
        <f>"FES1162674746"</f>
        <v>FES1162674746</v>
      </c>
      <c r="D3277" s="19" t="s">
        <v>18</v>
      </c>
      <c r="E3277" s="19" t="s">
        <v>1116</v>
      </c>
      <c r="F3277" s="19" t="str">
        <f>"2170675475 "</f>
        <v xml:space="preserve">2170675475 </v>
      </c>
      <c r="G3277" s="19" t="str">
        <f t="shared" si="94"/>
        <v>ON1</v>
      </c>
      <c r="H3277" s="19" t="s">
        <v>20</v>
      </c>
      <c r="I3277" s="19" t="s">
        <v>147</v>
      </c>
      <c r="J3277" s="19" t="str">
        <f>""</f>
        <v/>
      </c>
      <c r="K3277" s="19" t="str">
        <f>"PFES1162674746_0001"</f>
        <v>PFES1162674746_0001</v>
      </c>
      <c r="L3277" s="19">
        <v>1</v>
      </c>
      <c r="M3277" s="19">
        <v>1</v>
      </c>
    </row>
    <row r="3278" spans="1:13">
      <c r="A3278" s="6">
        <v>43518</v>
      </c>
      <c r="B3278" s="7">
        <v>0.51874999999999993</v>
      </c>
      <c r="C3278" s="19" t="str">
        <f>"FES1162674745"</f>
        <v>FES1162674745</v>
      </c>
      <c r="D3278" s="19" t="s">
        <v>18</v>
      </c>
      <c r="E3278" s="19" t="s">
        <v>1117</v>
      </c>
      <c r="F3278" s="19" t="str">
        <f>"2170675428 "</f>
        <v xml:space="preserve">2170675428 </v>
      </c>
      <c r="G3278" s="19" t="str">
        <f t="shared" si="94"/>
        <v>ON1</v>
      </c>
      <c r="H3278" s="19" t="s">
        <v>20</v>
      </c>
      <c r="I3278" s="19" t="s">
        <v>597</v>
      </c>
      <c r="J3278" s="19" t="str">
        <f>""</f>
        <v/>
      </c>
      <c r="K3278" s="19" t="str">
        <f>"PFES1162674745_0001"</f>
        <v>PFES1162674745_0001</v>
      </c>
      <c r="L3278" s="19">
        <v>1</v>
      </c>
      <c r="M3278" s="19">
        <v>1</v>
      </c>
    </row>
    <row r="3279" spans="1:13">
      <c r="A3279" s="6">
        <v>43518</v>
      </c>
      <c r="B3279" s="7">
        <v>0.5180555555555556</v>
      </c>
      <c r="C3279" s="19" t="str">
        <f>"FES1162674740"</f>
        <v>FES1162674740</v>
      </c>
      <c r="D3279" s="19" t="s">
        <v>18</v>
      </c>
      <c r="E3279" s="19" t="s">
        <v>907</v>
      </c>
      <c r="F3279" s="19" t="str">
        <f>"2170675834 "</f>
        <v xml:space="preserve">2170675834 </v>
      </c>
      <c r="G3279" s="19" t="str">
        <f t="shared" si="94"/>
        <v>ON1</v>
      </c>
      <c r="H3279" s="19" t="s">
        <v>20</v>
      </c>
      <c r="I3279" s="19" t="s">
        <v>635</v>
      </c>
      <c r="J3279" s="19" t="str">
        <f>""</f>
        <v/>
      </c>
      <c r="K3279" s="19" t="str">
        <f>"PFES1162674740_0001"</f>
        <v>PFES1162674740_0001</v>
      </c>
      <c r="L3279" s="19">
        <v>1</v>
      </c>
      <c r="M3279" s="19">
        <v>1</v>
      </c>
    </row>
    <row r="3280" spans="1:13">
      <c r="A3280" s="6">
        <v>43518</v>
      </c>
      <c r="B3280" s="7">
        <v>0.5180555555555556</v>
      </c>
      <c r="C3280" s="19" t="str">
        <f>"FES1162674748"</f>
        <v>FES1162674748</v>
      </c>
      <c r="D3280" s="19" t="s">
        <v>18</v>
      </c>
      <c r="E3280" s="19" t="s">
        <v>1118</v>
      </c>
      <c r="F3280" s="19" t="str">
        <f>"2170675835 "</f>
        <v xml:space="preserve">2170675835 </v>
      </c>
      <c r="G3280" s="19" t="str">
        <f t="shared" si="94"/>
        <v>ON1</v>
      </c>
      <c r="H3280" s="19" t="s">
        <v>20</v>
      </c>
      <c r="I3280" s="19" t="s">
        <v>1119</v>
      </c>
      <c r="J3280" s="19" t="str">
        <f>""</f>
        <v/>
      </c>
      <c r="K3280" s="19" t="str">
        <f>"PFES1162674748_0001"</f>
        <v>PFES1162674748_0001</v>
      </c>
      <c r="L3280" s="19">
        <v>1</v>
      </c>
      <c r="M3280" s="19">
        <v>1</v>
      </c>
    </row>
    <row r="3281" spans="1:13">
      <c r="A3281" s="6">
        <v>43518</v>
      </c>
      <c r="B3281" s="7">
        <v>0.51736111111111105</v>
      </c>
      <c r="C3281" s="19" t="str">
        <f>"FES1162674743"</f>
        <v>FES1162674743</v>
      </c>
      <c r="D3281" s="19" t="s">
        <v>18</v>
      </c>
      <c r="E3281" s="19" t="s">
        <v>164</v>
      </c>
      <c r="F3281" s="19" t="str">
        <f>"2170675838 "</f>
        <v xml:space="preserve">2170675838 </v>
      </c>
      <c r="G3281" s="19" t="str">
        <f t="shared" si="94"/>
        <v>ON1</v>
      </c>
      <c r="H3281" s="19" t="s">
        <v>20</v>
      </c>
      <c r="I3281" s="19" t="s">
        <v>165</v>
      </c>
      <c r="J3281" s="19" t="str">
        <f>""</f>
        <v/>
      </c>
      <c r="K3281" s="19" t="str">
        <f>"PFES1162674743_0001"</f>
        <v>PFES1162674743_0001</v>
      </c>
      <c r="L3281" s="19">
        <v>1</v>
      </c>
      <c r="M3281" s="19">
        <v>1</v>
      </c>
    </row>
    <row r="3282" spans="1:13">
      <c r="A3282" s="6">
        <v>43518</v>
      </c>
      <c r="B3282" s="7">
        <v>0.51458333333333328</v>
      </c>
      <c r="C3282" s="19" t="str">
        <f>"FES1162674704"</f>
        <v>FES1162674704</v>
      </c>
      <c r="D3282" s="19" t="s">
        <v>18</v>
      </c>
      <c r="E3282" s="19" t="s">
        <v>78</v>
      </c>
      <c r="F3282" s="19" t="str">
        <f>"2170675796 "</f>
        <v xml:space="preserve">2170675796 </v>
      </c>
      <c r="G3282" s="19" t="str">
        <f t="shared" si="94"/>
        <v>ON1</v>
      </c>
      <c r="H3282" s="19" t="s">
        <v>20</v>
      </c>
      <c r="I3282" s="19" t="s">
        <v>79</v>
      </c>
      <c r="J3282" s="19" t="str">
        <f>""</f>
        <v/>
      </c>
      <c r="K3282" s="19" t="str">
        <f>"PFES1162674704_0001"</f>
        <v>PFES1162674704_0001</v>
      </c>
      <c r="L3282" s="19">
        <v>1</v>
      </c>
      <c r="M3282" s="19">
        <v>1</v>
      </c>
    </row>
    <row r="3283" spans="1:13">
      <c r="A3283" s="6">
        <v>43518</v>
      </c>
      <c r="B3283" s="7">
        <v>0.51458333333333328</v>
      </c>
      <c r="C3283" s="19" t="str">
        <f>"FES1162674761"</f>
        <v>FES1162674761</v>
      </c>
      <c r="D3283" s="19" t="s">
        <v>18</v>
      </c>
      <c r="E3283" s="19" t="s">
        <v>58</v>
      </c>
      <c r="F3283" s="19" t="str">
        <f>"2170675855 "</f>
        <v xml:space="preserve">2170675855 </v>
      </c>
      <c r="G3283" s="19" t="str">
        <f t="shared" si="94"/>
        <v>ON1</v>
      </c>
      <c r="H3283" s="19" t="s">
        <v>20</v>
      </c>
      <c r="I3283" s="19" t="s">
        <v>59</v>
      </c>
      <c r="J3283" s="19" t="str">
        <f>""</f>
        <v/>
      </c>
      <c r="K3283" s="19" t="str">
        <f>"PFES1162674761_0001"</f>
        <v>PFES1162674761_0001</v>
      </c>
      <c r="L3283" s="19">
        <v>1</v>
      </c>
      <c r="M3283" s="19">
        <v>1</v>
      </c>
    </row>
    <row r="3284" spans="1:13">
      <c r="A3284" s="6">
        <v>43518</v>
      </c>
      <c r="B3284" s="7">
        <v>0.51388888888888895</v>
      </c>
      <c r="C3284" s="19" t="str">
        <f>"FES1162674715"</f>
        <v>FES1162674715</v>
      </c>
      <c r="D3284" s="19" t="s">
        <v>18</v>
      </c>
      <c r="E3284" s="19" t="s">
        <v>384</v>
      </c>
      <c r="F3284" s="19" t="str">
        <f>"2170675805 "</f>
        <v xml:space="preserve">2170675805 </v>
      </c>
      <c r="G3284" s="19" t="str">
        <f t="shared" si="94"/>
        <v>ON1</v>
      </c>
      <c r="H3284" s="19" t="s">
        <v>20</v>
      </c>
      <c r="I3284" s="19" t="s">
        <v>29</v>
      </c>
      <c r="J3284" s="19" t="str">
        <f>""</f>
        <v/>
      </c>
      <c r="K3284" s="19" t="str">
        <f>"PFES1162674715_0001"</f>
        <v>PFES1162674715_0001</v>
      </c>
      <c r="L3284" s="19">
        <v>1</v>
      </c>
      <c r="M3284" s="19">
        <v>1</v>
      </c>
    </row>
    <row r="3285" spans="1:13">
      <c r="A3285" s="6">
        <v>43518</v>
      </c>
      <c r="B3285" s="7">
        <v>0.51388888888888895</v>
      </c>
      <c r="C3285" s="19" t="str">
        <f>"FES1162674726"</f>
        <v>FES1162674726</v>
      </c>
      <c r="D3285" s="19" t="s">
        <v>18</v>
      </c>
      <c r="E3285" s="19" t="s">
        <v>1120</v>
      </c>
      <c r="F3285" s="19" t="str">
        <f>"2170675821 "</f>
        <v xml:space="preserve">2170675821 </v>
      </c>
      <c r="G3285" s="19" t="str">
        <f t="shared" si="94"/>
        <v>ON1</v>
      </c>
      <c r="H3285" s="19" t="s">
        <v>20</v>
      </c>
      <c r="I3285" s="19" t="s">
        <v>288</v>
      </c>
      <c r="J3285" s="19" t="str">
        <f>""</f>
        <v/>
      </c>
      <c r="K3285" s="19" t="str">
        <f>"PFES1162674726_0001"</f>
        <v>PFES1162674726_0001</v>
      </c>
      <c r="L3285" s="19">
        <v>1</v>
      </c>
      <c r="M3285" s="19">
        <v>1</v>
      </c>
    </row>
    <row r="3286" spans="1:13">
      <c r="A3286" s="6">
        <v>43518</v>
      </c>
      <c r="B3286" s="7">
        <v>0.51388888888888895</v>
      </c>
      <c r="C3286" s="19" t="str">
        <f>"FES1162674658"</f>
        <v>FES1162674658</v>
      </c>
      <c r="D3286" s="19" t="s">
        <v>18</v>
      </c>
      <c r="E3286" s="19" t="s">
        <v>609</v>
      </c>
      <c r="F3286" s="19" t="str">
        <f>"2170674121 "</f>
        <v xml:space="preserve">2170674121 </v>
      </c>
      <c r="G3286" s="19" t="str">
        <f t="shared" si="94"/>
        <v>ON1</v>
      </c>
      <c r="H3286" s="19" t="s">
        <v>20</v>
      </c>
      <c r="I3286" s="19" t="s">
        <v>61</v>
      </c>
      <c r="J3286" s="19" t="str">
        <f>""</f>
        <v/>
      </c>
      <c r="K3286" s="19" t="str">
        <f>"PFES1162674658_0001"</f>
        <v>PFES1162674658_0001</v>
      </c>
      <c r="L3286" s="19">
        <v>1</v>
      </c>
      <c r="M3286" s="19">
        <v>1</v>
      </c>
    </row>
    <row r="3287" spans="1:13">
      <c r="A3287" s="6">
        <v>43518</v>
      </c>
      <c r="B3287" s="7">
        <v>0.5131944444444444</v>
      </c>
      <c r="C3287" s="19" t="str">
        <f>"FES1162674729"</f>
        <v>FES1162674729</v>
      </c>
      <c r="D3287" s="19" t="s">
        <v>18</v>
      </c>
      <c r="E3287" s="19" t="s">
        <v>765</v>
      </c>
      <c r="F3287" s="19" t="str">
        <f>"2170675787 "</f>
        <v xml:space="preserve">2170675787 </v>
      </c>
      <c r="G3287" s="19" t="str">
        <f t="shared" si="94"/>
        <v>ON1</v>
      </c>
      <c r="H3287" s="19" t="s">
        <v>20</v>
      </c>
      <c r="I3287" s="19" t="s">
        <v>369</v>
      </c>
      <c r="J3287" s="19" t="str">
        <f>""</f>
        <v/>
      </c>
      <c r="K3287" s="19" t="str">
        <f>"PFES1162674729_0001"</f>
        <v>PFES1162674729_0001</v>
      </c>
      <c r="L3287" s="19">
        <v>1</v>
      </c>
      <c r="M3287" s="19">
        <v>1</v>
      </c>
    </row>
    <row r="3288" spans="1:13">
      <c r="A3288" s="6">
        <v>43518</v>
      </c>
      <c r="B3288" s="7">
        <v>0.51250000000000007</v>
      </c>
      <c r="C3288" s="19" t="str">
        <f>"FES1162674705"</f>
        <v>FES1162674705</v>
      </c>
      <c r="D3288" s="19" t="s">
        <v>18</v>
      </c>
      <c r="E3288" s="19" t="s">
        <v>180</v>
      </c>
      <c r="F3288" s="19" t="str">
        <f>"2170675797 "</f>
        <v xml:space="preserve">2170675797 </v>
      </c>
      <c r="G3288" s="19" t="str">
        <f t="shared" si="94"/>
        <v>ON1</v>
      </c>
      <c r="H3288" s="19" t="s">
        <v>20</v>
      </c>
      <c r="I3288" s="19" t="s">
        <v>93</v>
      </c>
      <c r="J3288" s="19" t="str">
        <f>""</f>
        <v/>
      </c>
      <c r="K3288" s="19" t="str">
        <f>"PFES1162674705_0001"</f>
        <v>PFES1162674705_0001</v>
      </c>
      <c r="L3288" s="19">
        <v>1</v>
      </c>
      <c r="M3288" s="19">
        <v>1</v>
      </c>
    </row>
    <row r="3289" spans="1:13">
      <c r="A3289" s="6">
        <v>43518</v>
      </c>
      <c r="B3289" s="7">
        <v>0.50902777777777775</v>
      </c>
      <c r="C3289" s="19" t="str">
        <f>"FES1162674760"</f>
        <v>FES1162674760</v>
      </c>
      <c r="D3289" s="19" t="s">
        <v>18</v>
      </c>
      <c r="E3289" s="19" t="s">
        <v>425</v>
      </c>
      <c r="F3289" s="19" t="str">
        <f>"2170675854 "</f>
        <v xml:space="preserve">2170675854 </v>
      </c>
      <c r="G3289" s="19" t="str">
        <f t="shared" si="94"/>
        <v>ON1</v>
      </c>
      <c r="H3289" s="19" t="s">
        <v>20</v>
      </c>
      <c r="I3289" s="19" t="s">
        <v>213</v>
      </c>
      <c r="J3289" s="19" t="str">
        <f>""</f>
        <v/>
      </c>
      <c r="K3289" s="19" t="str">
        <f>"PFES1162674760_0001"</f>
        <v>PFES1162674760_0001</v>
      </c>
      <c r="L3289" s="19">
        <v>1</v>
      </c>
      <c r="M3289" s="19">
        <v>1</v>
      </c>
    </row>
    <row r="3290" spans="1:13">
      <c r="A3290" s="6">
        <v>43518</v>
      </c>
      <c r="B3290" s="7">
        <v>0.5</v>
      </c>
      <c r="C3290" s="19" t="str">
        <f>"FES1162674733"</f>
        <v>FES1162674733</v>
      </c>
      <c r="D3290" s="19" t="s">
        <v>18</v>
      </c>
      <c r="E3290" s="19" t="s">
        <v>140</v>
      </c>
      <c r="F3290" s="19" t="str">
        <f>"2170675827 "</f>
        <v xml:space="preserve">2170675827 </v>
      </c>
      <c r="G3290" s="19" t="str">
        <f t="shared" si="94"/>
        <v>ON1</v>
      </c>
      <c r="H3290" s="19" t="s">
        <v>20</v>
      </c>
      <c r="I3290" s="19" t="s">
        <v>141</v>
      </c>
      <c r="J3290" s="19" t="str">
        <f>""</f>
        <v/>
      </c>
      <c r="K3290" s="19" t="str">
        <f>"PFES1162674733_0001"</f>
        <v>PFES1162674733_0001</v>
      </c>
      <c r="L3290" s="19">
        <v>1</v>
      </c>
      <c r="M3290" s="19">
        <v>4</v>
      </c>
    </row>
    <row r="3291" spans="1:13">
      <c r="A3291" s="6">
        <v>43518</v>
      </c>
      <c r="B3291" s="7">
        <v>0.49861111111111112</v>
      </c>
      <c r="C3291" s="19" t="str">
        <f>"FES1162674712"</f>
        <v>FES1162674712</v>
      </c>
      <c r="D3291" s="19" t="s">
        <v>18</v>
      </c>
      <c r="E3291" s="19" t="s">
        <v>195</v>
      </c>
      <c r="F3291" s="19" t="str">
        <f>"2170675802 "</f>
        <v xml:space="preserve">2170675802 </v>
      </c>
      <c r="G3291" s="19" t="str">
        <f t="shared" si="94"/>
        <v>ON1</v>
      </c>
      <c r="H3291" s="19" t="s">
        <v>20</v>
      </c>
      <c r="I3291" s="19" t="s">
        <v>96</v>
      </c>
      <c r="J3291" s="19" t="str">
        <f>""</f>
        <v/>
      </c>
      <c r="K3291" s="19" t="str">
        <f>"PFES1162674712_0001"</f>
        <v>PFES1162674712_0001</v>
      </c>
      <c r="L3291" s="19">
        <v>1</v>
      </c>
      <c r="M3291" s="19">
        <v>1</v>
      </c>
    </row>
    <row r="3292" spans="1:13">
      <c r="A3292" s="6">
        <v>43518</v>
      </c>
      <c r="B3292" s="7">
        <v>0.49791666666666662</v>
      </c>
      <c r="C3292" s="19" t="str">
        <f>"FES1162674674"</f>
        <v>FES1162674674</v>
      </c>
      <c r="D3292" s="19" t="s">
        <v>18</v>
      </c>
      <c r="E3292" s="19" t="s">
        <v>885</v>
      </c>
      <c r="F3292" s="19" t="str">
        <f>"2170675772 "</f>
        <v xml:space="preserve">2170675772 </v>
      </c>
      <c r="G3292" s="19" t="str">
        <f t="shared" si="94"/>
        <v>ON1</v>
      </c>
      <c r="H3292" s="19" t="s">
        <v>20</v>
      </c>
      <c r="I3292" s="19" t="s">
        <v>886</v>
      </c>
      <c r="J3292" s="19" t="str">
        <f>""</f>
        <v/>
      </c>
      <c r="K3292" s="19" t="str">
        <f>"PFES1162674674_0001"</f>
        <v>PFES1162674674_0001</v>
      </c>
      <c r="L3292" s="19">
        <v>1</v>
      </c>
      <c r="M3292" s="19">
        <v>2</v>
      </c>
    </row>
    <row r="3293" spans="1:13">
      <c r="A3293" s="6">
        <v>43518</v>
      </c>
      <c r="B3293" s="7">
        <v>0.49374999999999997</v>
      </c>
      <c r="C3293" s="19" t="str">
        <f>"FES1162674716"</f>
        <v>FES1162674716</v>
      </c>
      <c r="D3293" s="19" t="s">
        <v>18</v>
      </c>
      <c r="E3293" s="19" t="s">
        <v>148</v>
      </c>
      <c r="F3293" s="19" t="str">
        <f>"2170675808 "</f>
        <v xml:space="preserve">2170675808 </v>
      </c>
      <c r="G3293" s="19" t="str">
        <f t="shared" si="94"/>
        <v>ON1</v>
      </c>
      <c r="H3293" s="19" t="s">
        <v>20</v>
      </c>
      <c r="I3293" s="19" t="s">
        <v>149</v>
      </c>
      <c r="J3293" s="19" t="str">
        <f>""</f>
        <v/>
      </c>
      <c r="K3293" s="19" t="str">
        <f>"PFES1162674716_0001"</f>
        <v>PFES1162674716_0001</v>
      </c>
      <c r="L3293" s="19">
        <v>1</v>
      </c>
      <c r="M3293" s="19">
        <v>1</v>
      </c>
    </row>
    <row r="3294" spans="1:13">
      <c r="A3294" s="6">
        <v>43518</v>
      </c>
      <c r="B3294" s="7">
        <v>0.49305555555555558</v>
      </c>
      <c r="C3294" s="19" t="str">
        <f>"FES1162674697"</f>
        <v>FES1162674697</v>
      </c>
      <c r="D3294" s="19" t="s">
        <v>18</v>
      </c>
      <c r="E3294" s="19" t="s">
        <v>713</v>
      </c>
      <c r="F3294" s="19" t="str">
        <f>"2170675791 "</f>
        <v xml:space="preserve">2170675791 </v>
      </c>
      <c r="G3294" s="19" t="str">
        <f t="shared" si="94"/>
        <v>ON1</v>
      </c>
      <c r="H3294" s="19" t="s">
        <v>20</v>
      </c>
      <c r="I3294" s="19" t="s">
        <v>714</v>
      </c>
      <c r="J3294" s="19" t="str">
        <f>""</f>
        <v/>
      </c>
      <c r="K3294" s="19" t="str">
        <f>"PFES1162674697_0001"</f>
        <v>PFES1162674697_0001</v>
      </c>
      <c r="L3294" s="19">
        <v>1</v>
      </c>
      <c r="M3294" s="19">
        <v>1</v>
      </c>
    </row>
    <row r="3295" spans="1:13">
      <c r="A3295" s="6">
        <v>43518</v>
      </c>
      <c r="B3295" s="7">
        <v>0.49305555555555558</v>
      </c>
      <c r="C3295" s="19" t="str">
        <f>"FES1162674735"</f>
        <v>FES1162674735</v>
      </c>
      <c r="D3295" s="19" t="s">
        <v>18</v>
      </c>
      <c r="E3295" s="19" t="s">
        <v>140</v>
      </c>
      <c r="F3295" s="19" t="str">
        <f>"2170675831 "</f>
        <v xml:space="preserve">2170675831 </v>
      </c>
      <c r="G3295" s="19" t="str">
        <f t="shared" si="94"/>
        <v>ON1</v>
      </c>
      <c r="H3295" s="19" t="s">
        <v>20</v>
      </c>
      <c r="I3295" s="19" t="s">
        <v>141</v>
      </c>
      <c r="J3295" s="19" t="str">
        <f>""</f>
        <v/>
      </c>
      <c r="K3295" s="19" t="str">
        <f>"PFES1162674735_0001"</f>
        <v>PFES1162674735_0001</v>
      </c>
      <c r="L3295" s="19">
        <v>1</v>
      </c>
      <c r="M3295" s="19">
        <v>1</v>
      </c>
    </row>
    <row r="3296" spans="1:13">
      <c r="A3296" s="6">
        <v>43518</v>
      </c>
      <c r="B3296" s="7">
        <v>0.49236111111111108</v>
      </c>
      <c r="C3296" s="19" t="str">
        <f>"FES1162674738"</f>
        <v>FES1162674738</v>
      </c>
      <c r="D3296" s="19" t="s">
        <v>18</v>
      </c>
      <c r="E3296" s="19" t="s">
        <v>120</v>
      </c>
      <c r="F3296" s="19" t="str">
        <f>"2170375832 "</f>
        <v xml:space="preserve">2170375832 </v>
      </c>
      <c r="G3296" s="19" t="str">
        <f t="shared" si="94"/>
        <v>ON1</v>
      </c>
      <c r="H3296" s="19" t="s">
        <v>20</v>
      </c>
      <c r="I3296" s="19" t="s">
        <v>121</v>
      </c>
      <c r="J3296" s="19" t="str">
        <f>""</f>
        <v/>
      </c>
      <c r="K3296" s="19" t="str">
        <f>"PFES1162674738_0001"</f>
        <v>PFES1162674738_0001</v>
      </c>
      <c r="L3296" s="19">
        <v>1</v>
      </c>
      <c r="M3296" s="19">
        <v>1</v>
      </c>
    </row>
    <row r="3297" spans="1:13">
      <c r="A3297" s="6">
        <v>43518</v>
      </c>
      <c r="B3297" s="7">
        <v>0.49236111111111108</v>
      </c>
      <c r="C3297" s="19" t="str">
        <f>"FES1162674701"</f>
        <v>FES1162674701</v>
      </c>
      <c r="D3297" s="19" t="s">
        <v>18</v>
      </c>
      <c r="E3297" s="19" t="s">
        <v>58</v>
      </c>
      <c r="F3297" s="19" t="str">
        <f>"2170670948 "</f>
        <v xml:space="preserve">2170670948 </v>
      </c>
      <c r="G3297" s="19" t="str">
        <f t="shared" si="94"/>
        <v>ON1</v>
      </c>
      <c r="H3297" s="19" t="s">
        <v>20</v>
      </c>
      <c r="I3297" s="19" t="s">
        <v>59</v>
      </c>
      <c r="J3297" s="19" t="str">
        <f>""</f>
        <v/>
      </c>
      <c r="K3297" s="19" t="str">
        <f>"PFES1162674701_0001"</f>
        <v>PFES1162674701_0001</v>
      </c>
      <c r="L3297" s="19">
        <v>1</v>
      </c>
      <c r="M3297" s="19">
        <v>1</v>
      </c>
    </row>
    <row r="3298" spans="1:13">
      <c r="A3298" s="6">
        <v>43518</v>
      </c>
      <c r="B3298" s="7">
        <v>0.49236111111111108</v>
      </c>
      <c r="C3298" s="19" t="str">
        <f>"FES1162674720"</f>
        <v>FES1162674720</v>
      </c>
      <c r="D3298" s="19" t="s">
        <v>18</v>
      </c>
      <c r="E3298" s="19" t="s">
        <v>64</v>
      </c>
      <c r="F3298" s="19" t="str">
        <f>"2170675812 "</f>
        <v xml:space="preserve">2170675812 </v>
      </c>
      <c r="G3298" s="19" t="str">
        <f t="shared" si="94"/>
        <v>ON1</v>
      </c>
      <c r="H3298" s="19" t="s">
        <v>20</v>
      </c>
      <c r="I3298" s="19" t="s">
        <v>65</v>
      </c>
      <c r="J3298" s="19" t="str">
        <f>""</f>
        <v/>
      </c>
      <c r="K3298" s="19" t="str">
        <f>"PFES1162674720_0001"</f>
        <v>PFES1162674720_0001</v>
      </c>
      <c r="L3298" s="19">
        <v>1</v>
      </c>
      <c r="M3298" s="19">
        <v>1</v>
      </c>
    </row>
    <row r="3299" spans="1:13">
      <c r="A3299" s="6">
        <v>43518</v>
      </c>
      <c r="B3299" s="7">
        <v>0.4916666666666667</v>
      </c>
      <c r="C3299" s="19" t="str">
        <f>"FES1162674723"</f>
        <v>FES1162674723</v>
      </c>
      <c r="D3299" s="19" t="s">
        <v>18</v>
      </c>
      <c r="E3299" s="19" t="s">
        <v>142</v>
      </c>
      <c r="F3299" s="19" t="str">
        <f>"2170675817 "</f>
        <v xml:space="preserve">2170675817 </v>
      </c>
      <c r="G3299" s="19" t="str">
        <f t="shared" si="94"/>
        <v>ON1</v>
      </c>
      <c r="H3299" s="19" t="s">
        <v>20</v>
      </c>
      <c r="I3299" s="19" t="s">
        <v>143</v>
      </c>
      <c r="J3299" s="19" t="str">
        <f>""</f>
        <v/>
      </c>
      <c r="K3299" s="19" t="str">
        <f>"PFES1162674723_0001"</f>
        <v>PFES1162674723_0001</v>
      </c>
      <c r="L3299" s="19">
        <v>1</v>
      </c>
      <c r="M3299" s="19">
        <v>1</v>
      </c>
    </row>
    <row r="3300" spans="1:13">
      <c r="A3300" s="6">
        <v>43518</v>
      </c>
      <c r="B3300" s="7">
        <v>0.4909722222222222</v>
      </c>
      <c r="C3300" s="19" t="str">
        <f>"FES1162674714"</f>
        <v>FES1162674714</v>
      </c>
      <c r="D3300" s="19" t="s">
        <v>18</v>
      </c>
      <c r="E3300" s="19" t="s">
        <v>19</v>
      </c>
      <c r="F3300" s="19" t="str">
        <f>"217067580 "</f>
        <v xml:space="preserve">217067580 </v>
      </c>
      <c r="G3300" s="19" t="str">
        <f t="shared" si="94"/>
        <v>ON1</v>
      </c>
      <c r="H3300" s="19" t="s">
        <v>20</v>
      </c>
      <c r="I3300" s="19" t="s">
        <v>21</v>
      </c>
      <c r="J3300" s="19" t="str">
        <f>""</f>
        <v/>
      </c>
      <c r="K3300" s="19" t="str">
        <f>"PFES1162674714_0001"</f>
        <v>PFES1162674714_0001</v>
      </c>
      <c r="L3300" s="19">
        <v>1</v>
      </c>
      <c r="M3300" s="19">
        <v>1</v>
      </c>
    </row>
    <row r="3301" spans="1:13">
      <c r="A3301" s="6">
        <v>43518</v>
      </c>
      <c r="B3301" s="7">
        <v>0.4909722222222222</v>
      </c>
      <c r="C3301" s="19" t="str">
        <f>"FES1162674722"</f>
        <v>FES1162674722</v>
      </c>
      <c r="D3301" s="19" t="s">
        <v>18</v>
      </c>
      <c r="E3301" s="19" t="s">
        <v>19</v>
      </c>
      <c r="F3301" s="19" t="str">
        <f>"2170675806 "</f>
        <v xml:space="preserve">2170675806 </v>
      </c>
      <c r="G3301" s="19" t="str">
        <f t="shared" si="94"/>
        <v>ON1</v>
      </c>
      <c r="H3301" s="19" t="s">
        <v>20</v>
      </c>
      <c r="I3301" s="19" t="s">
        <v>21</v>
      </c>
      <c r="J3301" s="19" t="str">
        <f>""</f>
        <v/>
      </c>
      <c r="K3301" s="19" t="str">
        <f>"PFES1162674722_0001"</f>
        <v>PFES1162674722_0001</v>
      </c>
      <c r="L3301" s="19">
        <v>1</v>
      </c>
      <c r="M3301" s="19">
        <v>1</v>
      </c>
    </row>
    <row r="3302" spans="1:13">
      <c r="A3302" s="6">
        <v>43518</v>
      </c>
      <c r="B3302" s="7">
        <v>0.49027777777777781</v>
      </c>
      <c r="C3302" s="19" t="str">
        <f>"FES1162674734"</f>
        <v>FES1162674734</v>
      </c>
      <c r="D3302" s="19" t="s">
        <v>18</v>
      </c>
      <c r="E3302" s="19" t="s">
        <v>347</v>
      </c>
      <c r="F3302" s="19" t="str">
        <f>"2170675828 "</f>
        <v xml:space="preserve">2170675828 </v>
      </c>
      <c r="G3302" s="19" t="str">
        <f t="shared" si="94"/>
        <v>ON1</v>
      </c>
      <c r="H3302" s="19" t="s">
        <v>20</v>
      </c>
      <c r="I3302" s="19" t="s">
        <v>290</v>
      </c>
      <c r="J3302" s="19" t="str">
        <f>""</f>
        <v/>
      </c>
      <c r="K3302" s="19" t="str">
        <f>"PFES1162674734_0001"</f>
        <v>PFES1162674734_0001</v>
      </c>
      <c r="L3302" s="19">
        <v>1</v>
      </c>
      <c r="M3302" s="19">
        <v>1</v>
      </c>
    </row>
    <row r="3303" spans="1:13">
      <c r="A3303" s="6">
        <v>43518</v>
      </c>
      <c r="B3303" s="7">
        <v>0.48958333333333331</v>
      </c>
      <c r="C3303" s="19" t="str">
        <f>"009935791983"</f>
        <v>009935791983</v>
      </c>
      <c r="D3303" s="19" t="s">
        <v>18</v>
      </c>
      <c r="E3303" s="19" t="s">
        <v>1121</v>
      </c>
      <c r="F3303" s="19" t="str">
        <f>"1162672570 "</f>
        <v xml:space="preserve">1162672570 </v>
      </c>
      <c r="G3303" s="19" t="str">
        <f t="shared" ref="G3303:G3361" si="95">"ON1"</f>
        <v>ON1</v>
      </c>
      <c r="H3303" s="19" t="s">
        <v>20</v>
      </c>
      <c r="I3303" s="19" t="s">
        <v>1122</v>
      </c>
      <c r="J3303" s="19" t="str">
        <f>"RESEND"</f>
        <v>RESEND</v>
      </c>
      <c r="K3303" s="19" t="str">
        <f>"P009935791983_0001"</f>
        <v>P009935791983_0001</v>
      </c>
      <c r="L3303" s="19">
        <v>1</v>
      </c>
      <c r="M3303" s="19">
        <v>1</v>
      </c>
    </row>
    <row r="3304" spans="1:13">
      <c r="A3304" s="6">
        <v>43518</v>
      </c>
      <c r="B3304" s="7">
        <v>0.48958333333333331</v>
      </c>
      <c r="C3304" s="19" t="str">
        <f>"FES1162674730"</f>
        <v>FES1162674730</v>
      </c>
      <c r="D3304" s="19" t="s">
        <v>18</v>
      </c>
      <c r="E3304" s="19" t="s">
        <v>30</v>
      </c>
      <c r="F3304" s="19" t="str">
        <f>"2170675824 "</f>
        <v xml:space="preserve">2170675824 </v>
      </c>
      <c r="G3304" s="19" t="str">
        <f t="shared" si="95"/>
        <v>ON1</v>
      </c>
      <c r="H3304" s="19" t="s">
        <v>20</v>
      </c>
      <c r="I3304" s="19" t="s">
        <v>31</v>
      </c>
      <c r="J3304" s="19" t="str">
        <f>""</f>
        <v/>
      </c>
      <c r="K3304" s="19" t="str">
        <f>"PFES1162674730_0001"</f>
        <v>PFES1162674730_0001</v>
      </c>
      <c r="L3304" s="19">
        <v>1</v>
      </c>
      <c r="M3304" s="19">
        <v>1</v>
      </c>
    </row>
    <row r="3305" spans="1:13">
      <c r="A3305" s="6">
        <v>43518</v>
      </c>
      <c r="B3305" s="7">
        <v>0.48888888888888887</v>
      </c>
      <c r="C3305" s="19" t="str">
        <f>"FES1162674742"</f>
        <v>FES1162674742</v>
      </c>
      <c r="D3305" s="19" t="s">
        <v>18</v>
      </c>
      <c r="E3305" s="19" t="s">
        <v>740</v>
      </c>
      <c r="F3305" s="19" t="str">
        <f>"2170675837 "</f>
        <v xml:space="preserve">2170675837 </v>
      </c>
      <c r="G3305" s="19" t="str">
        <f t="shared" si="95"/>
        <v>ON1</v>
      </c>
      <c r="H3305" s="19" t="s">
        <v>20</v>
      </c>
      <c r="I3305" s="19" t="s">
        <v>539</v>
      </c>
      <c r="J3305" s="19" t="str">
        <f>""</f>
        <v/>
      </c>
      <c r="K3305" s="19" t="str">
        <f>"PFES1162674742_0001"</f>
        <v>PFES1162674742_0001</v>
      </c>
      <c r="L3305" s="19">
        <v>1</v>
      </c>
      <c r="M3305" s="19">
        <v>1</v>
      </c>
    </row>
    <row r="3306" spans="1:13">
      <c r="A3306" s="6">
        <v>43518</v>
      </c>
      <c r="B3306" s="7">
        <v>0.48888888888888887</v>
      </c>
      <c r="C3306" s="19" t="str">
        <f>"FES1162674725"</f>
        <v>FES1162674725</v>
      </c>
      <c r="D3306" s="19" t="s">
        <v>18</v>
      </c>
      <c r="E3306" s="19" t="s">
        <v>1123</v>
      </c>
      <c r="F3306" s="19" t="str">
        <f>"2170675820 "</f>
        <v xml:space="preserve">2170675820 </v>
      </c>
      <c r="G3306" s="19" t="str">
        <f t="shared" si="95"/>
        <v>ON1</v>
      </c>
      <c r="H3306" s="19" t="s">
        <v>20</v>
      </c>
      <c r="I3306" s="19" t="s">
        <v>182</v>
      </c>
      <c r="J3306" s="19" t="str">
        <f>""</f>
        <v/>
      </c>
      <c r="K3306" s="19" t="str">
        <f>"PFES1162674725_0001"</f>
        <v>PFES1162674725_0001</v>
      </c>
      <c r="L3306" s="19">
        <v>1</v>
      </c>
      <c r="M3306" s="19">
        <v>1</v>
      </c>
    </row>
    <row r="3307" spans="1:13">
      <c r="A3307" s="6">
        <v>43518</v>
      </c>
      <c r="B3307" s="7">
        <v>0.47291666666666665</v>
      </c>
      <c r="C3307" s="19" t="str">
        <f>"FES1162674667"</f>
        <v>FES1162674667</v>
      </c>
      <c r="D3307" s="19" t="s">
        <v>18</v>
      </c>
      <c r="E3307" s="19" t="s">
        <v>73</v>
      </c>
      <c r="F3307" s="19" t="str">
        <f>"2170675764 "</f>
        <v xml:space="preserve">2170675764 </v>
      </c>
      <c r="G3307" s="19" t="str">
        <f t="shared" si="95"/>
        <v>ON1</v>
      </c>
      <c r="H3307" s="19" t="s">
        <v>20</v>
      </c>
      <c r="I3307" s="19" t="s">
        <v>61</v>
      </c>
      <c r="J3307" s="19" t="str">
        <f>""</f>
        <v/>
      </c>
      <c r="K3307" s="19" t="str">
        <f>"PFES1162674667_0001"</f>
        <v>PFES1162674667_0001</v>
      </c>
      <c r="L3307" s="19">
        <v>1</v>
      </c>
      <c r="M3307" s="19">
        <v>4</v>
      </c>
    </row>
    <row r="3308" spans="1:13">
      <c r="A3308" s="6">
        <v>43518</v>
      </c>
      <c r="B3308" s="7">
        <v>0.47152777777777777</v>
      </c>
      <c r="C3308" s="19" t="str">
        <f>"FES1162674668"</f>
        <v>FES1162674668</v>
      </c>
      <c r="D3308" s="19" t="s">
        <v>18</v>
      </c>
      <c r="E3308" s="19" t="s">
        <v>736</v>
      </c>
      <c r="F3308" s="19" t="str">
        <f>"2170675765 "</f>
        <v xml:space="preserve">2170675765 </v>
      </c>
      <c r="G3308" s="19" t="str">
        <f t="shared" si="95"/>
        <v>ON1</v>
      </c>
      <c r="H3308" s="19" t="s">
        <v>20</v>
      </c>
      <c r="I3308" s="19" t="s">
        <v>737</v>
      </c>
      <c r="J3308" s="19" t="str">
        <f>""</f>
        <v/>
      </c>
      <c r="K3308" s="19" t="str">
        <f>"PFES1162674668_0001"</f>
        <v>PFES1162674668_0001</v>
      </c>
      <c r="L3308" s="19">
        <v>1</v>
      </c>
      <c r="M3308" s="19">
        <v>10</v>
      </c>
    </row>
    <row r="3309" spans="1:13">
      <c r="A3309" s="6">
        <v>43518</v>
      </c>
      <c r="B3309" s="7">
        <v>0.47013888888888888</v>
      </c>
      <c r="C3309" s="19" t="str">
        <f>"FES1162674659"</f>
        <v>FES1162674659</v>
      </c>
      <c r="D3309" s="19" t="s">
        <v>18</v>
      </c>
      <c r="E3309" s="19" t="s">
        <v>19</v>
      </c>
      <c r="F3309" s="19" t="str">
        <f>"2170674241 "</f>
        <v xml:space="preserve">2170674241 </v>
      </c>
      <c r="G3309" s="19" t="str">
        <f t="shared" si="95"/>
        <v>ON1</v>
      </c>
      <c r="H3309" s="19" t="s">
        <v>20</v>
      </c>
      <c r="I3309" s="19" t="s">
        <v>21</v>
      </c>
      <c r="J3309" s="19" t="str">
        <f>""</f>
        <v/>
      </c>
      <c r="K3309" s="19" t="str">
        <f>"PFES1162674659_0001"</f>
        <v>PFES1162674659_0001</v>
      </c>
      <c r="L3309" s="19">
        <v>1</v>
      </c>
      <c r="M3309" s="19">
        <v>2</v>
      </c>
    </row>
    <row r="3310" spans="1:13">
      <c r="A3310" s="6">
        <v>43518</v>
      </c>
      <c r="B3310" s="7">
        <v>0.4694444444444445</v>
      </c>
      <c r="C3310" s="19" t="str">
        <f>"FES1162674690"</f>
        <v>FES1162674690</v>
      </c>
      <c r="D3310" s="19" t="s">
        <v>18</v>
      </c>
      <c r="E3310" s="19" t="s">
        <v>19</v>
      </c>
      <c r="F3310" s="19" t="str">
        <f>"2170675784 "</f>
        <v xml:space="preserve">2170675784 </v>
      </c>
      <c r="G3310" s="19" t="str">
        <f t="shared" si="95"/>
        <v>ON1</v>
      </c>
      <c r="H3310" s="19" t="s">
        <v>20</v>
      </c>
      <c r="I3310" s="19" t="s">
        <v>21</v>
      </c>
      <c r="J3310" s="19" t="str">
        <f>""</f>
        <v/>
      </c>
      <c r="K3310" s="19" t="str">
        <f>"PFES1162674690_0001"</f>
        <v>PFES1162674690_0001</v>
      </c>
      <c r="L3310" s="19">
        <v>1</v>
      </c>
      <c r="M3310" s="19">
        <v>3</v>
      </c>
    </row>
    <row r="3311" spans="1:13">
      <c r="A3311" s="6">
        <v>43518</v>
      </c>
      <c r="B3311" s="7">
        <v>0.46875</v>
      </c>
      <c r="C3311" s="19" t="str">
        <f>"FES1162674681"</f>
        <v>FES1162674681</v>
      </c>
      <c r="D3311" s="19" t="s">
        <v>18</v>
      </c>
      <c r="E3311" s="19" t="s">
        <v>19</v>
      </c>
      <c r="F3311" s="19" t="str">
        <f>"2170675777 "</f>
        <v xml:space="preserve">2170675777 </v>
      </c>
      <c r="G3311" s="19" t="str">
        <f t="shared" si="95"/>
        <v>ON1</v>
      </c>
      <c r="H3311" s="19" t="s">
        <v>20</v>
      </c>
      <c r="I3311" s="19" t="s">
        <v>21</v>
      </c>
      <c r="J3311" s="19" t="str">
        <f>""</f>
        <v/>
      </c>
      <c r="K3311" s="19" t="str">
        <f>"PFES1162674681_0001"</f>
        <v>PFES1162674681_0001</v>
      </c>
      <c r="L3311" s="19">
        <v>1</v>
      </c>
      <c r="M3311" s="19">
        <v>2</v>
      </c>
    </row>
    <row r="3312" spans="1:13">
      <c r="A3312" s="6">
        <v>43518</v>
      </c>
      <c r="B3312" s="7">
        <v>0.4680555555555555</v>
      </c>
      <c r="C3312" s="19" t="str">
        <f>"FES1162674662"</f>
        <v>FES1162674662</v>
      </c>
      <c r="D3312" s="19" t="s">
        <v>18</v>
      </c>
      <c r="E3312" s="19" t="s">
        <v>136</v>
      </c>
      <c r="F3312" s="19" t="str">
        <f>"2170675612 "</f>
        <v xml:space="preserve">2170675612 </v>
      </c>
      <c r="G3312" s="19" t="str">
        <f t="shared" si="95"/>
        <v>ON1</v>
      </c>
      <c r="H3312" s="19" t="s">
        <v>20</v>
      </c>
      <c r="I3312" s="19" t="s">
        <v>137</v>
      </c>
      <c r="J3312" s="19" t="str">
        <f>""</f>
        <v/>
      </c>
      <c r="K3312" s="19" t="str">
        <f>"PFES1162674662_0001"</f>
        <v>PFES1162674662_0001</v>
      </c>
      <c r="L3312" s="19">
        <v>1</v>
      </c>
      <c r="M3312" s="19">
        <v>2</v>
      </c>
    </row>
    <row r="3313" spans="1:13">
      <c r="A3313" s="6">
        <v>43518</v>
      </c>
      <c r="B3313" s="7">
        <v>0.46736111111111112</v>
      </c>
      <c r="C3313" s="19" t="str">
        <f>"FES1162674663"</f>
        <v>FES1162674663</v>
      </c>
      <c r="D3313" s="19" t="s">
        <v>18</v>
      </c>
      <c r="E3313" s="19" t="s">
        <v>1124</v>
      </c>
      <c r="F3313" s="19" t="str">
        <f>"2170675628 "</f>
        <v xml:space="preserve">2170675628 </v>
      </c>
      <c r="G3313" s="19" t="str">
        <f t="shared" si="95"/>
        <v>ON1</v>
      </c>
      <c r="H3313" s="19" t="s">
        <v>20</v>
      </c>
      <c r="I3313" s="19" t="s">
        <v>856</v>
      </c>
      <c r="J3313" s="19" t="str">
        <f>""</f>
        <v/>
      </c>
      <c r="K3313" s="19" t="str">
        <f>"PFES1162674663_0001"</f>
        <v>PFES1162674663_0001</v>
      </c>
      <c r="L3313" s="19">
        <v>1</v>
      </c>
      <c r="M3313" s="19">
        <v>2</v>
      </c>
    </row>
    <row r="3314" spans="1:13">
      <c r="A3314" s="6">
        <v>43518</v>
      </c>
      <c r="B3314" s="7">
        <v>0.46597222222222223</v>
      </c>
      <c r="C3314" s="19" t="str">
        <f>"FES1162674682"</f>
        <v>FES1162674682</v>
      </c>
      <c r="D3314" s="19" t="s">
        <v>18</v>
      </c>
      <c r="E3314" s="19" t="s">
        <v>885</v>
      </c>
      <c r="F3314" s="19" t="str">
        <f>"2170675778 "</f>
        <v xml:space="preserve">2170675778 </v>
      </c>
      <c r="G3314" s="19" t="str">
        <f t="shared" si="95"/>
        <v>ON1</v>
      </c>
      <c r="H3314" s="19" t="s">
        <v>20</v>
      </c>
      <c r="I3314" s="19" t="s">
        <v>886</v>
      </c>
      <c r="J3314" s="19" t="str">
        <f>""</f>
        <v/>
      </c>
      <c r="K3314" s="19" t="str">
        <f>"PFES1162674682_0001"</f>
        <v>PFES1162674682_0001</v>
      </c>
      <c r="L3314" s="19">
        <v>1</v>
      </c>
      <c r="M3314" s="19">
        <v>8</v>
      </c>
    </row>
    <row r="3315" spans="1:13">
      <c r="A3315" s="6">
        <v>43518</v>
      </c>
      <c r="B3315" s="7">
        <v>0.45694444444444443</v>
      </c>
      <c r="C3315" s="19" t="str">
        <f>"FES1162674648"</f>
        <v>FES1162674648</v>
      </c>
      <c r="D3315" s="19" t="s">
        <v>18</v>
      </c>
      <c r="E3315" s="19" t="s">
        <v>47</v>
      </c>
      <c r="F3315" s="19" t="str">
        <f>"2170675746 "</f>
        <v xml:space="preserve">2170675746 </v>
      </c>
      <c r="G3315" s="19" t="str">
        <f t="shared" si="95"/>
        <v>ON1</v>
      </c>
      <c r="H3315" s="19" t="s">
        <v>20</v>
      </c>
      <c r="I3315" s="19" t="s">
        <v>48</v>
      </c>
      <c r="J3315" s="19" t="str">
        <f>""</f>
        <v/>
      </c>
      <c r="K3315" s="19" t="str">
        <f>"PFES1162674648_0001"</f>
        <v>PFES1162674648_0001</v>
      </c>
      <c r="L3315" s="19">
        <v>1</v>
      </c>
      <c r="M3315" s="19">
        <v>1</v>
      </c>
    </row>
    <row r="3316" spans="1:13">
      <c r="A3316" s="6">
        <v>43518</v>
      </c>
      <c r="B3316" s="7">
        <v>0.45624999999999999</v>
      </c>
      <c r="C3316" s="19" t="str">
        <f>"FES1162674653"</f>
        <v>FES1162674653</v>
      </c>
      <c r="D3316" s="19" t="s">
        <v>18</v>
      </c>
      <c r="E3316" s="19" t="s">
        <v>862</v>
      </c>
      <c r="F3316" s="19" t="str">
        <f>"2170674211 "</f>
        <v xml:space="preserve">2170674211 </v>
      </c>
      <c r="G3316" s="19" t="str">
        <f t="shared" si="95"/>
        <v>ON1</v>
      </c>
      <c r="H3316" s="19" t="s">
        <v>20</v>
      </c>
      <c r="I3316" s="19" t="s">
        <v>265</v>
      </c>
      <c r="J3316" s="19" t="str">
        <f>""</f>
        <v/>
      </c>
      <c r="K3316" s="19" t="str">
        <f>"PFES1162674653_0001"</f>
        <v>PFES1162674653_0001</v>
      </c>
      <c r="L3316" s="19">
        <v>1</v>
      </c>
      <c r="M3316" s="19">
        <v>1</v>
      </c>
    </row>
    <row r="3317" spans="1:13">
      <c r="A3317" s="6">
        <v>43518</v>
      </c>
      <c r="B3317" s="7">
        <v>0.45624999999999999</v>
      </c>
      <c r="C3317" s="19" t="str">
        <f>"FES1162674649"</f>
        <v>FES1162674649</v>
      </c>
      <c r="D3317" s="19" t="s">
        <v>18</v>
      </c>
      <c r="E3317" s="19" t="s">
        <v>47</v>
      </c>
      <c r="F3317" s="19" t="str">
        <f>"2170675755 "</f>
        <v xml:space="preserve">2170675755 </v>
      </c>
      <c r="G3317" s="19" t="str">
        <f t="shared" si="95"/>
        <v>ON1</v>
      </c>
      <c r="H3317" s="19" t="s">
        <v>20</v>
      </c>
      <c r="I3317" s="19" t="s">
        <v>48</v>
      </c>
      <c r="J3317" s="19" t="str">
        <f>""</f>
        <v/>
      </c>
      <c r="K3317" s="19" t="str">
        <f>"PFES1162674649_0001"</f>
        <v>PFES1162674649_0001</v>
      </c>
      <c r="L3317" s="19">
        <v>1</v>
      </c>
      <c r="M3317" s="19">
        <v>1</v>
      </c>
    </row>
    <row r="3318" spans="1:13">
      <c r="A3318" s="6">
        <v>43518</v>
      </c>
      <c r="B3318" s="7">
        <v>0.45624999999999999</v>
      </c>
      <c r="C3318" s="19" t="str">
        <f>"FES1162674721"</f>
        <v>FES1162674721</v>
      </c>
      <c r="D3318" s="19" t="s">
        <v>18</v>
      </c>
      <c r="E3318" s="19" t="s">
        <v>1125</v>
      </c>
      <c r="F3318" s="19" t="str">
        <f>"2170675813 "</f>
        <v xml:space="preserve">2170675813 </v>
      </c>
      <c r="G3318" s="19" t="str">
        <f t="shared" si="95"/>
        <v>ON1</v>
      </c>
      <c r="H3318" s="19" t="s">
        <v>20</v>
      </c>
      <c r="I3318" s="19" t="s">
        <v>130</v>
      </c>
      <c r="J3318" s="19" t="str">
        <f>""</f>
        <v/>
      </c>
      <c r="K3318" s="19" t="str">
        <f>"PFES1162674721_0001"</f>
        <v>PFES1162674721_0001</v>
      </c>
      <c r="L3318" s="19">
        <v>1</v>
      </c>
      <c r="M3318" s="19">
        <v>1</v>
      </c>
    </row>
    <row r="3319" spans="1:13">
      <c r="A3319" s="6">
        <v>43518</v>
      </c>
      <c r="B3319" s="7">
        <v>0.45555555555555555</v>
      </c>
      <c r="C3319" s="19" t="str">
        <f>"FES1162674661"</f>
        <v>FES1162674661</v>
      </c>
      <c r="D3319" s="19" t="s">
        <v>18</v>
      </c>
      <c r="E3319" s="19" t="s">
        <v>44</v>
      </c>
      <c r="F3319" s="19" t="str">
        <f>"2170675391 "</f>
        <v xml:space="preserve">2170675391 </v>
      </c>
      <c r="G3319" s="19" t="str">
        <f t="shared" si="95"/>
        <v>ON1</v>
      </c>
      <c r="H3319" s="19" t="s">
        <v>20</v>
      </c>
      <c r="I3319" s="19" t="s">
        <v>39</v>
      </c>
      <c r="J3319" s="19" t="str">
        <f>""</f>
        <v/>
      </c>
      <c r="K3319" s="19" t="str">
        <f>"PFES1162674661_0001"</f>
        <v>PFES1162674661_0001</v>
      </c>
      <c r="L3319" s="19">
        <v>1</v>
      </c>
      <c r="M3319" s="19">
        <v>1</v>
      </c>
    </row>
    <row r="3320" spans="1:13">
      <c r="A3320" s="6">
        <v>43518</v>
      </c>
      <c r="B3320" s="7">
        <v>0.45555555555555555</v>
      </c>
      <c r="C3320" s="19" t="str">
        <f>"FES1162674719"</f>
        <v>FES1162674719</v>
      </c>
      <c r="D3320" s="19" t="s">
        <v>18</v>
      </c>
      <c r="E3320" s="19" t="s">
        <v>138</v>
      </c>
      <c r="F3320" s="19" t="str">
        <f>"2170675811 "</f>
        <v xml:space="preserve">2170675811 </v>
      </c>
      <c r="G3320" s="19" t="str">
        <f t="shared" si="95"/>
        <v>ON1</v>
      </c>
      <c r="H3320" s="19" t="s">
        <v>20</v>
      </c>
      <c r="I3320" s="19" t="s">
        <v>139</v>
      </c>
      <c r="J3320" s="19" t="str">
        <f>""</f>
        <v/>
      </c>
      <c r="K3320" s="19" t="str">
        <f>"PFES1162674719_0001"</f>
        <v>PFES1162674719_0001</v>
      </c>
      <c r="L3320" s="19">
        <v>1</v>
      </c>
      <c r="M3320" s="19">
        <v>1</v>
      </c>
    </row>
    <row r="3321" spans="1:13">
      <c r="A3321" s="6">
        <v>43518</v>
      </c>
      <c r="B3321" s="7">
        <v>0.45555555555555555</v>
      </c>
      <c r="C3321" s="19" t="str">
        <f>"FES1162674647"</f>
        <v>FES1162674647</v>
      </c>
      <c r="D3321" s="19" t="s">
        <v>18</v>
      </c>
      <c r="E3321" s="19" t="s">
        <v>120</v>
      </c>
      <c r="F3321" s="19" t="str">
        <f>"2170675753 "</f>
        <v xml:space="preserve">2170675753 </v>
      </c>
      <c r="G3321" s="19" t="str">
        <f t="shared" si="95"/>
        <v>ON1</v>
      </c>
      <c r="H3321" s="19" t="s">
        <v>20</v>
      </c>
      <c r="I3321" s="19" t="s">
        <v>121</v>
      </c>
      <c r="J3321" s="19" t="str">
        <f>""</f>
        <v/>
      </c>
      <c r="K3321" s="19" t="str">
        <f>"PFES1162674647_0001"</f>
        <v>PFES1162674647_0001</v>
      </c>
      <c r="L3321" s="19">
        <v>1</v>
      </c>
      <c r="M3321" s="19">
        <v>1</v>
      </c>
    </row>
    <row r="3322" spans="1:13">
      <c r="A3322" s="6">
        <v>43518</v>
      </c>
      <c r="B3322" s="7">
        <v>0.4548611111111111</v>
      </c>
      <c r="C3322" s="19" t="str">
        <f>"FES1162674670"</f>
        <v>FES1162674670</v>
      </c>
      <c r="D3322" s="19" t="s">
        <v>18</v>
      </c>
      <c r="E3322" s="19" t="s">
        <v>885</v>
      </c>
      <c r="F3322" s="19" t="str">
        <f>"2170675769 "</f>
        <v xml:space="preserve">2170675769 </v>
      </c>
      <c r="G3322" s="19" t="str">
        <f t="shared" si="95"/>
        <v>ON1</v>
      </c>
      <c r="H3322" s="19" t="s">
        <v>20</v>
      </c>
      <c r="I3322" s="19" t="s">
        <v>886</v>
      </c>
      <c r="J3322" s="19" t="str">
        <f>""</f>
        <v/>
      </c>
      <c r="K3322" s="19" t="str">
        <f>"PFES1162674670_0001"</f>
        <v>PFES1162674670_0001</v>
      </c>
      <c r="L3322" s="19">
        <v>1</v>
      </c>
      <c r="M3322" s="19">
        <v>1</v>
      </c>
    </row>
    <row r="3323" spans="1:13">
      <c r="A3323" s="6">
        <v>43518</v>
      </c>
      <c r="B3323" s="7">
        <v>0.4548611111111111</v>
      </c>
      <c r="C3323" s="19" t="str">
        <f>"FES1162674644"</f>
        <v>FES1162674644</v>
      </c>
      <c r="D3323" s="19" t="s">
        <v>18</v>
      </c>
      <c r="E3323" s="19" t="s">
        <v>556</v>
      </c>
      <c r="F3323" s="19" t="str">
        <f>"2170673206 "</f>
        <v xml:space="preserve">2170673206 </v>
      </c>
      <c r="G3323" s="19" t="str">
        <f t="shared" si="95"/>
        <v>ON1</v>
      </c>
      <c r="H3323" s="19" t="s">
        <v>20</v>
      </c>
      <c r="I3323" s="19" t="s">
        <v>435</v>
      </c>
      <c r="J3323" s="19" t="str">
        <f>""</f>
        <v/>
      </c>
      <c r="K3323" s="19" t="str">
        <f>"PFES1162674644_0001"</f>
        <v>PFES1162674644_0001</v>
      </c>
      <c r="L3323" s="19">
        <v>1</v>
      </c>
      <c r="M3323" s="19">
        <v>1</v>
      </c>
    </row>
    <row r="3324" spans="1:13">
      <c r="A3324" s="6">
        <v>43518</v>
      </c>
      <c r="B3324" s="7">
        <v>0.4548611111111111</v>
      </c>
      <c r="C3324" s="19" t="str">
        <f>"FES1162674660"</f>
        <v>FES1162674660</v>
      </c>
      <c r="D3324" s="19" t="s">
        <v>18</v>
      </c>
      <c r="E3324" s="19" t="s">
        <v>393</v>
      </c>
      <c r="F3324" s="19" t="str">
        <f>"2170675056 "</f>
        <v xml:space="preserve">2170675056 </v>
      </c>
      <c r="G3324" s="19" t="str">
        <f t="shared" si="95"/>
        <v>ON1</v>
      </c>
      <c r="H3324" s="19" t="s">
        <v>20</v>
      </c>
      <c r="I3324" s="19" t="s">
        <v>242</v>
      </c>
      <c r="J3324" s="19" t="str">
        <f>""</f>
        <v/>
      </c>
      <c r="K3324" s="19" t="str">
        <f>"PFES1162674660_0001"</f>
        <v>PFES1162674660_0001</v>
      </c>
      <c r="L3324" s="19">
        <v>1</v>
      </c>
      <c r="M3324" s="19">
        <v>1</v>
      </c>
    </row>
    <row r="3325" spans="1:13">
      <c r="A3325" s="6">
        <v>43518</v>
      </c>
      <c r="B3325" s="7">
        <v>0.45416666666666666</v>
      </c>
      <c r="C3325" s="19" t="str">
        <f>"FES1162674703"</f>
        <v>FES1162674703</v>
      </c>
      <c r="D3325" s="19" t="s">
        <v>18</v>
      </c>
      <c r="E3325" s="19" t="s">
        <v>758</v>
      </c>
      <c r="F3325" s="19" t="str">
        <f>"2170675794 "</f>
        <v xml:space="preserve">2170675794 </v>
      </c>
      <c r="G3325" s="19" t="str">
        <f t="shared" si="95"/>
        <v>ON1</v>
      </c>
      <c r="H3325" s="19" t="s">
        <v>20</v>
      </c>
      <c r="I3325" s="19" t="s">
        <v>48</v>
      </c>
      <c r="J3325" s="19" t="str">
        <f>""</f>
        <v/>
      </c>
      <c r="K3325" s="19" t="str">
        <f>"PFES1162674703_0001"</f>
        <v>PFES1162674703_0001</v>
      </c>
      <c r="L3325" s="19">
        <v>1</v>
      </c>
      <c r="M3325" s="19">
        <v>1</v>
      </c>
    </row>
    <row r="3326" spans="1:13">
      <c r="A3326" s="6">
        <v>43518</v>
      </c>
      <c r="B3326" s="7">
        <v>0.45416666666666666</v>
      </c>
      <c r="C3326" s="19" t="str">
        <f>"FES1162674675"</f>
        <v>FES1162674675</v>
      </c>
      <c r="D3326" s="19" t="s">
        <v>18</v>
      </c>
      <c r="E3326" s="19" t="s">
        <v>47</v>
      </c>
      <c r="F3326" s="19" t="str">
        <f>"2170673417 "</f>
        <v xml:space="preserve">2170673417 </v>
      </c>
      <c r="G3326" s="19" t="str">
        <f t="shared" si="95"/>
        <v>ON1</v>
      </c>
      <c r="H3326" s="19" t="s">
        <v>20</v>
      </c>
      <c r="I3326" s="19" t="s">
        <v>48</v>
      </c>
      <c r="J3326" s="19" t="str">
        <f>""</f>
        <v/>
      </c>
      <c r="K3326" s="19" t="str">
        <f>"PFES1162674675_0001"</f>
        <v>PFES1162674675_0001</v>
      </c>
      <c r="L3326" s="19">
        <v>1</v>
      </c>
      <c r="M3326" s="19">
        <v>1</v>
      </c>
    </row>
    <row r="3327" spans="1:13">
      <c r="A3327" s="6">
        <v>43518</v>
      </c>
      <c r="B3327" s="7">
        <v>0.45416666666666666</v>
      </c>
      <c r="C3327" s="19" t="str">
        <f>"FES1162674654"</f>
        <v>FES1162674654</v>
      </c>
      <c r="D3327" s="19" t="s">
        <v>18</v>
      </c>
      <c r="E3327" s="19" t="s">
        <v>88</v>
      </c>
      <c r="F3327" s="19" t="str">
        <f>"2170674087 "</f>
        <v xml:space="preserve">2170674087 </v>
      </c>
      <c r="G3327" s="19" t="str">
        <f t="shared" si="95"/>
        <v>ON1</v>
      </c>
      <c r="H3327" s="19" t="s">
        <v>20</v>
      </c>
      <c r="I3327" s="19" t="s">
        <v>53</v>
      </c>
      <c r="J3327" s="19" t="str">
        <f>""</f>
        <v/>
      </c>
      <c r="K3327" s="19" t="str">
        <f>"PFES1162674654_0001"</f>
        <v>PFES1162674654_0001</v>
      </c>
      <c r="L3327" s="19">
        <v>1</v>
      </c>
      <c r="M3327" s="19">
        <v>1</v>
      </c>
    </row>
    <row r="3328" spans="1:13">
      <c r="A3328" s="6">
        <v>43518</v>
      </c>
      <c r="B3328" s="7">
        <v>0.45347222222222222</v>
      </c>
      <c r="C3328" s="19" t="str">
        <f>"FES1162674693"</f>
        <v>FES1162674693</v>
      </c>
      <c r="D3328" s="19" t="s">
        <v>18</v>
      </c>
      <c r="E3328" s="19" t="s">
        <v>439</v>
      </c>
      <c r="F3328" s="19" t="str">
        <f>"2170672648 "</f>
        <v xml:space="preserve">2170672648 </v>
      </c>
      <c r="G3328" s="19" t="str">
        <f t="shared" si="95"/>
        <v>ON1</v>
      </c>
      <c r="H3328" s="19" t="s">
        <v>20</v>
      </c>
      <c r="I3328" s="19" t="s">
        <v>41</v>
      </c>
      <c r="J3328" s="19" t="str">
        <f>""</f>
        <v/>
      </c>
      <c r="K3328" s="19" t="str">
        <f>"PFES1162674693_0001"</f>
        <v>PFES1162674693_0001</v>
      </c>
      <c r="L3328" s="19">
        <v>1</v>
      </c>
      <c r="M3328" s="19">
        <v>1</v>
      </c>
    </row>
    <row r="3329" spans="1:13">
      <c r="A3329" s="6">
        <v>43518</v>
      </c>
      <c r="B3329" s="7">
        <v>0.45347222222222222</v>
      </c>
      <c r="C3329" s="19" t="str">
        <f>"FES1162674656"</f>
        <v>FES1162674656</v>
      </c>
      <c r="D3329" s="19" t="s">
        <v>18</v>
      </c>
      <c r="E3329" s="19" t="s">
        <v>19</v>
      </c>
      <c r="F3329" s="19" t="str">
        <f>"2170674162 "</f>
        <v xml:space="preserve">2170674162 </v>
      </c>
      <c r="G3329" s="19" t="str">
        <f t="shared" si="95"/>
        <v>ON1</v>
      </c>
      <c r="H3329" s="19" t="s">
        <v>20</v>
      </c>
      <c r="I3329" s="19" t="s">
        <v>21</v>
      </c>
      <c r="J3329" s="19" t="str">
        <f>""</f>
        <v/>
      </c>
      <c r="K3329" s="19" t="str">
        <f>"PFES1162674656_0001"</f>
        <v>PFES1162674656_0001</v>
      </c>
      <c r="L3329" s="19">
        <v>1</v>
      </c>
      <c r="M3329" s="19">
        <v>1</v>
      </c>
    </row>
    <row r="3330" spans="1:13">
      <c r="A3330" s="6">
        <v>43518</v>
      </c>
      <c r="B3330" s="7">
        <v>0.45347222222222222</v>
      </c>
      <c r="C3330" s="19" t="str">
        <f>"FES1162674666"</f>
        <v>FES1162674666</v>
      </c>
      <c r="D3330" s="19" t="s">
        <v>18</v>
      </c>
      <c r="E3330" s="19" t="s">
        <v>581</v>
      </c>
      <c r="F3330" s="19" t="str">
        <f>"2170675763 "</f>
        <v xml:space="preserve">2170675763 </v>
      </c>
      <c r="G3330" s="19" t="str">
        <f t="shared" si="95"/>
        <v>ON1</v>
      </c>
      <c r="H3330" s="19" t="s">
        <v>20</v>
      </c>
      <c r="I3330" s="19" t="s">
        <v>504</v>
      </c>
      <c r="J3330" s="19" t="str">
        <f>""</f>
        <v/>
      </c>
      <c r="K3330" s="19" t="str">
        <f>"PFES1162674666_0001"</f>
        <v>PFES1162674666_0001</v>
      </c>
      <c r="L3330" s="19">
        <v>1</v>
      </c>
      <c r="M3330" s="19">
        <v>1</v>
      </c>
    </row>
    <row r="3331" spans="1:13">
      <c r="A3331" s="6">
        <v>43518</v>
      </c>
      <c r="B3331" s="7">
        <v>0.45277777777777778</v>
      </c>
      <c r="C3331" s="19" t="str">
        <f>"FES1162674680"</f>
        <v>FES1162674680</v>
      </c>
      <c r="D3331" s="19" t="s">
        <v>18</v>
      </c>
      <c r="E3331" s="19" t="s">
        <v>19</v>
      </c>
      <c r="F3331" s="19" t="str">
        <f>"2170675776 "</f>
        <v xml:space="preserve">2170675776 </v>
      </c>
      <c r="G3331" s="19" t="str">
        <f t="shared" si="95"/>
        <v>ON1</v>
      </c>
      <c r="H3331" s="19" t="s">
        <v>20</v>
      </c>
      <c r="I3331" s="19" t="s">
        <v>21</v>
      </c>
      <c r="J3331" s="19" t="str">
        <f>""</f>
        <v/>
      </c>
      <c r="K3331" s="19" t="str">
        <f>"PFES1162674680_0001"</f>
        <v>PFES1162674680_0001</v>
      </c>
      <c r="L3331" s="19">
        <v>1</v>
      </c>
      <c r="M3331" s="19">
        <v>1</v>
      </c>
    </row>
    <row r="3332" spans="1:13">
      <c r="A3332" s="6">
        <v>43518</v>
      </c>
      <c r="B3332" s="7">
        <v>0.45277777777777778</v>
      </c>
      <c r="C3332" s="19" t="str">
        <f>"FES1162674655"</f>
        <v>FES1162674655</v>
      </c>
      <c r="D3332" s="19" t="s">
        <v>18</v>
      </c>
      <c r="E3332" s="19" t="s">
        <v>19</v>
      </c>
      <c r="F3332" s="19" t="str">
        <f>"2170674093 "</f>
        <v xml:space="preserve">2170674093 </v>
      </c>
      <c r="G3332" s="19" t="str">
        <f t="shared" si="95"/>
        <v>ON1</v>
      </c>
      <c r="H3332" s="19" t="s">
        <v>20</v>
      </c>
      <c r="I3332" s="19" t="s">
        <v>21</v>
      </c>
      <c r="J3332" s="19" t="str">
        <f>""</f>
        <v/>
      </c>
      <c r="K3332" s="19" t="str">
        <f>"PFES1162674655_0001"</f>
        <v>PFES1162674655_0001</v>
      </c>
      <c r="L3332" s="19">
        <v>1</v>
      </c>
      <c r="M3332" s="19">
        <v>1</v>
      </c>
    </row>
    <row r="3333" spans="1:13">
      <c r="A3333" s="6">
        <v>43518</v>
      </c>
      <c r="B3333" s="7">
        <v>0.45208333333333334</v>
      </c>
      <c r="C3333" s="19" t="str">
        <f>"FES1162674665"</f>
        <v>FES1162674665</v>
      </c>
      <c r="D3333" s="19" t="s">
        <v>18</v>
      </c>
      <c r="E3333" s="19" t="s">
        <v>1126</v>
      </c>
      <c r="F3333" s="19" t="str">
        <f>"2170675762 "</f>
        <v xml:space="preserve">2170675762 </v>
      </c>
      <c r="G3333" s="19" t="str">
        <f t="shared" si="95"/>
        <v>ON1</v>
      </c>
      <c r="H3333" s="19" t="s">
        <v>20</v>
      </c>
      <c r="I3333" s="19" t="s">
        <v>1127</v>
      </c>
      <c r="J3333" s="19" t="str">
        <f>""</f>
        <v/>
      </c>
      <c r="K3333" s="19" t="str">
        <f>"PFES1162674665_0001"</f>
        <v>PFES1162674665_0001</v>
      </c>
      <c r="L3333" s="19">
        <v>1</v>
      </c>
      <c r="M3333" s="19">
        <v>1</v>
      </c>
    </row>
    <row r="3334" spans="1:13">
      <c r="A3334" s="6">
        <v>43518</v>
      </c>
      <c r="B3334" s="7">
        <v>0.45208333333333334</v>
      </c>
      <c r="C3334" s="19" t="str">
        <f>"FES1162674664"</f>
        <v>FES1162674664</v>
      </c>
      <c r="D3334" s="19" t="s">
        <v>18</v>
      </c>
      <c r="E3334" s="19" t="s">
        <v>1128</v>
      </c>
      <c r="F3334" s="19" t="str">
        <f>"2170675761 "</f>
        <v xml:space="preserve">2170675761 </v>
      </c>
      <c r="G3334" s="19" t="str">
        <f t="shared" si="95"/>
        <v>ON1</v>
      </c>
      <c r="H3334" s="19" t="s">
        <v>20</v>
      </c>
      <c r="I3334" s="19" t="s">
        <v>484</v>
      </c>
      <c r="J3334" s="19" t="str">
        <f>""</f>
        <v/>
      </c>
      <c r="K3334" s="19" t="str">
        <f>"PFES1162674664_0001"</f>
        <v>PFES1162674664_0001</v>
      </c>
      <c r="L3334" s="19">
        <v>1</v>
      </c>
      <c r="M3334" s="19">
        <v>1</v>
      </c>
    </row>
    <row r="3335" spans="1:13">
      <c r="A3335" s="6">
        <v>43518</v>
      </c>
      <c r="B3335" s="7">
        <v>0.4513888888888889</v>
      </c>
      <c r="C3335" s="19" t="str">
        <f>"FES1162674700"</f>
        <v>FES1162674700</v>
      </c>
      <c r="D3335" s="19" t="s">
        <v>18</v>
      </c>
      <c r="E3335" s="19" t="s">
        <v>58</v>
      </c>
      <c r="F3335" s="19" t="str">
        <f>"21706766174 "</f>
        <v xml:space="preserve">21706766174 </v>
      </c>
      <c r="G3335" s="19" t="str">
        <f t="shared" si="95"/>
        <v>ON1</v>
      </c>
      <c r="H3335" s="19" t="s">
        <v>20</v>
      </c>
      <c r="I3335" s="19" t="s">
        <v>59</v>
      </c>
      <c r="J3335" s="19" t="str">
        <f>""</f>
        <v/>
      </c>
      <c r="K3335" s="19" t="str">
        <f>"PFES1162674700_0001"</f>
        <v>PFES1162674700_0001</v>
      </c>
      <c r="L3335" s="19">
        <v>1</v>
      </c>
      <c r="M3335" s="19">
        <v>1</v>
      </c>
    </row>
    <row r="3336" spans="1:13">
      <c r="A3336" s="6">
        <v>43518</v>
      </c>
      <c r="B3336" s="7">
        <v>0.4513888888888889</v>
      </c>
      <c r="C3336" s="19" t="str">
        <f>"FES1162674679"</f>
        <v>FES1162674679</v>
      </c>
      <c r="D3336" s="19" t="s">
        <v>18</v>
      </c>
      <c r="E3336" s="19" t="s">
        <v>73</v>
      </c>
      <c r="F3336" s="19" t="str">
        <f>"2170675775 "</f>
        <v xml:space="preserve">2170675775 </v>
      </c>
      <c r="G3336" s="19" t="str">
        <f t="shared" si="95"/>
        <v>ON1</v>
      </c>
      <c r="H3336" s="19" t="s">
        <v>20</v>
      </c>
      <c r="I3336" s="19" t="s">
        <v>61</v>
      </c>
      <c r="J3336" s="19" t="str">
        <f>""</f>
        <v/>
      </c>
      <c r="K3336" s="19" t="str">
        <f>"PFES1162674679_0001"</f>
        <v>PFES1162674679_0001</v>
      </c>
      <c r="L3336" s="19">
        <v>1</v>
      </c>
      <c r="M3336" s="19">
        <v>1</v>
      </c>
    </row>
    <row r="3337" spans="1:13">
      <c r="A3337" s="6">
        <v>43518</v>
      </c>
      <c r="B3337" s="7">
        <v>0.4513888888888889</v>
      </c>
      <c r="C3337" s="19" t="str">
        <f>"FES1162674691"</f>
        <v>FES1162674691</v>
      </c>
      <c r="D3337" s="19" t="s">
        <v>18</v>
      </c>
      <c r="E3337" s="19" t="s">
        <v>73</v>
      </c>
      <c r="F3337" s="19" t="str">
        <f>"2170675786 "</f>
        <v xml:space="preserve">2170675786 </v>
      </c>
      <c r="G3337" s="19" t="str">
        <f t="shared" si="95"/>
        <v>ON1</v>
      </c>
      <c r="H3337" s="19" t="s">
        <v>20</v>
      </c>
      <c r="I3337" s="19" t="s">
        <v>61</v>
      </c>
      <c r="J3337" s="19" t="str">
        <f>""</f>
        <v/>
      </c>
      <c r="K3337" s="19" t="str">
        <f>"PFES1162674691_0001"</f>
        <v>PFES1162674691_0001</v>
      </c>
      <c r="L3337" s="19">
        <v>1</v>
      </c>
      <c r="M3337" s="19">
        <v>1</v>
      </c>
    </row>
    <row r="3338" spans="1:13">
      <c r="A3338" s="6">
        <v>43518</v>
      </c>
      <c r="B3338" s="7">
        <v>0.45069444444444445</v>
      </c>
      <c r="C3338" s="19" t="str">
        <f>"FES1162674677"</f>
        <v>FES1162674677</v>
      </c>
      <c r="D3338" s="19" t="s">
        <v>18</v>
      </c>
      <c r="E3338" s="19" t="s">
        <v>372</v>
      </c>
      <c r="F3338" s="19" t="str">
        <f>"2170672746 "</f>
        <v xml:space="preserve">2170672746 </v>
      </c>
      <c r="G3338" s="19" t="str">
        <f t="shared" si="95"/>
        <v>ON1</v>
      </c>
      <c r="H3338" s="19" t="s">
        <v>20</v>
      </c>
      <c r="I3338" s="19" t="s">
        <v>143</v>
      </c>
      <c r="J3338" s="19" t="str">
        <f>""</f>
        <v/>
      </c>
      <c r="K3338" s="19" t="str">
        <f>"PFES1162674677_0001"</f>
        <v>PFES1162674677_0001</v>
      </c>
      <c r="L3338" s="19">
        <v>1</v>
      </c>
      <c r="M3338" s="19">
        <v>1</v>
      </c>
    </row>
    <row r="3339" spans="1:13">
      <c r="A3339" s="6">
        <v>43518</v>
      </c>
      <c r="B3339" s="7">
        <v>0.45069444444444445</v>
      </c>
      <c r="C3339" s="19" t="str">
        <f>"FES1162674696"</f>
        <v>FES1162674696</v>
      </c>
      <c r="D3339" s="19" t="s">
        <v>18</v>
      </c>
      <c r="E3339" s="19" t="s">
        <v>157</v>
      </c>
      <c r="F3339" s="19" t="str">
        <f>"2170675780 "</f>
        <v xml:space="preserve">2170675780 </v>
      </c>
      <c r="G3339" s="19" t="str">
        <f t="shared" si="95"/>
        <v>ON1</v>
      </c>
      <c r="H3339" s="19" t="s">
        <v>20</v>
      </c>
      <c r="I3339" s="19" t="s">
        <v>158</v>
      </c>
      <c r="J3339" s="19" t="str">
        <f>""</f>
        <v/>
      </c>
      <c r="K3339" s="19" t="str">
        <f>"PFES1162674696_0001"</f>
        <v>PFES1162674696_0001</v>
      </c>
      <c r="L3339" s="19">
        <v>1</v>
      </c>
      <c r="M3339" s="19">
        <v>1</v>
      </c>
    </row>
    <row r="3340" spans="1:13">
      <c r="A3340" s="6">
        <v>43518</v>
      </c>
      <c r="B3340" s="7">
        <v>0.45069444444444445</v>
      </c>
      <c r="C3340" s="19" t="str">
        <f>"FES1162674678"</f>
        <v>FES1162674678</v>
      </c>
      <c r="D3340" s="19" t="s">
        <v>18</v>
      </c>
      <c r="E3340" s="19" t="s">
        <v>368</v>
      </c>
      <c r="F3340" s="19" t="str">
        <f>"2172675774 "</f>
        <v xml:space="preserve">2172675774 </v>
      </c>
      <c r="G3340" s="19" t="str">
        <f t="shared" si="95"/>
        <v>ON1</v>
      </c>
      <c r="H3340" s="19" t="s">
        <v>20</v>
      </c>
      <c r="I3340" s="19" t="s">
        <v>369</v>
      </c>
      <c r="J3340" s="19" t="str">
        <f>""</f>
        <v/>
      </c>
      <c r="K3340" s="19" t="str">
        <f>"PFES1162674678_0001"</f>
        <v>PFES1162674678_0001</v>
      </c>
      <c r="L3340" s="19">
        <v>1</v>
      </c>
      <c r="M3340" s="19">
        <v>1</v>
      </c>
    </row>
    <row r="3341" spans="1:13">
      <c r="A3341" s="6">
        <v>43518</v>
      </c>
      <c r="B3341" s="7">
        <v>0.45</v>
      </c>
      <c r="C3341" s="19" t="str">
        <f>"FES1162674676"</f>
        <v>FES1162674676</v>
      </c>
      <c r="D3341" s="19" t="s">
        <v>18</v>
      </c>
      <c r="E3341" s="19" t="s">
        <v>372</v>
      </c>
      <c r="F3341" s="19" t="str">
        <f>"2170670702 "</f>
        <v xml:space="preserve">2170670702 </v>
      </c>
      <c r="G3341" s="19" t="str">
        <f t="shared" si="95"/>
        <v>ON1</v>
      </c>
      <c r="H3341" s="19" t="s">
        <v>20</v>
      </c>
      <c r="I3341" s="19" t="s">
        <v>143</v>
      </c>
      <c r="J3341" s="19" t="str">
        <f>""</f>
        <v/>
      </c>
      <c r="K3341" s="19" t="str">
        <f>"PFES1162674676_0001"</f>
        <v>PFES1162674676_0001</v>
      </c>
      <c r="L3341" s="19">
        <v>1</v>
      </c>
      <c r="M3341" s="19">
        <v>1</v>
      </c>
    </row>
    <row r="3342" spans="1:13">
      <c r="A3342" s="6">
        <v>43518</v>
      </c>
      <c r="B3342" s="7">
        <v>0.45</v>
      </c>
      <c r="C3342" s="19" t="str">
        <f>"FES1162674652"</f>
        <v>FES1162674652</v>
      </c>
      <c r="D3342" s="19" t="s">
        <v>18</v>
      </c>
      <c r="E3342" s="19" t="s">
        <v>718</v>
      </c>
      <c r="F3342" s="19" t="str">
        <f>"2170675760 "</f>
        <v xml:space="preserve">2170675760 </v>
      </c>
      <c r="G3342" s="19" t="str">
        <f t="shared" si="95"/>
        <v>ON1</v>
      </c>
      <c r="H3342" s="19" t="s">
        <v>20</v>
      </c>
      <c r="I3342" s="19" t="s">
        <v>237</v>
      </c>
      <c r="J3342" s="19" t="str">
        <f>""</f>
        <v/>
      </c>
      <c r="K3342" s="19" t="str">
        <f>"PFES1162674652_0001"</f>
        <v>PFES1162674652_0001</v>
      </c>
      <c r="L3342" s="19">
        <v>1</v>
      </c>
      <c r="M3342" s="19">
        <v>1</v>
      </c>
    </row>
    <row r="3343" spans="1:13">
      <c r="A3343" s="6">
        <v>43518</v>
      </c>
      <c r="B3343" s="7">
        <v>0.44930555555555557</v>
      </c>
      <c r="C3343" s="19" t="str">
        <f>"FES1162674672"</f>
        <v>FES1162674672</v>
      </c>
      <c r="D3343" s="19" t="s">
        <v>18</v>
      </c>
      <c r="E3343" s="19" t="s">
        <v>299</v>
      </c>
      <c r="F3343" s="19" t="str">
        <f>"21706761385 "</f>
        <v xml:space="preserve">21706761385 </v>
      </c>
      <c r="G3343" s="19" t="str">
        <f t="shared" si="95"/>
        <v>ON1</v>
      </c>
      <c r="H3343" s="19" t="s">
        <v>20</v>
      </c>
      <c r="I3343" s="19" t="s">
        <v>43</v>
      </c>
      <c r="J3343" s="19" t="str">
        <f>""</f>
        <v/>
      </c>
      <c r="K3343" s="19" t="str">
        <f>"PFES1162674672_0001"</f>
        <v>PFES1162674672_0001</v>
      </c>
      <c r="L3343" s="19">
        <v>1</v>
      </c>
      <c r="M3343" s="19">
        <v>1</v>
      </c>
    </row>
    <row r="3344" spans="1:13">
      <c r="A3344" s="6">
        <v>43518</v>
      </c>
      <c r="B3344" s="7">
        <v>0.44930555555555557</v>
      </c>
      <c r="C3344" s="19" t="str">
        <f>"FES1162674685"</f>
        <v>FES1162674685</v>
      </c>
      <c r="D3344" s="19" t="s">
        <v>18</v>
      </c>
      <c r="E3344" s="19" t="s">
        <v>1129</v>
      </c>
      <c r="F3344" s="19" t="str">
        <f>"2170674338 "</f>
        <v xml:space="preserve">2170674338 </v>
      </c>
      <c r="G3344" s="19" t="str">
        <f t="shared" si="95"/>
        <v>ON1</v>
      </c>
      <c r="H3344" s="19" t="s">
        <v>20</v>
      </c>
      <c r="I3344" s="19" t="s">
        <v>43</v>
      </c>
      <c r="J3344" s="19" t="str">
        <f>""</f>
        <v/>
      </c>
      <c r="K3344" s="19" t="str">
        <f>"PFES1162674685_0001"</f>
        <v>PFES1162674685_0001</v>
      </c>
      <c r="L3344" s="19">
        <v>1</v>
      </c>
      <c r="M3344" s="19">
        <v>1</v>
      </c>
    </row>
    <row r="3345" spans="1:13">
      <c r="A3345" s="6">
        <v>43518</v>
      </c>
      <c r="B3345" s="7">
        <v>0.44861111111111113</v>
      </c>
      <c r="C3345" s="19" t="str">
        <f>"FES1162674699"</f>
        <v>FES1162674699</v>
      </c>
      <c r="D3345" s="19" t="s">
        <v>18</v>
      </c>
      <c r="E3345" s="19" t="s">
        <v>58</v>
      </c>
      <c r="F3345" s="19" t="str">
        <f>"2170668983 "</f>
        <v xml:space="preserve">2170668983 </v>
      </c>
      <c r="G3345" s="19" t="str">
        <f t="shared" si="95"/>
        <v>ON1</v>
      </c>
      <c r="H3345" s="19" t="s">
        <v>20</v>
      </c>
      <c r="I3345" s="19" t="s">
        <v>59</v>
      </c>
      <c r="J3345" s="19" t="str">
        <f>""</f>
        <v/>
      </c>
      <c r="K3345" s="19" t="str">
        <f>"PFES1162674699_0001"</f>
        <v>PFES1162674699_0001</v>
      </c>
      <c r="L3345" s="19">
        <v>1</v>
      </c>
      <c r="M3345" s="19">
        <v>1</v>
      </c>
    </row>
    <row r="3346" spans="1:13">
      <c r="A3346" s="6">
        <v>43518</v>
      </c>
      <c r="B3346" s="7">
        <v>0.44861111111111113</v>
      </c>
      <c r="C3346" s="19" t="str">
        <f>"FES1162674694"</f>
        <v>FES1162674694</v>
      </c>
      <c r="D3346" s="19" t="s">
        <v>18</v>
      </c>
      <c r="E3346" s="19" t="s">
        <v>58</v>
      </c>
      <c r="F3346" s="19" t="str">
        <f>"2170668816 "</f>
        <v xml:space="preserve">2170668816 </v>
      </c>
      <c r="G3346" s="19" t="str">
        <f t="shared" si="95"/>
        <v>ON1</v>
      </c>
      <c r="H3346" s="19" t="s">
        <v>20</v>
      </c>
      <c r="I3346" s="19" t="s">
        <v>59</v>
      </c>
      <c r="J3346" s="19" t="str">
        <f>""</f>
        <v/>
      </c>
      <c r="K3346" s="19" t="str">
        <f>"PFES1162674694_0001"</f>
        <v>PFES1162674694_0001</v>
      </c>
      <c r="L3346" s="19">
        <v>1</v>
      </c>
      <c r="M3346" s="19">
        <v>1</v>
      </c>
    </row>
    <row r="3347" spans="1:13">
      <c r="A3347" s="6">
        <v>43521</v>
      </c>
      <c r="B3347" s="7">
        <v>0.68888888888888899</v>
      </c>
      <c r="C3347" s="20" t="str">
        <f>"FES1162675190"</f>
        <v>FES1162675190</v>
      </c>
      <c r="D3347" s="20" t="s">
        <v>18</v>
      </c>
      <c r="E3347" s="20" t="s">
        <v>331</v>
      </c>
      <c r="F3347" s="20" t="str">
        <f>"2170676155 "</f>
        <v xml:space="preserve">2170676155 </v>
      </c>
      <c r="G3347" s="20" t="str">
        <f t="shared" si="95"/>
        <v>ON1</v>
      </c>
      <c r="H3347" s="20" t="s">
        <v>20</v>
      </c>
      <c r="I3347" s="20" t="s">
        <v>43</v>
      </c>
      <c r="J3347" s="20" t="str">
        <f>""</f>
        <v/>
      </c>
      <c r="K3347" s="20" t="str">
        <f>"PFES1162675190_0001"</f>
        <v>PFES1162675190_0001</v>
      </c>
      <c r="L3347" s="20">
        <v>1</v>
      </c>
      <c r="M3347" s="20">
        <v>2</v>
      </c>
    </row>
    <row r="3348" spans="1:13">
      <c r="A3348" s="6">
        <v>43521</v>
      </c>
      <c r="B3348" s="7">
        <v>0.68680555555555556</v>
      </c>
      <c r="C3348" s="20" t="str">
        <f>"FES1162675218"</f>
        <v>FES1162675218</v>
      </c>
      <c r="D3348" s="20" t="s">
        <v>18</v>
      </c>
      <c r="E3348" s="20" t="s">
        <v>298</v>
      </c>
      <c r="F3348" s="20" t="str">
        <f>"2170676183 "</f>
        <v xml:space="preserve">2170676183 </v>
      </c>
      <c r="G3348" s="20" t="str">
        <f t="shared" si="95"/>
        <v>ON1</v>
      </c>
      <c r="H3348" s="20" t="s">
        <v>20</v>
      </c>
      <c r="I3348" s="20" t="s">
        <v>93</v>
      </c>
      <c r="J3348" s="20" t="str">
        <f>""</f>
        <v/>
      </c>
      <c r="K3348" s="20" t="str">
        <f>"PFES1162675218_0001"</f>
        <v>PFES1162675218_0001</v>
      </c>
      <c r="L3348" s="20">
        <v>1</v>
      </c>
      <c r="M3348" s="20">
        <v>1</v>
      </c>
    </row>
    <row r="3349" spans="1:13">
      <c r="A3349" s="6">
        <v>43521</v>
      </c>
      <c r="B3349" s="7">
        <v>0.68402777777777779</v>
      </c>
      <c r="C3349" s="20" t="str">
        <f>"FES1162675079"</f>
        <v>FES1162675079</v>
      </c>
      <c r="D3349" s="20" t="s">
        <v>18</v>
      </c>
      <c r="E3349" s="20" t="s">
        <v>251</v>
      </c>
      <c r="F3349" s="20" t="str">
        <f>"217062362 "</f>
        <v xml:space="preserve">217062362 </v>
      </c>
      <c r="G3349" s="20" t="str">
        <f t="shared" si="95"/>
        <v>ON1</v>
      </c>
      <c r="H3349" s="20" t="s">
        <v>20</v>
      </c>
      <c r="I3349" s="20" t="s">
        <v>252</v>
      </c>
      <c r="J3349" s="20" t="str">
        <f>""</f>
        <v/>
      </c>
      <c r="K3349" s="20" t="str">
        <f>"PFES1162675079_0001"</f>
        <v>PFES1162675079_0001</v>
      </c>
      <c r="L3349" s="20">
        <v>1</v>
      </c>
      <c r="M3349" s="20">
        <v>8</v>
      </c>
    </row>
    <row r="3350" spans="1:13">
      <c r="A3350" s="6">
        <v>43521</v>
      </c>
      <c r="B3350" s="7">
        <v>0.68333333333333324</v>
      </c>
      <c r="C3350" s="20" t="str">
        <f>"FES1162675035"</f>
        <v>FES1162675035</v>
      </c>
      <c r="D3350" s="20" t="s">
        <v>18</v>
      </c>
      <c r="E3350" s="20" t="s">
        <v>1025</v>
      </c>
      <c r="F3350" s="20" t="str">
        <f>"2170676016 "</f>
        <v xml:space="preserve">2170676016 </v>
      </c>
      <c r="G3350" s="20" t="str">
        <f t="shared" si="95"/>
        <v>ON1</v>
      </c>
      <c r="H3350" s="20" t="s">
        <v>20</v>
      </c>
      <c r="I3350" s="20" t="s">
        <v>226</v>
      </c>
      <c r="J3350" s="20" t="str">
        <f>""</f>
        <v/>
      </c>
      <c r="K3350" s="20" t="str">
        <f>"PFES1162675035_0001"</f>
        <v>PFES1162675035_0001</v>
      </c>
      <c r="L3350" s="20">
        <v>1</v>
      </c>
      <c r="M3350" s="20">
        <v>2</v>
      </c>
    </row>
    <row r="3351" spans="1:13">
      <c r="A3351" s="6">
        <v>43521</v>
      </c>
      <c r="B3351" s="7">
        <v>0.68194444444444446</v>
      </c>
      <c r="C3351" s="20" t="str">
        <f>"FES1162675216"</f>
        <v>FES1162675216</v>
      </c>
      <c r="D3351" s="20" t="s">
        <v>18</v>
      </c>
      <c r="E3351" s="20" t="s">
        <v>229</v>
      </c>
      <c r="F3351" s="20" t="str">
        <f>"2170676182 "</f>
        <v xml:space="preserve">2170676182 </v>
      </c>
      <c r="G3351" s="20" t="str">
        <f t="shared" si="95"/>
        <v>ON1</v>
      </c>
      <c r="H3351" s="20" t="s">
        <v>20</v>
      </c>
      <c r="I3351" s="20" t="s">
        <v>111</v>
      </c>
      <c r="J3351" s="20" t="str">
        <f>""</f>
        <v/>
      </c>
      <c r="K3351" s="20" t="str">
        <f>"PFES1162675216_0001"</f>
        <v>PFES1162675216_0001</v>
      </c>
      <c r="L3351" s="20">
        <v>1</v>
      </c>
      <c r="M3351" s="20">
        <v>1</v>
      </c>
    </row>
    <row r="3352" spans="1:13">
      <c r="A3352" s="6">
        <v>43521</v>
      </c>
      <c r="B3352" s="7">
        <v>0.68194444444444446</v>
      </c>
      <c r="C3352" s="20" t="str">
        <f>"FES1162675202"</f>
        <v>FES1162675202</v>
      </c>
      <c r="D3352" s="20" t="s">
        <v>18</v>
      </c>
      <c r="E3352" s="20" t="s">
        <v>42</v>
      </c>
      <c r="F3352" s="20" t="str">
        <f>"2170676171 "</f>
        <v xml:space="preserve">2170676171 </v>
      </c>
      <c r="G3352" s="20" t="str">
        <f t="shared" si="95"/>
        <v>ON1</v>
      </c>
      <c r="H3352" s="20" t="s">
        <v>20</v>
      </c>
      <c r="I3352" s="20" t="s">
        <v>43</v>
      </c>
      <c r="J3352" s="20" t="str">
        <f>""</f>
        <v/>
      </c>
      <c r="K3352" s="20" t="str">
        <f>"PFES1162675202_0001"</f>
        <v>PFES1162675202_0001</v>
      </c>
      <c r="L3352" s="20">
        <v>1</v>
      </c>
      <c r="M3352" s="20">
        <v>1</v>
      </c>
    </row>
    <row r="3353" spans="1:13">
      <c r="A3353" s="6">
        <v>43521</v>
      </c>
      <c r="B3353" s="7">
        <v>0.68125000000000002</v>
      </c>
      <c r="C3353" s="20" t="str">
        <f>"FES1162675208"</f>
        <v>FES1162675208</v>
      </c>
      <c r="D3353" s="20" t="s">
        <v>18</v>
      </c>
      <c r="E3353" s="20" t="s">
        <v>42</v>
      </c>
      <c r="F3353" s="20" t="str">
        <f>"2170676177 "</f>
        <v xml:space="preserve">2170676177 </v>
      </c>
      <c r="G3353" s="20" t="str">
        <f t="shared" si="95"/>
        <v>ON1</v>
      </c>
      <c r="H3353" s="20" t="s">
        <v>20</v>
      </c>
      <c r="I3353" s="20" t="s">
        <v>43</v>
      </c>
      <c r="J3353" s="20" t="str">
        <f>""</f>
        <v/>
      </c>
      <c r="K3353" s="20" t="str">
        <f>"PFES1162675208_0001"</f>
        <v>PFES1162675208_0001</v>
      </c>
      <c r="L3353" s="20">
        <v>1</v>
      </c>
      <c r="M3353" s="20">
        <v>1</v>
      </c>
    </row>
    <row r="3354" spans="1:13">
      <c r="A3354" s="6">
        <v>43521</v>
      </c>
      <c r="B3354" s="7">
        <v>0.68125000000000002</v>
      </c>
      <c r="C3354" s="20" t="str">
        <f>"FES1162675168"</f>
        <v>FES1162675168</v>
      </c>
      <c r="D3354" s="20" t="s">
        <v>18</v>
      </c>
      <c r="E3354" s="20" t="s">
        <v>178</v>
      </c>
      <c r="F3354" s="20" t="str">
        <f>"2170676139 "</f>
        <v xml:space="preserve">2170676139 </v>
      </c>
      <c r="G3354" s="20" t="str">
        <f t="shared" si="95"/>
        <v>ON1</v>
      </c>
      <c r="H3354" s="20" t="s">
        <v>20</v>
      </c>
      <c r="I3354" s="20" t="s">
        <v>390</v>
      </c>
      <c r="J3354" s="20" t="str">
        <f>""</f>
        <v/>
      </c>
      <c r="K3354" s="20" t="str">
        <f>"PFES1162675168_0001"</f>
        <v>PFES1162675168_0001</v>
      </c>
      <c r="L3354" s="20">
        <v>1</v>
      </c>
      <c r="M3354" s="20">
        <v>1</v>
      </c>
    </row>
    <row r="3355" spans="1:13">
      <c r="A3355" s="6">
        <v>43521</v>
      </c>
      <c r="B3355" s="7">
        <v>0.68125000000000002</v>
      </c>
      <c r="C3355" s="20" t="str">
        <f>"FES1162675172"</f>
        <v>FES1162675172</v>
      </c>
      <c r="D3355" s="20" t="s">
        <v>18</v>
      </c>
      <c r="E3355" s="20" t="s">
        <v>151</v>
      </c>
      <c r="F3355" s="20" t="str">
        <f>"21706761743 "</f>
        <v xml:space="preserve">21706761743 </v>
      </c>
      <c r="G3355" s="20" t="str">
        <f t="shared" si="95"/>
        <v>ON1</v>
      </c>
      <c r="H3355" s="20" t="s">
        <v>20</v>
      </c>
      <c r="I3355" s="20" t="s">
        <v>63</v>
      </c>
      <c r="J3355" s="20" t="str">
        <f>""</f>
        <v/>
      </c>
      <c r="K3355" s="20" t="str">
        <f>"PFES1162675172_0001"</f>
        <v>PFES1162675172_0001</v>
      </c>
      <c r="L3355" s="20">
        <v>1</v>
      </c>
      <c r="M3355" s="20">
        <v>16</v>
      </c>
    </row>
    <row r="3356" spans="1:13">
      <c r="A3356" s="6">
        <v>43521</v>
      </c>
      <c r="B3356" s="7">
        <v>0.6791666666666667</v>
      </c>
      <c r="C3356" s="20" t="str">
        <f>"FES1162675210"</f>
        <v>FES1162675210</v>
      </c>
      <c r="D3356" s="20" t="s">
        <v>18</v>
      </c>
      <c r="E3356" s="20" t="s">
        <v>19</v>
      </c>
      <c r="F3356" s="20" t="str">
        <f>"217067619 "</f>
        <v xml:space="preserve">217067619 </v>
      </c>
      <c r="G3356" s="20" t="str">
        <f t="shared" si="95"/>
        <v>ON1</v>
      </c>
      <c r="H3356" s="20" t="s">
        <v>20</v>
      </c>
      <c r="I3356" s="20" t="s">
        <v>21</v>
      </c>
      <c r="J3356" s="20" t="str">
        <f>""</f>
        <v/>
      </c>
      <c r="K3356" s="20" t="str">
        <f>"PFES1162675210_0001"</f>
        <v>PFES1162675210_0001</v>
      </c>
      <c r="L3356" s="20">
        <v>1</v>
      </c>
      <c r="M3356" s="20">
        <v>1</v>
      </c>
    </row>
    <row r="3357" spans="1:13">
      <c r="A3357" s="6">
        <v>43521</v>
      </c>
      <c r="B3357" s="7">
        <v>0.6791666666666667</v>
      </c>
      <c r="C3357" s="20" t="str">
        <f>"FES1162675212"</f>
        <v>FES1162675212</v>
      </c>
      <c r="D3357" s="20" t="s">
        <v>18</v>
      </c>
      <c r="E3357" s="20" t="s">
        <v>19</v>
      </c>
      <c r="F3357" s="20" t="str">
        <f>"2170676181 "</f>
        <v xml:space="preserve">2170676181 </v>
      </c>
      <c r="G3357" s="20" t="str">
        <f t="shared" si="95"/>
        <v>ON1</v>
      </c>
      <c r="H3357" s="20" t="s">
        <v>20</v>
      </c>
      <c r="I3357" s="20" t="s">
        <v>21</v>
      </c>
      <c r="J3357" s="20" t="str">
        <f>""</f>
        <v/>
      </c>
      <c r="K3357" s="20" t="str">
        <f>"PFES1162675212_0001"</f>
        <v>PFES1162675212_0001</v>
      </c>
      <c r="L3357" s="20">
        <v>1</v>
      </c>
      <c r="M3357" s="20">
        <v>1</v>
      </c>
    </row>
    <row r="3358" spans="1:13">
      <c r="A3358" s="6">
        <v>43521</v>
      </c>
      <c r="B3358" s="7">
        <v>0.6791666666666667</v>
      </c>
      <c r="C3358" s="20" t="str">
        <f>"FES1162675205"</f>
        <v>FES1162675205</v>
      </c>
      <c r="D3358" s="20" t="s">
        <v>18</v>
      </c>
      <c r="E3358" s="20" t="s">
        <v>1130</v>
      </c>
      <c r="F3358" s="20" t="str">
        <f>"21706769827 "</f>
        <v xml:space="preserve">21706769827 </v>
      </c>
      <c r="G3358" s="20" t="str">
        <f t="shared" si="95"/>
        <v>ON1</v>
      </c>
      <c r="H3358" s="20" t="s">
        <v>20</v>
      </c>
      <c r="I3358" s="20" t="s">
        <v>65</v>
      </c>
      <c r="J3358" s="20" t="str">
        <f>""</f>
        <v/>
      </c>
      <c r="K3358" s="20" t="str">
        <f>"PFES1162675205_0001"</f>
        <v>PFES1162675205_0001</v>
      </c>
      <c r="L3358" s="20">
        <v>1</v>
      </c>
      <c r="M3358" s="20">
        <v>1</v>
      </c>
    </row>
    <row r="3359" spans="1:13">
      <c r="A3359" s="6">
        <v>43521</v>
      </c>
      <c r="B3359" s="7">
        <v>0.6791666666666667</v>
      </c>
      <c r="C3359" s="20" t="str">
        <f>"FES1162675171"</f>
        <v>FES1162675171</v>
      </c>
      <c r="D3359" s="20" t="s">
        <v>18</v>
      </c>
      <c r="E3359" s="20" t="s">
        <v>1131</v>
      </c>
      <c r="F3359" s="20" t="str">
        <f>"2170676142 "</f>
        <v xml:space="preserve">2170676142 </v>
      </c>
      <c r="G3359" s="20" t="str">
        <f t="shared" si="95"/>
        <v>ON1</v>
      </c>
      <c r="H3359" s="20" t="s">
        <v>20</v>
      </c>
      <c r="I3359" s="20" t="s">
        <v>53</v>
      </c>
      <c r="J3359" s="20" t="str">
        <f>""</f>
        <v/>
      </c>
      <c r="K3359" s="20" t="str">
        <f>"PFES1162675171_0001"</f>
        <v>PFES1162675171_0001</v>
      </c>
      <c r="L3359" s="20">
        <v>1</v>
      </c>
      <c r="M3359" s="20">
        <v>4</v>
      </c>
    </row>
    <row r="3360" spans="1:13">
      <c r="A3360" s="6">
        <v>43521</v>
      </c>
      <c r="B3360" s="7">
        <v>0.6791666666666667</v>
      </c>
      <c r="C3360" s="20" t="str">
        <f>"FES1162674881"</f>
        <v>FES1162674881</v>
      </c>
      <c r="D3360" s="20" t="s">
        <v>18</v>
      </c>
      <c r="E3360" s="20" t="s">
        <v>464</v>
      </c>
      <c r="F3360" s="20" t="str">
        <f>"2170675113 "</f>
        <v xml:space="preserve">2170675113 </v>
      </c>
      <c r="G3360" s="20" t="str">
        <f t="shared" si="95"/>
        <v>ON1</v>
      </c>
      <c r="H3360" s="20" t="s">
        <v>20</v>
      </c>
      <c r="I3360" s="20" t="s">
        <v>465</v>
      </c>
      <c r="J3360" s="20" t="str">
        <f>""</f>
        <v/>
      </c>
      <c r="K3360" s="20" t="str">
        <f>"PFES1162674881_0001"</f>
        <v>PFES1162674881_0001</v>
      </c>
      <c r="L3360" s="20">
        <v>1</v>
      </c>
      <c r="M3360" s="20">
        <v>1</v>
      </c>
    </row>
    <row r="3361" spans="1:13">
      <c r="A3361" s="6">
        <v>43521</v>
      </c>
      <c r="B3361" s="7">
        <v>0.67847222222222225</v>
      </c>
      <c r="C3361" s="20" t="str">
        <f>"FES1162675206"</f>
        <v>FES1162675206</v>
      </c>
      <c r="D3361" s="20" t="s">
        <v>18</v>
      </c>
      <c r="E3361" s="20" t="s">
        <v>1130</v>
      </c>
      <c r="F3361" s="20" t="str">
        <f>"217069769837 "</f>
        <v xml:space="preserve">217069769837 </v>
      </c>
      <c r="G3361" s="20" t="str">
        <f t="shared" si="95"/>
        <v>ON1</v>
      </c>
      <c r="H3361" s="20" t="s">
        <v>20</v>
      </c>
      <c r="I3361" s="20" t="s">
        <v>65</v>
      </c>
      <c r="J3361" s="20" t="str">
        <f>""</f>
        <v/>
      </c>
      <c r="K3361" s="20" t="str">
        <f>"PFES1162675206_0001"</f>
        <v>PFES1162675206_0001</v>
      </c>
      <c r="L3361" s="20">
        <v>1</v>
      </c>
      <c r="M3361" s="20">
        <v>4</v>
      </c>
    </row>
    <row r="3362" spans="1:13">
      <c r="A3362" s="6">
        <v>43521</v>
      </c>
      <c r="B3362" s="7">
        <v>0.67847222222222225</v>
      </c>
      <c r="C3362" s="20" t="str">
        <f>"FES1162675067"</f>
        <v>FES1162675067</v>
      </c>
      <c r="D3362" s="20" t="s">
        <v>18</v>
      </c>
      <c r="E3362" s="20" t="s">
        <v>1132</v>
      </c>
      <c r="F3362" s="20" t="str">
        <f>"2170674707 "</f>
        <v xml:space="preserve">2170674707 </v>
      </c>
      <c r="G3362" s="20" t="str">
        <f>"DBC"</f>
        <v>DBC</v>
      </c>
      <c r="H3362" s="20" t="s">
        <v>20</v>
      </c>
      <c r="I3362" s="20" t="s">
        <v>302</v>
      </c>
      <c r="J3362" s="20" t="str">
        <f>""</f>
        <v/>
      </c>
      <c r="K3362" s="20" t="str">
        <f>"PFES1162675067_0001"</f>
        <v>PFES1162675067_0001</v>
      </c>
      <c r="L3362" s="20">
        <v>1</v>
      </c>
      <c r="M3362" s="20">
        <v>20</v>
      </c>
    </row>
    <row r="3363" spans="1:13">
      <c r="A3363" s="6">
        <v>43521</v>
      </c>
      <c r="B3363" s="7">
        <v>0.6777777777777777</v>
      </c>
      <c r="C3363" s="20" t="str">
        <f>"FES1162675069"</f>
        <v>FES1162675069</v>
      </c>
      <c r="D3363" s="20" t="s">
        <v>18</v>
      </c>
      <c r="E3363" s="20" t="s">
        <v>104</v>
      </c>
      <c r="F3363" s="20" t="str">
        <f>"2170674225 "</f>
        <v xml:space="preserve">2170674225 </v>
      </c>
      <c r="G3363" s="20" t="str">
        <f t="shared" ref="G3363:G3408" si="96">"ON1"</f>
        <v>ON1</v>
      </c>
      <c r="H3363" s="20" t="s">
        <v>20</v>
      </c>
      <c r="I3363" s="20" t="s">
        <v>105</v>
      </c>
      <c r="J3363" s="20" t="str">
        <f>""</f>
        <v/>
      </c>
      <c r="K3363" s="20" t="str">
        <f>"PFES1162675069_0001"</f>
        <v>PFES1162675069_0001</v>
      </c>
      <c r="L3363" s="20">
        <v>1</v>
      </c>
      <c r="M3363" s="20">
        <v>19</v>
      </c>
    </row>
    <row r="3364" spans="1:13">
      <c r="A3364" s="6">
        <v>43521</v>
      </c>
      <c r="B3364" s="7">
        <v>0.6777777777777777</v>
      </c>
      <c r="C3364" s="20" t="str">
        <f>"FES1162674943"</f>
        <v>FES1162674943</v>
      </c>
      <c r="D3364" s="20" t="s">
        <v>18</v>
      </c>
      <c r="E3364" s="20" t="s">
        <v>624</v>
      </c>
      <c r="F3364" s="20" t="str">
        <f>"2170672041 "</f>
        <v xml:space="preserve">2170672041 </v>
      </c>
      <c r="G3364" s="20" t="str">
        <f t="shared" si="96"/>
        <v>ON1</v>
      </c>
      <c r="H3364" s="20" t="s">
        <v>20</v>
      </c>
      <c r="I3364" s="20" t="s">
        <v>29</v>
      </c>
      <c r="J3364" s="20" t="str">
        <f>""</f>
        <v/>
      </c>
      <c r="K3364" s="20" t="str">
        <f>"PFES1162674943_0001"</f>
        <v>PFES1162674943_0001</v>
      </c>
      <c r="L3364" s="20">
        <v>1</v>
      </c>
      <c r="M3364" s="20">
        <v>7</v>
      </c>
    </row>
    <row r="3365" spans="1:13">
      <c r="A3365" s="6">
        <v>43521</v>
      </c>
      <c r="B3365" s="7">
        <v>0.6777777777777777</v>
      </c>
      <c r="C3365" s="20" t="str">
        <f>"FES1162674860"</f>
        <v>FES1162674860</v>
      </c>
      <c r="D3365" s="20" t="s">
        <v>18</v>
      </c>
      <c r="E3365" s="20" t="s">
        <v>293</v>
      </c>
      <c r="F3365" s="20" t="str">
        <f>"2170673302 "</f>
        <v xml:space="preserve">2170673302 </v>
      </c>
      <c r="G3365" s="20" t="str">
        <f t="shared" si="96"/>
        <v>ON1</v>
      </c>
      <c r="H3365" s="20" t="s">
        <v>20</v>
      </c>
      <c r="I3365" s="20" t="s">
        <v>327</v>
      </c>
      <c r="J3365" s="20" t="str">
        <f>""</f>
        <v/>
      </c>
      <c r="K3365" s="20" t="str">
        <f>"PFES1162674860_0001"</f>
        <v>PFES1162674860_0001</v>
      </c>
      <c r="L3365" s="20">
        <v>1</v>
      </c>
      <c r="M3365" s="20">
        <v>12</v>
      </c>
    </row>
    <row r="3366" spans="1:13">
      <c r="A3366" s="6">
        <v>43521</v>
      </c>
      <c r="B3366" s="7">
        <v>0.6777777777777777</v>
      </c>
      <c r="C3366" s="20" t="str">
        <f>"FES1162675159"</f>
        <v>FES1162675159</v>
      </c>
      <c r="D3366" s="20" t="s">
        <v>18</v>
      </c>
      <c r="E3366" s="20" t="s">
        <v>100</v>
      </c>
      <c r="F3366" s="20" t="str">
        <f>"2170676129 "</f>
        <v xml:space="preserve">2170676129 </v>
      </c>
      <c r="G3366" s="20" t="str">
        <f t="shared" si="96"/>
        <v>ON1</v>
      </c>
      <c r="H3366" s="20" t="s">
        <v>20</v>
      </c>
      <c r="I3366" s="20" t="s">
        <v>101</v>
      </c>
      <c r="J3366" s="20" t="str">
        <f>""</f>
        <v/>
      </c>
      <c r="K3366" s="20" t="str">
        <f>"PFES1162675159_0001"</f>
        <v>PFES1162675159_0001</v>
      </c>
      <c r="L3366" s="20">
        <v>1</v>
      </c>
      <c r="M3366" s="20">
        <v>2</v>
      </c>
    </row>
    <row r="3367" spans="1:13">
      <c r="A3367" s="6">
        <v>43521</v>
      </c>
      <c r="B3367" s="7">
        <v>0.67708333333333337</v>
      </c>
      <c r="C3367" s="20" t="str">
        <f>"FES1162675174"</f>
        <v>FES1162675174</v>
      </c>
      <c r="D3367" s="20" t="s">
        <v>18</v>
      </c>
      <c r="E3367" s="20" t="s">
        <v>90</v>
      </c>
      <c r="F3367" s="20" t="str">
        <f>"2170668901 "</f>
        <v xml:space="preserve">2170668901 </v>
      </c>
      <c r="G3367" s="20" t="str">
        <f t="shared" si="96"/>
        <v>ON1</v>
      </c>
      <c r="H3367" s="20" t="s">
        <v>20</v>
      </c>
      <c r="I3367" s="20" t="s">
        <v>89</v>
      </c>
      <c r="J3367" s="20" t="str">
        <f>""</f>
        <v/>
      </c>
      <c r="K3367" s="20" t="str">
        <f>"PFES1162675174_0001"</f>
        <v>PFES1162675174_0001</v>
      </c>
      <c r="L3367" s="20">
        <v>1</v>
      </c>
      <c r="M3367" s="20">
        <v>2</v>
      </c>
    </row>
    <row r="3368" spans="1:13">
      <c r="A3368" s="6">
        <v>43521</v>
      </c>
      <c r="B3368" s="7">
        <v>0.67638888888888893</v>
      </c>
      <c r="C3368" s="20" t="str">
        <f>"FES1162675196"</f>
        <v>FES1162675196</v>
      </c>
      <c r="D3368" s="20" t="s">
        <v>18</v>
      </c>
      <c r="E3368" s="20" t="s">
        <v>1093</v>
      </c>
      <c r="F3368" s="20" t="str">
        <f>"2170676160 "</f>
        <v xml:space="preserve">2170676160 </v>
      </c>
      <c r="G3368" s="20" t="str">
        <f t="shared" si="96"/>
        <v>ON1</v>
      </c>
      <c r="H3368" s="20" t="s">
        <v>20</v>
      </c>
      <c r="I3368" s="20" t="s">
        <v>137</v>
      </c>
      <c r="J3368" s="20" t="str">
        <f>""</f>
        <v/>
      </c>
      <c r="K3368" s="20" t="str">
        <f>"PFES1162675196_0001"</f>
        <v>PFES1162675196_0001</v>
      </c>
      <c r="L3368" s="20">
        <v>1</v>
      </c>
      <c r="M3368" s="20">
        <v>2</v>
      </c>
    </row>
    <row r="3369" spans="1:13">
      <c r="A3369" s="6">
        <v>43521</v>
      </c>
      <c r="B3369" s="7">
        <v>0.67499999999999993</v>
      </c>
      <c r="C3369" s="20" t="str">
        <f>"FES1162675169"</f>
        <v>FES1162675169</v>
      </c>
      <c r="D3369" s="20" t="s">
        <v>18</v>
      </c>
      <c r="E3369" s="20" t="s">
        <v>19</v>
      </c>
      <c r="F3369" s="20" t="str">
        <f>"2170676140 "</f>
        <v xml:space="preserve">2170676140 </v>
      </c>
      <c r="G3369" s="20" t="str">
        <f t="shared" si="96"/>
        <v>ON1</v>
      </c>
      <c r="H3369" s="20" t="s">
        <v>20</v>
      </c>
      <c r="I3369" s="20" t="s">
        <v>21</v>
      </c>
      <c r="J3369" s="20" t="str">
        <f>""</f>
        <v/>
      </c>
      <c r="K3369" s="20" t="str">
        <f>"PFES1162675169_0001"</f>
        <v>PFES1162675169_0001</v>
      </c>
      <c r="L3369" s="20">
        <v>1</v>
      </c>
      <c r="M3369" s="20">
        <v>1</v>
      </c>
    </row>
    <row r="3370" spans="1:13">
      <c r="A3370" s="6">
        <v>43521</v>
      </c>
      <c r="B3370" s="7">
        <v>0.67499999999999993</v>
      </c>
      <c r="C3370" s="20" t="str">
        <f>"FES1162675199"</f>
        <v>FES1162675199</v>
      </c>
      <c r="D3370" s="20" t="s">
        <v>18</v>
      </c>
      <c r="E3370" s="20" t="s">
        <v>792</v>
      </c>
      <c r="F3370" s="20" t="str">
        <f>"2170673871 "</f>
        <v xml:space="preserve">2170673871 </v>
      </c>
      <c r="G3370" s="20" t="str">
        <f t="shared" si="96"/>
        <v>ON1</v>
      </c>
      <c r="H3370" s="20" t="s">
        <v>20</v>
      </c>
      <c r="I3370" s="20" t="s">
        <v>429</v>
      </c>
      <c r="J3370" s="20" t="str">
        <f>""</f>
        <v/>
      </c>
      <c r="K3370" s="20" t="str">
        <f>"PFES1162675199_0001"</f>
        <v>PFES1162675199_0001</v>
      </c>
      <c r="L3370" s="20">
        <v>1</v>
      </c>
      <c r="M3370" s="20">
        <v>1</v>
      </c>
    </row>
    <row r="3371" spans="1:13">
      <c r="A3371" s="6">
        <v>43521</v>
      </c>
      <c r="B3371" s="7">
        <v>0.67499999999999993</v>
      </c>
      <c r="C3371" s="20" t="str">
        <f>"FES1162675052"</f>
        <v>FES1162675052</v>
      </c>
      <c r="D3371" s="20" t="s">
        <v>18</v>
      </c>
      <c r="E3371" s="20" t="s">
        <v>74</v>
      </c>
      <c r="F3371" s="20" t="str">
        <f>"2170679137 "</f>
        <v xml:space="preserve">2170679137 </v>
      </c>
      <c r="G3371" s="20" t="str">
        <f t="shared" si="96"/>
        <v>ON1</v>
      </c>
      <c r="H3371" s="20" t="s">
        <v>20</v>
      </c>
      <c r="I3371" s="20" t="s">
        <v>75</v>
      </c>
      <c r="J3371" s="20" t="str">
        <f>""</f>
        <v/>
      </c>
      <c r="K3371" s="20" t="str">
        <f>"PFES1162675052_0001"</f>
        <v>PFES1162675052_0001</v>
      </c>
      <c r="L3371" s="20">
        <v>1</v>
      </c>
      <c r="M3371" s="20">
        <v>1</v>
      </c>
    </row>
    <row r="3372" spans="1:13">
      <c r="A3372" s="6">
        <v>43521</v>
      </c>
      <c r="B3372" s="7">
        <v>0.6743055555555556</v>
      </c>
      <c r="C3372" s="20" t="str">
        <f>"FES1162675193"</f>
        <v>FES1162675193</v>
      </c>
      <c r="D3372" s="20" t="s">
        <v>18</v>
      </c>
      <c r="E3372" s="20" t="s">
        <v>150</v>
      </c>
      <c r="F3372" s="20" t="str">
        <f>"2170671099 "</f>
        <v xml:space="preserve">2170671099 </v>
      </c>
      <c r="G3372" s="20" t="str">
        <f t="shared" si="96"/>
        <v>ON1</v>
      </c>
      <c r="H3372" s="20" t="s">
        <v>20</v>
      </c>
      <c r="I3372" s="20" t="s">
        <v>137</v>
      </c>
      <c r="J3372" s="20" t="str">
        <f>""</f>
        <v/>
      </c>
      <c r="K3372" s="20" t="str">
        <f>"PFES1162675193_0001"</f>
        <v>PFES1162675193_0001</v>
      </c>
      <c r="L3372" s="20">
        <v>1</v>
      </c>
      <c r="M3372" s="20">
        <v>2</v>
      </c>
    </row>
    <row r="3373" spans="1:13">
      <c r="A3373" s="6">
        <v>43521</v>
      </c>
      <c r="B3373" s="7">
        <v>0.6743055555555556</v>
      </c>
      <c r="C3373" s="20" t="str">
        <f>"FES1162675186"</f>
        <v>FES1162675186</v>
      </c>
      <c r="D3373" s="20" t="s">
        <v>18</v>
      </c>
      <c r="E3373" s="20" t="s">
        <v>300</v>
      </c>
      <c r="F3373" s="20" t="str">
        <f>"21706761444 "</f>
        <v xml:space="preserve">21706761444 </v>
      </c>
      <c r="G3373" s="20" t="str">
        <f t="shared" si="96"/>
        <v>ON1</v>
      </c>
      <c r="H3373" s="20" t="s">
        <v>20</v>
      </c>
      <c r="I3373" s="20" t="s">
        <v>276</v>
      </c>
      <c r="J3373" s="20" t="str">
        <f>""</f>
        <v/>
      </c>
      <c r="K3373" s="20" t="str">
        <f>"PFES1162675186_0001"</f>
        <v>PFES1162675186_0001</v>
      </c>
      <c r="L3373" s="20">
        <v>1</v>
      </c>
      <c r="M3373" s="20">
        <v>1</v>
      </c>
    </row>
    <row r="3374" spans="1:13">
      <c r="A3374" s="6">
        <v>43521</v>
      </c>
      <c r="B3374" s="7">
        <v>0.6743055555555556</v>
      </c>
      <c r="C3374" s="20" t="str">
        <f>"FES1162675200"</f>
        <v>FES1162675200</v>
      </c>
      <c r="D3374" s="20" t="s">
        <v>18</v>
      </c>
      <c r="E3374" s="20" t="s">
        <v>229</v>
      </c>
      <c r="F3374" s="20" t="str">
        <f>"2170676165 "</f>
        <v xml:space="preserve">2170676165 </v>
      </c>
      <c r="G3374" s="20" t="str">
        <f t="shared" si="96"/>
        <v>ON1</v>
      </c>
      <c r="H3374" s="20" t="s">
        <v>20</v>
      </c>
      <c r="I3374" s="20" t="s">
        <v>111</v>
      </c>
      <c r="J3374" s="20" t="str">
        <f>""</f>
        <v/>
      </c>
      <c r="K3374" s="20" t="str">
        <f>"PFES1162675200_0001"</f>
        <v>PFES1162675200_0001</v>
      </c>
      <c r="L3374" s="20">
        <v>1</v>
      </c>
      <c r="M3374" s="20">
        <v>1</v>
      </c>
    </row>
    <row r="3375" spans="1:13">
      <c r="A3375" s="6">
        <v>43521</v>
      </c>
      <c r="B3375" s="7">
        <v>0.6743055555555556</v>
      </c>
      <c r="C3375" s="20" t="str">
        <f>"FES1162675187"</f>
        <v>FES1162675187</v>
      </c>
      <c r="D3375" s="20" t="s">
        <v>18</v>
      </c>
      <c r="E3375" s="20" t="s">
        <v>19</v>
      </c>
      <c r="F3375" s="20" t="str">
        <f>"2170676149 "</f>
        <v xml:space="preserve">2170676149 </v>
      </c>
      <c r="G3375" s="20" t="str">
        <f t="shared" si="96"/>
        <v>ON1</v>
      </c>
      <c r="H3375" s="20" t="s">
        <v>20</v>
      </c>
      <c r="I3375" s="20" t="s">
        <v>21</v>
      </c>
      <c r="J3375" s="20" t="str">
        <f>""</f>
        <v/>
      </c>
      <c r="K3375" s="20" t="str">
        <f>"PFES1162675187_0001"</f>
        <v>PFES1162675187_0001</v>
      </c>
      <c r="L3375" s="20">
        <v>1</v>
      </c>
      <c r="M3375" s="20">
        <v>1</v>
      </c>
    </row>
    <row r="3376" spans="1:13">
      <c r="A3376" s="6">
        <v>43521</v>
      </c>
      <c r="B3376" s="7">
        <v>0.67361111111111116</v>
      </c>
      <c r="C3376" s="20" t="str">
        <f>"FES1162675170"</f>
        <v>FES1162675170</v>
      </c>
      <c r="D3376" s="20" t="s">
        <v>18</v>
      </c>
      <c r="E3376" s="20" t="s">
        <v>325</v>
      </c>
      <c r="F3376" s="20" t="str">
        <f>"2170676141 "</f>
        <v xml:space="preserve">2170676141 </v>
      </c>
      <c r="G3376" s="20" t="str">
        <f t="shared" si="96"/>
        <v>ON1</v>
      </c>
      <c r="H3376" s="20" t="s">
        <v>20</v>
      </c>
      <c r="I3376" s="20" t="s">
        <v>326</v>
      </c>
      <c r="J3376" s="20" t="str">
        <f>""</f>
        <v/>
      </c>
      <c r="K3376" s="20" t="str">
        <f>"PFES1162675170_0001"</f>
        <v>PFES1162675170_0001</v>
      </c>
      <c r="L3376" s="20">
        <v>1</v>
      </c>
      <c r="M3376" s="20">
        <v>3</v>
      </c>
    </row>
    <row r="3377" spans="1:13">
      <c r="A3377" s="6">
        <v>43521</v>
      </c>
      <c r="B3377" s="7">
        <v>0.67361111111111116</v>
      </c>
      <c r="C3377" s="20" t="str">
        <f>"FES1162675178"</f>
        <v>FES1162675178</v>
      </c>
      <c r="D3377" s="20" t="s">
        <v>18</v>
      </c>
      <c r="E3377" s="20" t="s">
        <v>501</v>
      </c>
      <c r="F3377" s="20" t="str">
        <f>"2170676158 "</f>
        <v xml:space="preserve">2170676158 </v>
      </c>
      <c r="G3377" s="20" t="str">
        <f t="shared" si="96"/>
        <v>ON1</v>
      </c>
      <c r="H3377" s="20" t="s">
        <v>20</v>
      </c>
      <c r="I3377" s="20" t="s">
        <v>286</v>
      </c>
      <c r="J3377" s="20" t="str">
        <f>""</f>
        <v/>
      </c>
      <c r="K3377" s="20" t="str">
        <f>"PFES1162675178_0001"</f>
        <v>PFES1162675178_0001</v>
      </c>
      <c r="L3377" s="20">
        <v>1</v>
      </c>
      <c r="M3377" s="20">
        <v>1</v>
      </c>
    </row>
    <row r="3378" spans="1:13">
      <c r="A3378" s="6">
        <v>43521</v>
      </c>
      <c r="B3378" s="7">
        <v>0.67361111111111116</v>
      </c>
      <c r="C3378" s="20" t="str">
        <f>"FES1162675191"</f>
        <v>FES1162675191</v>
      </c>
      <c r="D3378" s="20" t="s">
        <v>18</v>
      </c>
      <c r="E3378" s="20" t="s">
        <v>19</v>
      </c>
      <c r="F3378" s="20" t="str">
        <f>"2170676157 "</f>
        <v xml:space="preserve">2170676157 </v>
      </c>
      <c r="G3378" s="20" t="str">
        <f t="shared" si="96"/>
        <v>ON1</v>
      </c>
      <c r="H3378" s="20" t="s">
        <v>20</v>
      </c>
      <c r="I3378" s="20" t="s">
        <v>21</v>
      </c>
      <c r="J3378" s="20" t="str">
        <f>""</f>
        <v/>
      </c>
      <c r="K3378" s="20" t="str">
        <f>"PFES1162675191_0001"</f>
        <v>PFES1162675191_0001</v>
      </c>
      <c r="L3378" s="20">
        <v>1</v>
      </c>
      <c r="M3378" s="20">
        <v>1</v>
      </c>
    </row>
    <row r="3379" spans="1:13">
      <c r="A3379" s="6">
        <v>43521</v>
      </c>
      <c r="B3379" s="7">
        <v>0.67361111111111116</v>
      </c>
      <c r="C3379" s="20" t="str">
        <f>"FES1162675204"</f>
        <v>FES1162675204</v>
      </c>
      <c r="D3379" s="20" t="s">
        <v>18</v>
      </c>
      <c r="E3379" s="20" t="s">
        <v>1133</v>
      </c>
      <c r="F3379" s="20" t="str">
        <f>"2170676175 "</f>
        <v xml:space="preserve">2170676175 </v>
      </c>
      <c r="G3379" s="20" t="str">
        <f t="shared" si="96"/>
        <v>ON1</v>
      </c>
      <c r="H3379" s="20" t="s">
        <v>20</v>
      </c>
      <c r="I3379" s="20" t="s">
        <v>700</v>
      </c>
      <c r="J3379" s="20" t="str">
        <f>""</f>
        <v/>
      </c>
      <c r="K3379" s="20" t="str">
        <f>"PFES1162675204_0001"</f>
        <v>PFES1162675204_0001</v>
      </c>
      <c r="L3379" s="20">
        <v>1</v>
      </c>
      <c r="M3379" s="20">
        <v>1</v>
      </c>
    </row>
    <row r="3380" spans="1:13">
      <c r="A3380" s="6">
        <v>43521</v>
      </c>
      <c r="B3380" s="7">
        <v>0.67291666666666661</v>
      </c>
      <c r="C3380" s="20" t="str">
        <f>"FES1162675194"</f>
        <v>FES1162675194</v>
      </c>
      <c r="D3380" s="20" t="s">
        <v>18</v>
      </c>
      <c r="E3380" s="20" t="s">
        <v>19</v>
      </c>
      <c r="F3380" s="20" t="str">
        <f>"2170674098 "</f>
        <v xml:space="preserve">2170674098 </v>
      </c>
      <c r="G3380" s="20" t="str">
        <f t="shared" si="96"/>
        <v>ON1</v>
      </c>
      <c r="H3380" s="20" t="s">
        <v>20</v>
      </c>
      <c r="I3380" s="20" t="s">
        <v>21</v>
      </c>
      <c r="J3380" s="20" t="str">
        <f>""</f>
        <v/>
      </c>
      <c r="K3380" s="20" t="str">
        <f>"PFES1162675194_0001"</f>
        <v>PFES1162675194_0001</v>
      </c>
      <c r="L3380" s="20">
        <v>1</v>
      </c>
      <c r="M3380" s="20">
        <v>1</v>
      </c>
    </row>
    <row r="3381" spans="1:13">
      <c r="A3381" s="6">
        <v>43521</v>
      </c>
      <c r="B3381" s="7">
        <v>0.67291666666666661</v>
      </c>
      <c r="C3381" s="20" t="str">
        <f>"FES1162675165"</f>
        <v>FES1162675165</v>
      </c>
      <c r="D3381" s="20" t="s">
        <v>18</v>
      </c>
      <c r="E3381" s="20" t="s">
        <v>1134</v>
      </c>
      <c r="F3381" s="20" t="str">
        <f>"2170676135 "</f>
        <v xml:space="preserve">2170676135 </v>
      </c>
      <c r="G3381" s="20" t="str">
        <f t="shared" si="96"/>
        <v>ON1</v>
      </c>
      <c r="H3381" s="20" t="s">
        <v>20</v>
      </c>
      <c r="I3381" s="20" t="s">
        <v>1135</v>
      </c>
      <c r="J3381" s="20" t="str">
        <f>""</f>
        <v/>
      </c>
      <c r="K3381" s="20" t="str">
        <f>"PFES1162675165_0001"</f>
        <v>PFES1162675165_0001</v>
      </c>
      <c r="L3381" s="20">
        <v>1</v>
      </c>
      <c r="M3381" s="20">
        <v>5</v>
      </c>
    </row>
    <row r="3382" spans="1:13">
      <c r="A3382" s="6">
        <v>43521</v>
      </c>
      <c r="B3382" s="7">
        <v>0.67291666666666661</v>
      </c>
      <c r="C3382" s="20" t="str">
        <f>"FES1162675181"</f>
        <v>FES1162675181</v>
      </c>
      <c r="D3382" s="20" t="s">
        <v>18</v>
      </c>
      <c r="E3382" s="20" t="s">
        <v>19</v>
      </c>
      <c r="F3382" s="20" t="str">
        <f>"2170674983 "</f>
        <v xml:space="preserve">2170674983 </v>
      </c>
      <c r="G3382" s="20" t="str">
        <f t="shared" si="96"/>
        <v>ON1</v>
      </c>
      <c r="H3382" s="20" t="s">
        <v>20</v>
      </c>
      <c r="I3382" s="20" t="s">
        <v>21</v>
      </c>
      <c r="J3382" s="20" t="str">
        <f>""</f>
        <v/>
      </c>
      <c r="K3382" s="20" t="str">
        <f>"PFES1162675181_0001"</f>
        <v>PFES1162675181_0001</v>
      </c>
      <c r="L3382" s="20">
        <v>1</v>
      </c>
      <c r="M3382" s="20">
        <v>4</v>
      </c>
    </row>
    <row r="3383" spans="1:13">
      <c r="A3383" s="6">
        <v>43521</v>
      </c>
      <c r="B3383" s="7">
        <v>0.67222222222222217</v>
      </c>
      <c r="C3383" s="20" t="str">
        <f>"FES1162675153"</f>
        <v>FES1162675153</v>
      </c>
      <c r="D3383" s="20" t="s">
        <v>18</v>
      </c>
      <c r="E3383" s="20" t="s">
        <v>733</v>
      </c>
      <c r="F3383" s="20" t="str">
        <f>"2170675441 "</f>
        <v xml:space="preserve">2170675441 </v>
      </c>
      <c r="G3383" s="20" t="str">
        <f t="shared" si="96"/>
        <v>ON1</v>
      </c>
      <c r="H3383" s="20" t="s">
        <v>20</v>
      </c>
      <c r="I3383" s="20" t="s">
        <v>143</v>
      </c>
      <c r="J3383" s="20" t="str">
        <f>""</f>
        <v/>
      </c>
      <c r="K3383" s="20" t="str">
        <f>"PFES1162675153_0001"</f>
        <v>PFES1162675153_0001</v>
      </c>
      <c r="L3383" s="20">
        <v>1</v>
      </c>
      <c r="M3383" s="20">
        <v>4</v>
      </c>
    </row>
    <row r="3384" spans="1:13">
      <c r="A3384" s="6">
        <v>43521</v>
      </c>
      <c r="B3384" s="7">
        <v>0.67222222222222217</v>
      </c>
      <c r="C3384" s="20" t="str">
        <f>"FES1162675179"</f>
        <v>FES1162675179</v>
      </c>
      <c r="D3384" s="20" t="s">
        <v>18</v>
      </c>
      <c r="E3384" s="20" t="s">
        <v>235</v>
      </c>
      <c r="F3384" s="20" t="str">
        <f>"2170675591 "</f>
        <v xml:space="preserve">2170675591 </v>
      </c>
      <c r="G3384" s="20" t="str">
        <f t="shared" si="96"/>
        <v>ON1</v>
      </c>
      <c r="H3384" s="20" t="s">
        <v>20</v>
      </c>
      <c r="I3384" s="20" t="s">
        <v>143</v>
      </c>
      <c r="J3384" s="20" t="str">
        <f>""</f>
        <v/>
      </c>
      <c r="K3384" s="20" t="str">
        <f>"PFES1162675179_0001"</f>
        <v>PFES1162675179_0001</v>
      </c>
      <c r="L3384" s="20">
        <v>1</v>
      </c>
      <c r="M3384" s="20">
        <v>2</v>
      </c>
    </row>
    <row r="3385" spans="1:13">
      <c r="A3385" s="6">
        <v>43521</v>
      </c>
      <c r="B3385" s="7">
        <v>0.67222222222222217</v>
      </c>
      <c r="C3385" s="20" t="str">
        <f>"FES1162675177"</f>
        <v>FES1162675177</v>
      </c>
      <c r="D3385" s="20" t="s">
        <v>18</v>
      </c>
      <c r="E3385" s="20" t="s">
        <v>235</v>
      </c>
      <c r="F3385" s="20" t="str">
        <f>"2170675590 "</f>
        <v xml:space="preserve">2170675590 </v>
      </c>
      <c r="G3385" s="20" t="str">
        <f t="shared" si="96"/>
        <v>ON1</v>
      </c>
      <c r="H3385" s="20" t="s">
        <v>20</v>
      </c>
      <c r="I3385" s="20" t="s">
        <v>143</v>
      </c>
      <c r="J3385" s="20" t="str">
        <f>""</f>
        <v/>
      </c>
      <c r="K3385" s="20" t="str">
        <f>"PFES1162675177_0001"</f>
        <v>PFES1162675177_0001</v>
      </c>
      <c r="L3385" s="20">
        <v>1</v>
      </c>
      <c r="M3385" s="20">
        <v>2</v>
      </c>
    </row>
    <row r="3386" spans="1:13">
      <c r="A3386" s="6">
        <v>43521</v>
      </c>
      <c r="B3386" s="7">
        <v>0.67152777777777783</v>
      </c>
      <c r="C3386" s="20" t="str">
        <f>"FES1162675176"</f>
        <v>FES1162675176</v>
      </c>
      <c r="D3386" s="20" t="s">
        <v>18</v>
      </c>
      <c r="E3386" s="20" t="s">
        <v>235</v>
      </c>
      <c r="F3386" s="20" t="str">
        <f>"2170675587 "</f>
        <v xml:space="preserve">2170675587 </v>
      </c>
      <c r="G3386" s="20" t="str">
        <f t="shared" si="96"/>
        <v>ON1</v>
      </c>
      <c r="H3386" s="20" t="s">
        <v>20</v>
      </c>
      <c r="I3386" s="20" t="s">
        <v>143</v>
      </c>
      <c r="J3386" s="20" t="str">
        <f>""</f>
        <v/>
      </c>
      <c r="K3386" s="20" t="str">
        <f>"PFES1162675176_0001"</f>
        <v>PFES1162675176_0001</v>
      </c>
      <c r="L3386" s="20">
        <v>1</v>
      </c>
      <c r="M3386" s="20">
        <v>2</v>
      </c>
    </row>
    <row r="3387" spans="1:13">
      <c r="A3387" s="6">
        <v>43521</v>
      </c>
      <c r="B3387" s="7">
        <v>0.67152777777777783</v>
      </c>
      <c r="C3387" s="20" t="str">
        <f>"FES1162675180"</f>
        <v>FES1162675180</v>
      </c>
      <c r="D3387" s="20" t="s">
        <v>18</v>
      </c>
      <c r="E3387" s="20" t="s">
        <v>235</v>
      </c>
      <c r="F3387" s="20" t="str">
        <f>"2170675594 "</f>
        <v xml:space="preserve">2170675594 </v>
      </c>
      <c r="G3387" s="20" t="str">
        <f t="shared" si="96"/>
        <v>ON1</v>
      </c>
      <c r="H3387" s="20" t="s">
        <v>20</v>
      </c>
      <c r="I3387" s="20" t="s">
        <v>143</v>
      </c>
      <c r="J3387" s="20" t="str">
        <f>""</f>
        <v/>
      </c>
      <c r="K3387" s="20" t="str">
        <f>"PFES1162675180_0001"</f>
        <v>PFES1162675180_0001</v>
      </c>
      <c r="L3387" s="20">
        <v>1</v>
      </c>
      <c r="M3387" s="20">
        <v>2</v>
      </c>
    </row>
    <row r="3388" spans="1:13">
      <c r="A3388" s="6">
        <v>43521</v>
      </c>
      <c r="B3388" s="7">
        <v>0.65833333333333333</v>
      </c>
      <c r="C3388" s="20" t="str">
        <f>"FES1162674969"</f>
        <v>FES1162674969</v>
      </c>
      <c r="D3388" s="20" t="s">
        <v>18</v>
      </c>
      <c r="E3388" s="20" t="s">
        <v>629</v>
      </c>
      <c r="F3388" s="20" t="str">
        <f>"2170673407 "</f>
        <v xml:space="preserve">2170673407 </v>
      </c>
      <c r="G3388" s="20" t="str">
        <f t="shared" si="96"/>
        <v>ON1</v>
      </c>
      <c r="H3388" s="20" t="s">
        <v>20</v>
      </c>
      <c r="I3388" s="20" t="s">
        <v>420</v>
      </c>
      <c r="J3388" s="20" t="str">
        <f>""</f>
        <v/>
      </c>
      <c r="K3388" s="20" t="str">
        <f>"PFES1162674969_0001"</f>
        <v>PFES1162674969_0001</v>
      </c>
      <c r="L3388" s="20">
        <v>1</v>
      </c>
      <c r="M3388" s="20">
        <v>1</v>
      </c>
    </row>
    <row r="3389" spans="1:13">
      <c r="A3389" s="6">
        <v>43521</v>
      </c>
      <c r="B3389" s="7">
        <v>0.65833333333333333</v>
      </c>
      <c r="C3389" s="20" t="str">
        <f>"FES1162675018"</f>
        <v>FES1162675018</v>
      </c>
      <c r="D3389" s="20" t="s">
        <v>18</v>
      </c>
      <c r="E3389" s="20" t="s">
        <v>1136</v>
      </c>
      <c r="F3389" s="20" t="str">
        <f>"2170675124 "</f>
        <v xml:space="preserve">2170675124 </v>
      </c>
      <c r="G3389" s="20" t="str">
        <f t="shared" si="96"/>
        <v>ON1</v>
      </c>
      <c r="H3389" s="20" t="s">
        <v>20</v>
      </c>
      <c r="I3389" s="20" t="s">
        <v>29</v>
      </c>
      <c r="J3389" s="20" t="str">
        <f>""</f>
        <v/>
      </c>
      <c r="K3389" s="20" t="str">
        <f>"PFES1162675018_0001"</f>
        <v>PFES1162675018_0001</v>
      </c>
      <c r="L3389" s="20">
        <v>1</v>
      </c>
      <c r="M3389" s="20">
        <v>1</v>
      </c>
    </row>
    <row r="3390" spans="1:13">
      <c r="A3390" s="6">
        <v>43521</v>
      </c>
      <c r="B3390" s="7">
        <v>0.65763888888888888</v>
      </c>
      <c r="C3390" s="20" t="str">
        <f>"FES1162675006"</f>
        <v>FES1162675006</v>
      </c>
      <c r="D3390" s="20" t="s">
        <v>18</v>
      </c>
      <c r="E3390" s="20" t="s">
        <v>73</v>
      </c>
      <c r="F3390" s="20" t="str">
        <f>"2170673921 "</f>
        <v xml:space="preserve">2170673921 </v>
      </c>
      <c r="G3390" s="20" t="str">
        <f t="shared" si="96"/>
        <v>ON1</v>
      </c>
      <c r="H3390" s="20" t="s">
        <v>20</v>
      </c>
      <c r="I3390" s="20" t="s">
        <v>61</v>
      </c>
      <c r="J3390" s="20" t="str">
        <f>""</f>
        <v/>
      </c>
      <c r="K3390" s="20" t="str">
        <f>"PFES1162675006_0001"</f>
        <v>PFES1162675006_0001</v>
      </c>
      <c r="L3390" s="20">
        <v>1</v>
      </c>
      <c r="M3390" s="20">
        <v>1</v>
      </c>
    </row>
    <row r="3391" spans="1:13">
      <c r="A3391" s="6">
        <v>43521</v>
      </c>
      <c r="B3391" s="7">
        <v>0.65763888888888888</v>
      </c>
      <c r="C3391" s="20" t="str">
        <f>"FES1162675124"</f>
        <v>FES1162675124</v>
      </c>
      <c r="D3391" s="20" t="s">
        <v>18</v>
      </c>
      <c r="E3391" s="20" t="s">
        <v>936</v>
      </c>
      <c r="F3391" s="20" t="str">
        <f>"2170676093 "</f>
        <v xml:space="preserve">2170676093 </v>
      </c>
      <c r="G3391" s="20" t="str">
        <f t="shared" si="96"/>
        <v>ON1</v>
      </c>
      <c r="H3391" s="20" t="s">
        <v>20</v>
      </c>
      <c r="I3391" s="20" t="s">
        <v>937</v>
      </c>
      <c r="J3391" s="20" t="str">
        <f>""</f>
        <v/>
      </c>
      <c r="K3391" s="20" t="str">
        <f>"PFES1162675124_0001"</f>
        <v>PFES1162675124_0001</v>
      </c>
      <c r="L3391" s="20">
        <v>1</v>
      </c>
      <c r="M3391" s="20">
        <v>1</v>
      </c>
    </row>
    <row r="3392" spans="1:13">
      <c r="A3392" s="6">
        <v>43521</v>
      </c>
      <c r="B3392" s="7">
        <v>0.65763888888888888</v>
      </c>
      <c r="C3392" s="20" t="str">
        <f>"FES1162675122"</f>
        <v>FES1162675122</v>
      </c>
      <c r="D3392" s="20" t="s">
        <v>18</v>
      </c>
      <c r="E3392" s="20" t="s">
        <v>1137</v>
      </c>
      <c r="F3392" s="20" t="str">
        <f>"2170676090 "</f>
        <v xml:space="preserve">2170676090 </v>
      </c>
      <c r="G3392" s="20" t="str">
        <f t="shared" si="96"/>
        <v>ON1</v>
      </c>
      <c r="H3392" s="20" t="s">
        <v>20</v>
      </c>
      <c r="I3392" s="20" t="s">
        <v>359</v>
      </c>
      <c r="J3392" s="20" t="str">
        <f>""</f>
        <v/>
      </c>
      <c r="K3392" s="20" t="str">
        <f>"PFES1162675122_0001"</f>
        <v>PFES1162675122_0001</v>
      </c>
      <c r="L3392" s="20">
        <v>1</v>
      </c>
      <c r="M3392" s="20">
        <v>1</v>
      </c>
    </row>
    <row r="3393" spans="1:13">
      <c r="A3393" s="6">
        <v>43521</v>
      </c>
      <c r="B3393" s="7">
        <v>0.65694444444444444</v>
      </c>
      <c r="C3393" s="20" t="str">
        <f>"FES1162675152"</f>
        <v>FES1162675152</v>
      </c>
      <c r="D3393" s="20" t="s">
        <v>18</v>
      </c>
      <c r="E3393" s="20" t="s">
        <v>287</v>
      </c>
      <c r="F3393" s="20" t="str">
        <f>"21706761273 "</f>
        <v xml:space="preserve">21706761273 </v>
      </c>
      <c r="G3393" s="20" t="str">
        <f t="shared" si="96"/>
        <v>ON1</v>
      </c>
      <c r="H3393" s="20" t="s">
        <v>20</v>
      </c>
      <c r="I3393" s="20" t="s">
        <v>288</v>
      </c>
      <c r="J3393" s="20" t="str">
        <f>""</f>
        <v/>
      </c>
      <c r="K3393" s="20" t="str">
        <f>"PFES1162675152_0001"</f>
        <v>PFES1162675152_0001</v>
      </c>
      <c r="L3393" s="20">
        <v>1</v>
      </c>
      <c r="M3393" s="20">
        <v>1</v>
      </c>
    </row>
    <row r="3394" spans="1:13">
      <c r="A3394" s="6">
        <v>43521</v>
      </c>
      <c r="B3394" s="7">
        <v>0.65694444444444444</v>
      </c>
      <c r="C3394" s="20" t="str">
        <f>"FES1162675192"</f>
        <v>FES1162675192</v>
      </c>
      <c r="D3394" s="20" t="s">
        <v>18</v>
      </c>
      <c r="E3394" s="20" t="s">
        <v>229</v>
      </c>
      <c r="F3394" s="20" t="str">
        <f>"2170675271 "</f>
        <v xml:space="preserve">2170675271 </v>
      </c>
      <c r="G3394" s="20" t="str">
        <f t="shared" si="96"/>
        <v>ON1</v>
      </c>
      <c r="H3394" s="20" t="s">
        <v>20</v>
      </c>
      <c r="I3394" s="20" t="s">
        <v>111</v>
      </c>
      <c r="J3394" s="20" t="str">
        <f>""</f>
        <v/>
      </c>
      <c r="K3394" s="20" t="str">
        <f>"PFES1162675192_0001"</f>
        <v>PFES1162675192_0001</v>
      </c>
      <c r="L3394" s="20">
        <v>1</v>
      </c>
      <c r="M3394" s="20">
        <v>1</v>
      </c>
    </row>
    <row r="3395" spans="1:13">
      <c r="A3395" s="6">
        <v>43521</v>
      </c>
      <c r="B3395" s="7">
        <v>0.65694444444444444</v>
      </c>
      <c r="C3395" s="20" t="str">
        <f>"FES1162675091"</f>
        <v>FES1162675091</v>
      </c>
      <c r="D3395" s="20" t="s">
        <v>18</v>
      </c>
      <c r="E3395" s="20" t="s">
        <v>19</v>
      </c>
      <c r="F3395" s="20" t="str">
        <f>"2170676051 "</f>
        <v xml:space="preserve">2170676051 </v>
      </c>
      <c r="G3395" s="20" t="str">
        <f t="shared" si="96"/>
        <v>ON1</v>
      </c>
      <c r="H3395" s="20" t="s">
        <v>20</v>
      </c>
      <c r="I3395" s="20" t="s">
        <v>21</v>
      </c>
      <c r="J3395" s="20" t="str">
        <f>""</f>
        <v/>
      </c>
      <c r="K3395" s="20" t="str">
        <f>"PFES1162675091_0001"</f>
        <v>PFES1162675091_0001</v>
      </c>
      <c r="L3395" s="20">
        <v>1</v>
      </c>
      <c r="M3395" s="20">
        <v>1</v>
      </c>
    </row>
    <row r="3396" spans="1:13">
      <c r="A3396" s="6">
        <v>43521</v>
      </c>
      <c r="B3396" s="7">
        <v>0.65625</v>
      </c>
      <c r="C3396" s="20" t="str">
        <f>"FES1162675118"</f>
        <v>FES1162675118</v>
      </c>
      <c r="D3396" s="20" t="s">
        <v>18</v>
      </c>
      <c r="E3396" s="20" t="s">
        <v>634</v>
      </c>
      <c r="F3396" s="20" t="str">
        <f>"2170676085 "</f>
        <v xml:space="preserve">2170676085 </v>
      </c>
      <c r="G3396" s="20" t="str">
        <f t="shared" si="96"/>
        <v>ON1</v>
      </c>
      <c r="H3396" s="20" t="s">
        <v>20</v>
      </c>
      <c r="I3396" s="20" t="s">
        <v>635</v>
      </c>
      <c r="J3396" s="20" t="str">
        <f>""</f>
        <v/>
      </c>
      <c r="K3396" s="20" t="str">
        <f>"PFES1162675118_0001"</f>
        <v>PFES1162675118_0001</v>
      </c>
      <c r="L3396" s="20">
        <v>1</v>
      </c>
      <c r="M3396" s="20">
        <v>1</v>
      </c>
    </row>
    <row r="3397" spans="1:13">
      <c r="A3397" s="6">
        <v>43521</v>
      </c>
      <c r="B3397" s="7">
        <v>0.65625</v>
      </c>
      <c r="C3397" s="20" t="str">
        <f>"FES1162675150"</f>
        <v>FES1162675150</v>
      </c>
      <c r="D3397" s="20" t="s">
        <v>18</v>
      </c>
      <c r="E3397" s="20" t="s">
        <v>817</v>
      </c>
      <c r="F3397" s="20" t="str">
        <f>"2170676125 "</f>
        <v xml:space="preserve">2170676125 </v>
      </c>
      <c r="G3397" s="20" t="str">
        <f t="shared" si="96"/>
        <v>ON1</v>
      </c>
      <c r="H3397" s="20" t="s">
        <v>20</v>
      </c>
      <c r="I3397" s="20" t="s">
        <v>584</v>
      </c>
      <c r="J3397" s="20" t="str">
        <f>""</f>
        <v/>
      </c>
      <c r="K3397" s="20" t="str">
        <f>"PFES1162675150_0001"</f>
        <v>PFES1162675150_0001</v>
      </c>
      <c r="L3397" s="20">
        <v>1</v>
      </c>
      <c r="M3397" s="20">
        <v>1</v>
      </c>
    </row>
    <row r="3398" spans="1:13">
      <c r="A3398" s="6">
        <v>43521</v>
      </c>
      <c r="B3398" s="7">
        <v>0.65555555555555556</v>
      </c>
      <c r="C3398" s="20" t="str">
        <f>"FES1162675117"</f>
        <v>FES1162675117</v>
      </c>
      <c r="D3398" s="20" t="s">
        <v>18</v>
      </c>
      <c r="E3398" s="20" t="s">
        <v>279</v>
      </c>
      <c r="F3398" s="20" t="str">
        <f>"2170676083 "</f>
        <v xml:space="preserve">2170676083 </v>
      </c>
      <c r="G3398" s="20" t="str">
        <f t="shared" si="96"/>
        <v>ON1</v>
      </c>
      <c r="H3398" s="20" t="s">
        <v>20</v>
      </c>
      <c r="I3398" s="20" t="s">
        <v>280</v>
      </c>
      <c r="J3398" s="20" t="str">
        <f>""</f>
        <v/>
      </c>
      <c r="K3398" s="20" t="str">
        <f>"PFES1162675117_0001"</f>
        <v>PFES1162675117_0001</v>
      </c>
      <c r="L3398" s="20">
        <v>1</v>
      </c>
      <c r="M3398" s="20">
        <v>1</v>
      </c>
    </row>
    <row r="3399" spans="1:13">
      <c r="A3399" s="6">
        <v>43521</v>
      </c>
      <c r="B3399" s="7">
        <v>0.65555555555555556</v>
      </c>
      <c r="C3399" s="20" t="str">
        <f>"FES1162675126"</f>
        <v>FES1162675126</v>
      </c>
      <c r="D3399" s="20" t="s">
        <v>18</v>
      </c>
      <c r="E3399" s="20" t="s">
        <v>58</v>
      </c>
      <c r="F3399" s="20" t="str">
        <f>"2170676097 "</f>
        <v xml:space="preserve">2170676097 </v>
      </c>
      <c r="G3399" s="20" t="str">
        <f t="shared" si="96"/>
        <v>ON1</v>
      </c>
      <c r="H3399" s="20" t="s">
        <v>20</v>
      </c>
      <c r="I3399" s="20" t="s">
        <v>59</v>
      </c>
      <c r="J3399" s="20" t="str">
        <f>""</f>
        <v/>
      </c>
      <c r="K3399" s="20" t="str">
        <f>"PFES1162675126_0001"</f>
        <v>PFES1162675126_0001</v>
      </c>
      <c r="L3399" s="20">
        <v>1</v>
      </c>
      <c r="M3399" s="20">
        <v>1</v>
      </c>
    </row>
    <row r="3400" spans="1:13">
      <c r="A3400" s="6">
        <v>43521</v>
      </c>
      <c r="B3400" s="7">
        <v>0.65555555555555556</v>
      </c>
      <c r="C3400" s="20" t="str">
        <f>"FES1162675051"</f>
        <v>FES1162675051</v>
      </c>
      <c r="D3400" s="20" t="s">
        <v>18</v>
      </c>
      <c r="E3400" s="20" t="s">
        <v>1138</v>
      </c>
      <c r="F3400" s="20" t="str">
        <f>"2170679664 "</f>
        <v xml:space="preserve">2170679664 </v>
      </c>
      <c r="G3400" s="20" t="str">
        <f t="shared" si="96"/>
        <v>ON1</v>
      </c>
      <c r="H3400" s="20" t="s">
        <v>20</v>
      </c>
      <c r="I3400" s="20" t="s">
        <v>237</v>
      </c>
      <c r="J3400" s="20" t="str">
        <f>""</f>
        <v/>
      </c>
      <c r="K3400" s="20" t="str">
        <f>"PFES1162675051_0001"</f>
        <v>PFES1162675051_0001</v>
      </c>
      <c r="L3400" s="20">
        <v>1</v>
      </c>
      <c r="M3400" s="20">
        <v>1</v>
      </c>
    </row>
    <row r="3401" spans="1:13">
      <c r="A3401" s="6">
        <v>43521</v>
      </c>
      <c r="B3401" s="7">
        <v>0.65486111111111112</v>
      </c>
      <c r="C3401" s="20" t="str">
        <f>"FES1162675127"</f>
        <v>FES1162675127</v>
      </c>
      <c r="D3401" s="20" t="s">
        <v>18</v>
      </c>
      <c r="E3401" s="20" t="s">
        <v>1139</v>
      </c>
      <c r="F3401" s="20" t="str">
        <f>"2170676098 "</f>
        <v xml:space="preserve">2170676098 </v>
      </c>
      <c r="G3401" s="20" t="str">
        <f t="shared" si="96"/>
        <v>ON1</v>
      </c>
      <c r="H3401" s="20" t="s">
        <v>20</v>
      </c>
      <c r="I3401" s="20" t="s">
        <v>43</v>
      </c>
      <c r="J3401" s="20" t="str">
        <f>""</f>
        <v/>
      </c>
      <c r="K3401" s="20" t="str">
        <f>"PFES1162675127_0001"</f>
        <v>PFES1162675127_0001</v>
      </c>
      <c r="L3401" s="20">
        <v>1</v>
      </c>
      <c r="M3401" s="20">
        <v>1</v>
      </c>
    </row>
    <row r="3402" spans="1:13">
      <c r="A3402" s="6">
        <v>43521</v>
      </c>
      <c r="B3402" s="7">
        <v>0.65486111111111112</v>
      </c>
      <c r="C3402" s="20" t="str">
        <f>"FES1162675084"</f>
        <v>FES1162675084</v>
      </c>
      <c r="D3402" s="20" t="s">
        <v>18</v>
      </c>
      <c r="E3402" s="20" t="s">
        <v>581</v>
      </c>
      <c r="F3402" s="20" t="str">
        <f>"21706763697 "</f>
        <v xml:space="preserve">21706763697 </v>
      </c>
      <c r="G3402" s="20" t="str">
        <f t="shared" si="96"/>
        <v>ON1</v>
      </c>
      <c r="H3402" s="20" t="s">
        <v>20</v>
      </c>
      <c r="I3402" s="20" t="s">
        <v>504</v>
      </c>
      <c r="J3402" s="20" t="str">
        <f>""</f>
        <v/>
      </c>
      <c r="K3402" s="20" t="str">
        <f>"PFES1162675084_0001"</f>
        <v>PFES1162675084_0001</v>
      </c>
      <c r="L3402" s="20">
        <v>1</v>
      </c>
      <c r="M3402" s="20">
        <v>1</v>
      </c>
    </row>
    <row r="3403" spans="1:13">
      <c r="A3403" s="6">
        <v>43521</v>
      </c>
      <c r="B3403" s="7">
        <v>0.65486111111111112</v>
      </c>
      <c r="C3403" s="20" t="str">
        <f>"FES1162675056"</f>
        <v>FES1162675056</v>
      </c>
      <c r="D3403" s="20" t="s">
        <v>18</v>
      </c>
      <c r="E3403" s="20" t="s">
        <v>152</v>
      </c>
      <c r="F3403" s="20" t="str">
        <f>"2170576017 "</f>
        <v xml:space="preserve">2170576017 </v>
      </c>
      <c r="G3403" s="20" t="str">
        <f t="shared" si="96"/>
        <v>ON1</v>
      </c>
      <c r="H3403" s="20" t="s">
        <v>20</v>
      </c>
      <c r="I3403" s="20" t="s">
        <v>153</v>
      </c>
      <c r="J3403" s="20" t="str">
        <f>""</f>
        <v/>
      </c>
      <c r="K3403" s="20" t="str">
        <f>"PFES1162675056_0001"</f>
        <v>PFES1162675056_0001</v>
      </c>
      <c r="L3403" s="20">
        <v>1</v>
      </c>
      <c r="M3403" s="20">
        <v>1</v>
      </c>
    </row>
    <row r="3404" spans="1:13">
      <c r="A3404" s="6">
        <v>43521</v>
      </c>
      <c r="B3404" s="7">
        <v>0.65416666666666667</v>
      </c>
      <c r="C3404" s="20" t="str">
        <f>"FES1162675120"</f>
        <v>FES1162675120</v>
      </c>
      <c r="D3404" s="20" t="s">
        <v>18</v>
      </c>
      <c r="E3404" s="20" t="s">
        <v>1140</v>
      </c>
      <c r="F3404" s="20" t="str">
        <f>"2170676088 "</f>
        <v xml:space="preserve">2170676088 </v>
      </c>
      <c r="G3404" s="20" t="str">
        <f t="shared" si="96"/>
        <v>ON1</v>
      </c>
      <c r="H3404" s="20" t="s">
        <v>20</v>
      </c>
      <c r="I3404" s="20" t="s">
        <v>158</v>
      </c>
      <c r="J3404" s="20" t="str">
        <f>""</f>
        <v/>
      </c>
      <c r="K3404" s="20" t="str">
        <f>"PFES1162675120_0001"</f>
        <v>PFES1162675120_0001</v>
      </c>
      <c r="L3404" s="20">
        <v>1</v>
      </c>
      <c r="M3404" s="20">
        <v>1</v>
      </c>
    </row>
    <row r="3405" spans="1:13">
      <c r="A3405" s="6">
        <v>43521</v>
      </c>
      <c r="B3405" s="7">
        <v>0.65416666666666667</v>
      </c>
      <c r="C3405" s="20" t="str">
        <f>"FES1162675148"</f>
        <v>FES1162675148</v>
      </c>
      <c r="D3405" s="20" t="s">
        <v>18</v>
      </c>
      <c r="E3405" s="20" t="s">
        <v>140</v>
      </c>
      <c r="F3405" s="20" t="str">
        <f>"2170676122 "</f>
        <v xml:space="preserve">2170676122 </v>
      </c>
      <c r="G3405" s="20" t="str">
        <f t="shared" si="96"/>
        <v>ON1</v>
      </c>
      <c r="H3405" s="20" t="s">
        <v>20</v>
      </c>
      <c r="I3405" s="20" t="s">
        <v>141</v>
      </c>
      <c r="J3405" s="20" t="str">
        <f>""</f>
        <v/>
      </c>
      <c r="K3405" s="20" t="str">
        <f>"PFES1162675148_0001"</f>
        <v>PFES1162675148_0001</v>
      </c>
      <c r="L3405" s="20">
        <v>1</v>
      </c>
      <c r="M3405" s="20">
        <v>2</v>
      </c>
    </row>
    <row r="3406" spans="1:13">
      <c r="A3406" s="6">
        <v>43521</v>
      </c>
      <c r="B3406" s="7">
        <v>0.65347222222222223</v>
      </c>
      <c r="C3406" s="20" t="str">
        <f>"FES1162675125"</f>
        <v>FES1162675125</v>
      </c>
      <c r="D3406" s="20" t="s">
        <v>18</v>
      </c>
      <c r="E3406" s="20" t="s">
        <v>1141</v>
      </c>
      <c r="F3406" s="20" t="str">
        <f>"217067695 "</f>
        <v xml:space="preserve">217067695 </v>
      </c>
      <c r="G3406" s="20" t="str">
        <f t="shared" si="96"/>
        <v>ON1</v>
      </c>
      <c r="H3406" s="20" t="s">
        <v>20</v>
      </c>
      <c r="I3406" s="20" t="s">
        <v>137</v>
      </c>
      <c r="J3406" s="20" t="str">
        <f>""</f>
        <v/>
      </c>
      <c r="K3406" s="20" t="str">
        <f>"PFES1162675125_0001"</f>
        <v>PFES1162675125_0001</v>
      </c>
      <c r="L3406" s="20">
        <v>2</v>
      </c>
      <c r="M3406" s="20">
        <v>5</v>
      </c>
    </row>
    <row r="3407" spans="1:13">
      <c r="A3407" s="6">
        <v>43496</v>
      </c>
      <c r="B3407" s="7">
        <v>0.625</v>
      </c>
      <c r="C3407" s="20" t="str">
        <f>"FES1162675125"</f>
        <v>FES1162675125</v>
      </c>
      <c r="D3407" s="20" t="s">
        <v>18</v>
      </c>
      <c r="E3407" s="20" t="s">
        <v>415</v>
      </c>
      <c r="F3407" s="20" t="str">
        <f>"2170671974 "</f>
        <v xml:space="preserve">2170671974 </v>
      </c>
      <c r="G3407" s="20" t="str">
        <f t="shared" si="96"/>
        <v>ON1</v>
      </c>
      <c r="H3407" s="20" t="s">
        <v>20</v>
      </c>
      <c r="I3407" s="20" t="s">
        <v>416</v>
      </c>
      <c r="J3407" s="20" t="str">
        <f>""</f>
        <v/>
      </c>
      <c r="K3407" s="20" t="str">
        <f>"PFES1162675125_0002"</f>
        <v>PFES1162675125_0002</v>
      </c>
      <c r="L3407" s="20">
        <v>1</v>
      </c>
      <c r="M3407" s="20">
        <v>1</v>
      </c>
    </row>
    <row r="3408" spans="1:13">
      <c r="A3408" s="6">
        <v>43521</v>
      </c>
      <c r="B3408" s="7">
        <v>0.65277777777777779</v>
      </c>
      <c r="C3408" s="20" t="str">
        <f>"FES1162674955"</f>
        <v>FES1162674955</v>
      </c>
      <c r="D3408" s="20" t="s">
        <v>18</v>
      </c>
      <c r="E3408" s="20" t="s">
        <v>623</v>
      </c>
      <c r="F3408" s="20" t="str">
        <f>"2170676030 "</f>
        <v xml:space="preserve">2170676030 </v>
      </c>
      <c r="G3408" s="20" t="str">
        <f t="shared" si="96"/>
        <v>ON1</v>
      </c>
      <c r="H3408" s="20" t="s">
        <v>20</v>
      </c>
      <c r="I3408" s="20" t="s">
        <v>429</v>
      </c>
      <c r="J3408" s="20" t="str">
        <f>""</f>
        <v/>
      </c>
      <c r="K3408" s="20" t="str">
        <f>"PFES1162674955_0001"</f>
        <v>PFES1162674955_0001</v>
      </c>
      <c r="L3408" s="20">
        <v>1</v>
      </c>
      <c r="M3408" s="20">
        <v>7</v>
      </c>
    </row>
    <row r="3409" spans="1:13">
      <c r="A3409" s="6">
        <v>43521</v>
      </c>
      <c r="B3409" s="7">
        <v>0.65277777777777779</v>
      </c>
      <c r="C3409" s="20" t="str">
        <f>"FES1162675197"</f>
        <v>FES1162675197</v>
      </c>
      <c r="D3409" s="20" t="s">
        <v>18</v>
      </c>
      <c r="E3409" s="20" t="s">
        <v>132</v>
      </c>
      <c r="F3409" s="20" t="str">
        <f>"2170676161 "</f>
        <v xml:space="preserve">2170676161 </v>
      </c>
      <c r="G3409" s="20" t="str">
        <f>"DBC"</f>
        <v>DBC</v>
      </c>
      <c r="H3409" s="20" t="s">
        <v>20</v>
      </c>
      <c r="I3409" s="20" t="s">
        <v>133</v>
      </c>
      <c r="J3409" s="20" t="str">
        <f>"OIL"</f>
        <v>OIL</v>
      </c>
      <c r="K3409" s="20" t="str">
        <f>"PFES1162675197_0001"</f>
        <v>PFES1162675197_0001</v>
      </c>
      <c r="L3409" s="20">
        <v>1</v>
      </c>
      <c r="M3409" s="20">
        <v>3</v>
      </c>
    </row>
    <row r="3410" spans="1:13">
      <c r="A3410" s="6">
        <v>43521</v>
      </c>
      <c r="B3410" s="7">
        <v>0.65208333333333335</v>
      </c>
      <c r="C3410" s="20" t="str">
        <f>"FES1162674871"</f>
        <v>FES1162674871</v>
      </c>
      <c r="D3410" s="20" t="s">
        <v>18</v>
      </c>
      <c r="E3410" s="20" t="s">
        <v>328</v>
      </c>
      <c r="F3410" s="20" t="str">
        <f>"2170674526 "</f>
        <v xml:space="preserve">2170674526 </v>
      </c>
      <c r="G3410" s="20" t="str">
        <f t="shared" ref="G3410:G3447" si="97">"ON1"</f>
        <v>ON1</v>
      </c>
      <c r="H3410" s="20" t="s">
        <v>20</v>
      </c>
      <c r="I3410" s="20" t="s">
        <v>29</v>
      </c>
      <c r="J3410" s="20" t="str">
        <f>""</f>
        <v/>
      </c>
      <c r="K3410" s="20" t="str">
        <f>"PFES1162674871_0001"</f>
        <v>PFES1162674871_0001</v>
      </c>
      <c r="L3410" s="20">
        <v>1</v>
      </c>
      <c r="M3410" s="20">
        <v>7</v>
      </c>
    </row>
    <row r="3411" spans="1:13">
      <c r="A3411" s="6">
        <v>43521</v>
      </c>
      <c r="B3411" s="7">
        <v>0.65208333333333335</v>
      </c>
      <c r="C3411" s="20" t="str">
        <f>"FES1162675094"</f>
        <v>FES1162675094</v>
      </c>
      <c r="D3411" s="20" t="s">
        <v>18</v>
      </c>
      <c r="E3411" s="20" t="s">
        <v>887</v>
      </c>
      <c r="F3411" s="20" t="str">
        <f>"2170676057 "</f>
        <v xml:space="preserve">2170676057 </v>
      </c>
      <c r="G3411" s="20" t="str">
        <f t="shared" si="97"/>
        <v>ON1</v>
      </c>
      <c r="H3411" s="20" t="s">
        <v>20</v>
      </c>
      <c r="I3411" s="20" t="s">
        <v>586</v>
      </c>
      <c r="J3411" s="20" t="str">
        <f>""</f>
        <v/>
      </c>
      <c r="K3411" s="20" t="str">
        <f>"PFES1162675094_0001"</f>
        <v>PFES1162675094_0001</v>
      </c>
      <c r="L3411" s="20">
        <v>1</v>
      </c>
      <c r="M3411" s="20">
        <v>2</v>
      </c>
    </row>
    <row r="3412" spans="1:13">
      <c r="A3412" s="6">
        <v>43521</v>
      </c>
      <c r="B3412" s="7">
        <v>0.65208333333333335</v>
      </c>
      <c r="C3412" s="20" t="str">
        <f>"FES1162675064"</f>
        <v>FES1162675064</v>
      </c>
      <c r="D3412" s="20" t="s">
        <v>18</v>
      </c>
      <c r="E3412" s="20" t="s">
        <v>585</v>
      </c>
      <c r="F3412" s="20" t="str">
        <f>"2170676045 "</f>
        <v xml:space="preserve">2170676045 </v>
      </c>
      <c r="G3412" s="20" t="str">
        <f t="shared" si="97"/>
        <v>ON1</v>
      </c>
      <c r="H3412" s="20" t="s">
        <v>20</v>
      </c>
      <c r="I3412" s="20" t="s">
        <v>586</v>
      </c>
      <c r="J3412" s="20" t="str">
        <f>""</f>
        <v/>
      </c>
      <c r="K3412" s="20" t="str">
        <f>"PFES1162675064_0001"</f>
        <v>PFES1162675064_0001</v>
      </c>
      <c r="L3412" s="20">
        <v>1</v>
      </c>
      <c r="M3412" s="20">
        <v>2</v>
      </c>
    </row>
    <row r="3413" spans="1:13">
      <c r="A3413" s="6">
        <v>43521</v>
      </c>
      <c r="B3413" s="7">
        <v>0.65138888888888891</v>
      </c>
      <c r="C3413" s="20" t="str">
        <f>"FES1162675173"</f>
        <v>FES1162675173</v>
      </c>
      <c r="D3413" s="20" t="s">
        <v>18</v>
      </c>
      <c r="E3413" s="20" t="s">
        <v>146</v>
      </c>
      <c r="F3413" s="20" t="str">
        <f>"2170676150 "</f>
        <v xml:space="preserve">2170676150 </v>
      </c>
      <c r="G3413" s="20" t="str">
        <f t="shared" si="97"/>
        <v>ON1</v>
      </c>
      <c r="H3413" s="20" t="s">
        <v>20</v>
      </c>
      <c r="I3413" s="20" t="s">
        <v>147</v>
      </c>
      <c r="J3413" s="20" t="str">
        <f>""</f>
        <v/>
      </c>
      <c r="K3413" s="20" t="str">
        <f>"PFES1162675173_0001"</f>
        <v>PFES1162675173_0001</v>
      </c>
      <c r="L3413" s="20">
        <v>1</v>
      </c>
      <c r="M3413" s="20">
        <v>2</v>
      </c>
    </row>
    <row r="3414" spans="1:13">
      <c r="A3414" s="6">
        <v>43521</v>
      </c>
      <c r="B3414" s="7">
        <v>0.65138888888888891</v>
      </c>
      <c r="C3414" s="20" t="str">
        <f>"FES1162675164"</f>
        <v>FES1162675164</v>
      </c>
      <c r="D3414" s="20" t="s">
        <v>18</v>
      </c>
      <c r="E3414" s="20" t="s">
        <v>887</v>
      </c>
      <c r="F3414" s="20" t="str">
        <f>"2170676134 "</f>
        <v xml:space="preserve">2170676134 </v>
      </c>
      <c r="G3414" s="20" t="str">
        <f t="shared" si="97"/>
        <v>ON1</v>
      </c>
      <c r="H3414" s="20" t="s">
        <v>20</v>
      </c>
      <c r="I3414" s="20" t="s">
        <v>586</v>
      </c>
      <c r="J3414" s="20" t="str">
        <f>""</f>
        <v/>
      </c>
      <c r="K3414" s="20" t="str">
        <f>"PFES1162675164_0001"</f>
        <v>PFES1162675164_0001</v>
      </c>
      <c r="L3414" s="20">
        <v>1</v>
      </c>
      <c r="M3414" s="20">
        <v>16</v>
      </c>
    </row>
    <row r="3415" spans="1:13">
      <c r="A3415" s="6">
        <v>43521</v>
      </c>
      <c r="B3415" s="7">
        <v>0.65069444444444446</v>
      </c>
      <c r="C3415" s="20" t="str">
        <f>"FES1162675102"</f>
        <v>FES1162675102</v>
      </c>
      <c r="D3415" s="20" t="s">
        <v>18</v>
      </c>
      <c r="E3415" s="20" t="s">
        <v>80</v>
      </c>
      <c r="F3415" s="20" t="str">
        <f>"2170670581 "</f>
        <v xml:space="preserve">2170670581 </v>
      </c>
      <c r="G3415" s="20" t="str">
        <f t="shared" si="97"/>
        <v>ON1</v>
      </c>
      <c r="H3415" s="20" t="s">
        <v>20</v>
      </c>
      <c r="I3415" s="20" t="s">
        <v>81</v>
      </c>
      <c r="J3415" s="20" t="str">
        <f>""</f>
        <v/>
      </c>
      <c r="K3415" s="20" t="str">
        <f>"PFES1162675102_0001"</f>
        <v>PFES1162675102_0001</v>
      </c>
      <c r="L3415" s="20">
        <v>1</v>
      </c>
      <c r="M3415" s="20">
        <v>2</v>
      </c>
    </row>
    <row r="3416" spans="1:13">
      <c r="A3416" s="6">
        <v>43521</v>
      </c>
      <c r="B3416" s="7">
        <v>0.65069444444444446</v>
      </c>
      <c r="C3416" s="20" t="str">
        <f>"FES1162675161"</f>
        <v>FES1162675161</v>
      </c>
      <c r="D3416" s="20" t="s">
        <v>18</v>
      </c>
      <c r="E3416" s="20" t="s">
        <v>80</v>
      </c>
      <c r="F3416" s="20" t="str">
        <f>"2170676131 "</f>
        <v xml:space="preserve">2170676131 </v>
      </c>
      <c r="G3416" s="20" t="str">
        <f t="shared" si="97"/>
        <v>ON1</v>
      </c>
      <c r="H3416" s="20" t="s">
        <v>20</v>
      </c>
      <c r="I3416" s="20" t="s">
        <v>81</v>
      </c>
      <c r="J3416" s="20" t="str">
        <f>""</f>
        <v/>
      </c>
      <c r="K3416" s="20" t="str">
        <f>"PFES1162675161_0001"</f>
        <v>PFES1162675161_0001</v>
      </c>
      <c r="L3416" s="20">
        <v>1</v>
      </c>
      <c r="M3416" s="20">
        <v>2</v>
      </c>
    </row>
    <row r="3417" spans="1:13">
      <c r="A3417" s="6">
        <v>43521</v>
      </c>
      <c r="B3417" s="7">
        <v>0.64722222222222225</v>
      </c>
      <c r="C3417" s="20" t="str">
        <f>"FES1162674833"</f>
        <v>FES1162674833</v>
      </c>
      <c r="D3417" s="20" t="s">
        <v>18</v>
      </c>
      <c r="E3417" s="20" t="s">
        <v>560</v>
      </c>
      <c r="F3417" s="20" t="str">
        <f>"2170668709 "</f>
        <v xml:space="preserve">2170668709 </v>
      </c>
      <c r="G3417" s="20" t="str">
        <f t="shared" si="97"/>
        <v>ON1</v>
      </c>
      <c r="H3417" s="20" t="s">
        <v>20</v>
      </c>
      <c r="I3417" s="20" t="s">
        <v>561</v>
      </c>
      <c r="J3417" s="20" t="str">
        <f>""</f>
        <v/>
      </c>
      <c r="K3417" s="20" t="str">
        <f>"PFES1162674833_0001"</f>
        <v>PFES1162674833_0001</v>
      </c>
      <c r="L3417" s="20">
        <v>1</v>
      </c>
      <c r="M3417" s="20">
        <v>3</v>
      </c>
    </row>
    <row r="3418" spans="1:13">
      <c r="A3418" s="6">
        <v>43521</v>
      </c>
      <c r="B3418" s="7">
        <v>0.64236111111111105</v>
      </c>
      <c r="C3418" s="20" t="str">
        <f>"FES1162674876"</f>
        <v>FES1162674876</v>
      </c>
      <c r="D3418" s="20" t="s">
        <v>18</v>
      </c>
      <c r="E3418" s="20" t="s">
        <v>556</v>
      </c>
      <c r="F3418" s="20" t="str">
        <f>"2170674727 "</f>
        <v xml:space="preserve">2170674727 </v>
      </c>
      <c r="G3418" s="20" t="str">
        <f t="shared" si="97"/>
        <v>ON1</v>
      </c>
      <c r="H3418" s="20" t="s">
        <v>20</v>
      </c>
      <c r="I3418" s="20" t="s">
        <v>435</v>
      </c>
      <c r="J3418" s="20" t="str">
        <f>""</f>
        <v/>
      </c>
      <c r="K3418" s="20" t="str">
        <f>"PFES1162674876_0001"</f>
        <v>PFES1162674876_0001</v>
      </c>
      <c r="L3418" s="20">
        <v>1</v>
      </c>
      <c r="M3418" s="20">
        <v>4</v>
      </c>
    </row>
    <row r="3419" spans="1:13">
      <c r="A3419" s="6">
        <v>43521</v>
      </c>
      <c r="B3419" s="7">
        <v>0.64166666666666672</v>
      </c>
      <c r="C3419" s="20" t="str">
        <f>"FES1162674983"</f>
        <v>FES1162674983</v>
      </c>
      <c r="D3419" s="20" t="s">
        <v>18</v>
      </c>
      <c r="E3419" s="20" t="s">
        <v>885</v>
      </c>
      <c r="F3419" s="20" t="str">
        <f>"2170673549 "</f>
        <v xml:space="preserve">2170673549 </v>
      </c>
      <c r="G3419" s="20" t="str">
        <f t="shared" si="97"/>
        <v>ON1</v>
      </c>
      <c r="H3419" s="20" t="s">
        <v>20</v>
      </c>
      <c r="I3419" s="20" t="s">
        <v>886</v>
      </c>
      <c r="J3419" s="20" t="str">
        <f>""</f>
        <v/>
      </c>
      <c r="K3419" s="20" t="str">
        <f>"PFES1162674983_0001"</f>
        <v>PFES1162674983_0001</v>
      </c>
      <c r="L3419" s="20">
        <v>1</v>
      </c>
      <c r="M3419" s="20">
        <v>4</v>
      </c>
    </row>
    <row r="3420" spans="1:13">
      <c r="A3420" s="6">
        <v>43521</v>
      </c>
      <c r="B3420" s="7">
        <v>0.64166666666666672</v>
      </c>
      <c r="C3420" s="20" t="str">
        <f>"FES1162675028"</f>
        <v>FES1162675028</v>
      </c>
      <c r="D3420" s="20" t="s">
        <v>18</v>
      </c>
      <c r="E3420" s="20" t="s">
        <v>339</v>
      </c>
      <c r="F3420" s="20" t="str">
        <f>"2170676006 "</f>
        <v xml:space="preserve">2170676006 </v>
      </c>
      <c r="G3420" s="20" t="str">
        <f t="shared" si="97"/>
        <v>ON1</v>
      </c>
      <c r="H3420" s="20" t="s">
        <v>20</v>
      </c>
      <c r="I3420" s="20" t="s">
        <v>37</v>
      </c>
      <c r="J3420" s="20" t="str">
        <f>""</f>
        <v/>
      </c>
      <c r="K3420" s="20" t="str">
        <f>"PFES1162675028_0001"</f>
        <v>PFES1162675028_0001</v>
      </c>
      <c r="L3420" s="20">
        <v>1</v>
      </c>
      <c r="M3420" s="20">
        <v>4</v>
      </c>
    </row>
    <row r="3421" spans="1:13">
      <c r="A3421" s="6">
        <v>43521</v>
      </c>
      <c r="B3421" s="7">
        <v>0.64027777777777783</v>
      </c>
      <c r="C3421" s="20" t="str">
        <f>"FES1162674916"</f>
        <v>FES1162674916</v>
      </c>
      <c r="D3421" s="20" t="s">
        <v>18</v>
      </c>
      <c r="E3421" s="20" t="s">
        <v>287</v>
      </c>
      <c r="F3421" s="20" t="str">
        <f>"2170675964 "</f>
        <v xml:space="preserve">2170675964 </v>
      </c>
      <c r="G3421" s="20" t="str">
        <f t="shared" si="97"/>
        <v>ON1</v>
      </c>
      <c r="H3421" s="20" t="s">
        <v>20</v>
      </c>
      <c r="I3421" s="20" t="s">
        <v>288</v>
      </c>
      <c r="J3421" s="20" t="str">
        <f>""</f>
        <v/>
      </c>
      <c r="K3421" s="20" t="str">
        <f>"PFES1162674916_0001"</f>
        <v>PFES1162674916_0001</v>
      </c>
      <c r="L3421" s="20">
        <v>1</v>
      </c>
      <c r="M3421" s="20">
        <v>2</v>
      </c>
    </row>
    <row r="3422" spans="1:13">
      <c r="A3422" s="6">
        <v>43521</v>
      </c>
      <c r="B3422" s="7">
        <v>0.63958333333333328</v>
      </c>
      <c r="C3422" s="20" t="str">
        <f>"FES1162675043"</f>
        <v>FES1162675043</v>
      </c>
      <c r="D3422" s="20" t="s">
        <v>18</v>
      </c>
      <c r="E3422" s="20" t="s">
        <v>482</v>
      </c>
      <c r="F3422" s="20" t="str">
        <f>"2176975697 "</f>
        <v xml:space="preserve">2176975697 </v>
      </c>
      <c r="G3422" s="20" t="str">
        <f t="shared" si="97"/>
        <v>ON1</v>
      </c>
      <c r="H3422" s="20" t="s">
        <v>20</v>
      </c>
      <c r="I3422" s="20" t="s">
        <v>272</v>
      </c>
      <c r="J3422" s="20" t="str">
        <f>""</f>
        <v/>
      </c>
      <c r="K3422" s="20" t="str">
        <f>"PFES1162675043_0001"</f>
        <v>PFES1162675043_0001</v>
      </c>
      <c r="L3422" s="20">
        <v>1</v>
      </c>
      <c r="M3422" s="20">
        <v>1</v>
      </c>
    </row>
    <row r="3423" spans="1:13">
      <c r="A3423" s="6">
        <v>43521</v>
      </c>
      <c r="B3423" s="7">
        <v>0.63958333333333328</v>
      </c>
      <c r="C3423" s="20" t="str">
        <f>"FES1162675123"</f>
        <v>FES1162675123</v>
      </c>
      <c r="D3423" s="20" t="s">
        <v>18</v>
      </c>
      <c r="E3423" s="20" t="s">
        <v>138</v>
      </c>
      <c r="F3423" s="20" t="str">
        <f>"2170676092 "</f>
        <v xml:space="preserve">2170676092 </v>
      </c>
      <c r="G3423" s="20" t="str">
        <f t="shared" si="97"/>
        <v>ON1</v>
      </c>
      <c r="H3423" s="20" t="s">
        <v>20</v>
      </c>
      <c r="I3423" s="20" t="s">
        <v>139</v>
      </c>
      <c r="J3423" s="20" t="str">
        <f>""</f>
        <v/>
      </c>
      <c r="K3423" s="20" t="str">
        <f>"PFES1162675123_0001"</f>
        <v>PFES1162675123_0001</v>
      </c>
      <c r="L3423" s="20">
        <v>1</v>
      </c>
      <c r="M3423" s="20">
        <v>9</v>
      </c>
    </row>
    <row r="3424" spans="1:13">
      <c r="A3424" s="6">
        <v>43521</v>
      </c>
      <c r="B3424" s="7">
        <v>0.63958333333333328</v>
      </c>
      <c r="C3424" s="20" t="str">
        <f>"FES1162674996"</f>
        <v>FES1162674996</v>
      </c>
      <c r="D3424" s="20" t="s">
        <v>18</v>
      </c>
      <c r="E3424" s="20" t="s">
        <v>19</v>
      </c>
      <c r="F3424" s="20" t="str">
        <f>"2170673837 "</f>
        <v xml:space="preserve">2170673837 </v>
      </c>
      <c r="G3424" s="20" t="str">
        <f t="shared" si="97"/>
        <v>ON1</v>
      </c>
      <c r="H3424" s="20" t="s">
        <v>20</v>
      </c>
      <c r="I3424" s="20" t="s">
        <v>21</v>
      </c>
      <c r="J3424" s="20" t="str">
        <f>""</f>
        <v/>
      </c>
      <c r="K3424" s="20" t="str">
        <f>"PFES1162674996_0001"</f>
        <v>PFES1162674996_0001</v>
      </c>
      <c r="L3424" s="20">
        <v>1</v>
      </c>
      <c r="M3424" s="20">
        <v>1</v>
      </c>
    </row>
    <row r="3425" spans="1:13">
      <c r="A3425" s="6">
        <v>43521</v>
      </c>
      <c r="B3425" s="7">
        <v>0.63958333333333328</v>
      </c>
      <c r="C3425" s="20" t="str">
        <f>"FES1162674968"</f>
        <v>FES1162674968</v>
      </c>
      <c r="D3425" s="20" t="s">
        <v>18</v>
      </c>
      <c r="E3425" s="20" t="s">
        <v>710</v>
      </c>
      <c r="F3425" s="20" t="str">
        <f>"2170674035 "</f>
        <v xml:space="preserve">2170674035 </v>
      </c>
      <c r="G3425" s="20" t="str">
        <f t="shared" si="97"/>
        <v>ON1</v>
      </c>
      <c r="H3425" s="20" t="s">
        <v>20</v>
      </c>
      <c r="I3425" s="20" t="s">
        <v>378</v>
      </c>
      <c r="J3425" s="20" t="str">
        <f>""</f>
        <v/>
      </c>
      <c r="K3425" s="20" t="str">
        <f>"PFES1162674968_0001"</f>
        <v>PFES1162674968_0001</v>
      </c>
      <c r="L3425" s="20">
        <v>1</v>
      </c>
      <c r="M3425" s="20">
        <v>1</v>
      </c>
    </row>
    <row r="3426" spans="1:13">
      <c r="A3426" s="6">
        <v>43521</v>
      </c>
      <c r="B3426" s="7">
        <v>0.63888888888888895</v>
      </c>
      <c r="C3426" s="20" t="str">
        <f>"FES1162674930"</f>
        <v>FES1162674930</v>
      </c>
      <c r="D3426" s="20" t="s">
        <v>18</v>
      </c>
      <c r="E3426" s="20" t="s">
        <v>1142</v>
      </c>
      <c r="F3426" s="20" t="str">
        <f>"2170675980 "</f>
        <v xml:space="preserve">2170675980 </v>
      </c>
      <c r="G3426" s="20" t="str">
        <f t="shared" si="97"/>
        <v>ON1</v>
      </c>
      <c r="H3426" s="20" t="s">
        <v>20</v>
      </c>
      <c r="I3426" s="20" t="s">
        <v>1143</v>
      </c>
      <c r="J3426" s="20" t="str">
        <f>""</f>
        <v/>
      </c>
      <c r="K3426" s="20" t="str">
        <f>"PFES1162674930_0001"</f>
        <v>PFES1162674930_0001</v>
      </c>
      <c r="L3426" s="20">
        <v>1</v>
      </c>
      <c r="M3426" s="20">
        <v>2</v>
      </c>
    </row>
    <row r="3427" spans="1:13">
      <c r="A3427" s="6">
        <v>43521</v>
      </c>
      <c r="B3427" s="7">
        <v>0.63888888888888895</v>
      </c>
      <c r="C3427" s="20" t="str">
        <f>"FES1162674972"</f>
        <v>FES1162674972</v>
      </c>
      <c r="D3427" s="20" t="s">
        <v>18</v>
      </c>
      <c r="E3427" s="20" t="s">
        <v>1081</v>
      </c>
      <c r="F3427" s="20" t="str">
        <f>"217069737477 "</f>
        <v xml:space="preserve">217069737477 </v>
      </c>
      <c r="G3427" s="20" t="str">
        <f t="shared" si="97"/>
        <v>ON1</v>
      </c>
      <c r="H3427" s="20" t="s">
        <v>20</v>
      </c>
      <c r="I3427" s="20" t="s">
        <v>50</v>
      </c>
      <c r="J3427" s="20" t="str">
        <f>""</f>
        <v/>
      </c>
      <c r="K3427" s="20" t="str">
        <f>"PFES1162674972_0001"</f>
        <v>PFES1162674972_0001</v>
      </c>
      <c r="L3427" s="20">
        <v>1</v>
      </c>
      <c r="M3427" s="20">
        <v>1</v>
      </c>
    </row>
    <row r="3428" spans="1:13">
      <c r="A3428" s="6">
        <v>43521</v>
      </c>
      <c r="B3428" s="7">
        <v>0.6381944444444444</v>
      </c>
      <c r="C3428" s="20" t="str">
        <f>"FES1162674967"</f>
        <v>FES1162674967</v>
      </c>
      <c r="D3428" s="20" t="s">
        <v>18</v>
      </c>
      <c r="E3428" s="20" t="s">
        <v>629</v>
      </c>
      <c r="F3428" s="20" t="str">
        <f>"2170673404 "</f>
        <v xml:space="preserve">2170673404 </v>
      </c>
      <c r="G3428" s="20" t="str">
        <f t="shared" si="97"/>
        <v>ON1</v>
      </c>
      <c r="H3428" s="20" t="s">
        <v>20</v>
      </c>
      <c r="I3428" s="20" t="s">
        <v>420</v>
      </c>
      <c r="J3428" s="20" t="str">
        <f>""</f>
        <v/>
      </c>
      <c r="K3428" s="20" t="str">
        <f>"PFES1162674967_0001"</f>
        <v>PFES1162674967_0001</v>
      </c>
      <c r="L3428" s="20">
        <v>1</v>
      </c>
      <c r="M3428" s="20">
        <v>1</v>
      </c>
    </row>
    <row r="3429" spans="1:13">
      <c r="A3429" s="6">
        <v>43521</v>
      </c>
      <c r="B3429" s="7">
        <v>0.6381944444444444</v>
      </c>
      <c r="C3429" s="20" t="str">
        <f>"FES1162674987"</f>
        <v>FES1162674987</v>
      </c>
      <c r="D3429" s="20" t="s">
        <v>18</v>
      </c>
      <c r="E3429" s="20" t="s">
        <v>709</v>
      </c>
      <c r="F3429" s="20" t="str">
        <f>"2170673611 "</f>
        <v xml:space="preserve">2170673611 </v>
      </c>
      <c r="G3429" s="20" t="str">
        <f t="shared" si="97"/>
        <v>ON1</v>
      </c>
      <c r="H3429" s="20" t="s">
        <v>20</v>
      </c>
      <c r="I3429" s="20" t="s">
        <v>43</v>
      </c>
      <c r="J3429" s="20" t="str">
        <f>""</f>
        <v/>
      </c>
      <c r="K3429" s="20" t="str">
        <f>"PFES1162674987_0001"</f>
        <v>PFES1162674987_0001</v>
      </c>
      <c r="L3429" s="20">
        <v>1</v>
      </c>
      <c r="M3429" s="20">
        <v>4</v>
      </c>
    </row>
    <row r="3430" spans="1:13">
      <c r="A3430" s="6">
        <v>43521</v>
      </c>
      <c r="B3430" s="7">
        <v>0.6381944444444444</v>
      </c>
      <c r="C3430" s="20" t="str">
        <f>"FES1162674958"</f>
        <v>FES1162674958</v>
      </c>
      <c r="D3430" s="20" t="s">
        <v>18</v>
      </c>
      <c r="E3430" s="20" t="s">
        <v>328</v>
      </c>
      <c r="F3430" s="20" t="str">
        <f>"2170673280 "</f>
        <v xml:space="preserve">2170673280 </v>
      </c>
      <c r="G3430" s="20" t="str">
        <f t="shared" si="97"/>
        <v>ON1</v>
      </c>
      <c r="H3430" s="20" t="s">
        <v>20</v>
      </c>
      <c r="I3430" s="20" t="s">
        <v>29</v>
      </c>
      <c r="J3430" s="20" t="str">
        <f>""</f>
        <v/>
      </c>
      <c r="K3430" s="20" t="str">
        <f>"PFES1162674958_0001"</f>
        <v>PFES1162674958_0001</v>
      </c>
      <c r="L3430" s="20">
        <v>1</v>
      </c>
      <c r="M3430" s="20">
        <v>1</v>
      </c>
    </row>
    <row r="3431" spans="1:13">
      <c r="A3431" s="6">
        <v>43521</v>
      </c>
      <c r="B3431" s="7">
        <v>0.6381944444444444</v>
      </c>
      <c r="C3431" s="20" t="str">
        <f>"FES1162674905"</f>
        <v>FES1162674905</v>
      </c>
      <c r="D3431" s="20" t="s">
        <v>18</v>
      </c>
      <c r="E3431" s="20" t="s">
        <v>1144</v>
      </c>
      <c r="F3431" s="20" t="str">
        <f>"2170661883 "</f>
        <v xml:space="preserve">2170661883 </v>
      </c>
      <c r="G3431" s="20" t="str">
        <f t="shared" si="97"/>
        <v>ON1</v>
      </c>
      <c r="H3431" s="20" t="s">
        <v>20</v>
      </c>
      <c r="I3431" s="20" t="s">
        <v>117</v>
      </c>
      <c r="J3431" s="20" t="str">
        <f>""</f>
        <v/>
      </c>
      <c r="K3431" s="20" t="str">
        <f>"PFES1162674905_0001"</f>
        <v>PFES1162674905_0001</v>
      </c>
      <c r="L3431" s="20">
        <v>1</v>
      </c>
      <c r="M3431" s="20">
        <v>1</v>
      </c>
    </row>
    <row r="3432" spans="1:13">
      <c r="A3432" s="6">
        <v>43521</v>
      </c>
      <c r="B3432" s="7">
        <v>0.63750000000000007</v>
      </c>
      <c r="C3432" s="20" t="str">
        <f>"FES1162674948"</f>
        <v>FES1162674948</v>
      </c>
      <c r="D3432" s="20" t="s">
        <v>18</v>
      </c>
      <c r="E3432" s="20" t="s">
        <v>19</v>
      </c>
      <c r="F3432" s="20" t="str">
        <f>"2170672435 "</f>
        <v xml:space="preserve">2170672435 </v>
      </c>
      <c r="G3432" s="20" t="str">
        <f t="shared" si="97"/>
        <v>ON1</v>
      </c>
      <c r="H3432" s="20" t="s">
        <v>20</v>
      </c>
      <c r="I3432" s="20" t="s">
        <v>21</v>
      </c>
      <c r="J3432" s="20" t="str">
        <f>""</f>
        <v/>
      </c>
      <c r="K3432" s="20" t="str">
        <f>"PFES1162674948_0001"</f>
        <v>PFES1162674948_0001</v>
      </c>
      <c r="L3432" s="20">
        <v>1</v>
      </c>
      <c r="M3432" s="20">
        <v>18</v>
      </c>
    </row>
    <row r="3433" spans="1:13">
      <c r="A3433" s="6">
        <v>43521</v>
      </c>
      <c r="B3433" s="7">
        <v>0.63680555555555551</v>
      </c>
      <c r="C3433" s="20" t="str">
        <f>"FES1162674889"</f>
        <v>FES1162674889</v>
      </c>
      <c r="D3433" s="20" t="s">
        <v>18</v>
      </c>
      <c r="E3433" s="20" t="s">
        <v>683</v>
      </c>
      <c r="F3433" s="20" t="str">
        <f>"2170675935 "</f>
        <v xml:space="preserve">2170675935 </v>
      </c>
      <c r="G3433" s="20" t="str">
        <f t="shared" si="97"/>
        <v>ON1</v>
      </c>
      <c r="H3433" s="20" t="s">
        <v>20</v>
      </c>
      <c r="I3433" s="20" t="s">
        <v>684</v>
      </c>
      <c r="J3433" s="20" t="str">
        <f>""</f>
        <v/>
      </c>
      <c r="K3433" s="20" t="str">
        <f>"PFES1162674889_0001"</f>
        <v>PFES1162674889_0001</v>
      </c>
      <c r="L3433" s="20">
        <v>1</v>
      </c>
      <c r="M3433" s="20">
        <v>1</v>
      </c>
    </row>
    <row r="3434" spans="1:13">
      <c r="A3434" s="6">
        <v>43521</v>
      </c>
      <c r="B3434" s="7">
        <v>0.63680555555555551</v>
      </c>
      <c r="C3434" s="20" t="str">
        <f>"FES1162674934"</f>
        <v>FES1162674934</v>
      </c>
      <c r="D3434" s="20" t="s">
        <v>18</v>
      </c>
      <c r="E3434" s="20" t="s">
        <v>534</v>
      </c>
      <c r="F3434" s="20" t="str">
        <f>"2170675990 "</f>
        <v xml:space="preserve">2170675990 </v>
      </c>
      <c r="G3434" s="20" t="str">
        <f t="shared" si="97"/>
        <v>ON1</v>
      </c>
      <c r="H3434" s="20" t="s">
        <v>20</v>
      </c>
      <c r="I3434" s="20" t="s">
        <v>535</v>
      </c>
      <c r="J3434" s="20" t="str">
        <f>""</f>
        <v/>
      </c>
      <c r="K3434" s="20" t="str">
        <f>"PFES1162674934_0001"</f>
        <v>PFES1162674934_0001</v>
      </c>
      <c r="L3434" s="20">
        <v>1</v>
      </c>
      <c r="M3434" s="20">
        <v>1</v>
      </c>
    </row>
    <row r="3435" spans="1:13">
      <c r="A3435" s="6">
        <v>43521</v>
      </c>
      <c r="B3435" s="7">
        <v>0.63680555555555551</v>
      </c>
      <c r="C3435" s="20" t="str">
        <f>"FES1162675034"</f>
        <v>FES1162675034</v>
      </c>
      <c r="D3435" s="20" t="s">
        <v>18</v>
      </c>
      <c r="E3435" s="20" t="s">
        <v>92</v>
      </c>
      <c r="F3435" s="20" t="str">
        <f>"2170676015 "</f>
        <v xml:space="preserve">2170676015 </v>
      </c>
      <c r="G3435" s="20" t="str">
        <f t="shared" si="97"/>
        <v>ON1</v>
      </c>
      <c r="H3435" s="20" t="s">
        <v>20</v>
      </c>
      <c r="I3435" s="20" t="s">
        <v>93</v>
      </c>
      <c r="J3435" s="20" t="str">
        <f>""</f>
        <v/>
      </c>
      <c r="K3435" s="20" t="str">
        <f>"PFES1162675034_0001"</f>
        <v>PFES1162675034_0001</v>
      </c>
      <c r="L3435" s="20">
        <v>1</v>
      </c>
      <c r="M3435" s="20">
        <v>1</v>
      </c>
    </row>
    <row r="3436" spans="1:13">
      <c r="A3436" s="6">
        <v>43521</v>
      </c>
      <c r="B3436" s="7">
        <v>0.63611111111111118</v>
      </c>
      <c r="C3436" s="20" t="str">
        <f>"FES1162675167"</f>
        <v>FES1162675167</v>
      </c>
      <c r="D3436" s="20" t="s">
        <v>18</v>
      </c>
      <c r="E3436" s="20" t="s">
        <v>162</v>
      </c>
      <c r="F3436" s="20" t="str">
        <f>"2170676137 "</f>
        <v xml:space="preserve">2170676137 </v>
      </c>
      <c r="G3436" s="20" t="str">
        <f t="shared" si="97"/>
        <v>ON1</v>
      </c>
      <c r="H3436" s="20" t="s">
        <v>20</v>
      </c>
      <c r="I3436" s="20" t="s">
        <v>163</v>
      </c>
      <c r="J3436" s="20" t="str">
        <f>""</f>
        <v/>
      </c>
      <c r="K3436" s="20" t="str">
        <f>"PFES1162675167_0001"</f>
        <v>PFES1162675167_0001</v>
      </c>
      <c r="L3436" s="20">
        <v>1</v>
      </c>
      <c r="M3436" s="20">
        <v>1</v>
      </c>
    </row>
    <row r="3437" spans="1:13">
      <c r="A3437" s="6">
        <v>43521</v>
      </c>
      <c r="B3437" s="7">
        <v>0.63611111111111118</v>
      </c>
      <c r="C3437" s="20" t="str">
        <f>"FES1162674989"</f>
        <v>FES1162674989</v>
      </c>
      <c r="D3437" s="20" t="s">
        <v>18</v>
      </c>
      <c r="E3437" s="20" t="s">
        <v>185</v>
      </c>
      <c r="F3437" s="20" t="str">
        <f>"2170673640 "</f>
        <v xml:space="preserve">2170673640 </v>
      </c>
      <c r="G3437" s="20" t="str">
        <f t="shared" si="97"/>
        <v>ON1</v>
      </c>
      <c r="H3437" s="20" t="s">
        <v>20</v>
      </c>
      <c r="I3437" s="20" t="s">
        <v>93</v>
      </c>
      <c r="J3437" s="20" t="str">
        <f>""</f>
        <v/>
      </c>
      <c r="K3437" s="20" t="str">
        <f>"PFES1162674989_0001"</f>
        <v>PFES1162674989_0001</v>
      </c>
      <c r="L3437" s="20">
        <v>1</v>
      </c>
      <c r="M3437" s="20">
        <v>1</v>
      </c>
    </row>
    <row r="3438" spans="1:13">
      <c r="A3438" s="6">
        <v>43521</v>
      </c>
      <c r="B3438" s="7">
        <v>0.63541666666666663</v>
      </c>
      <c r="C3438" s="20" t="str">
        <f>"FES1162674959"</f>
        <v>FES1162674959</v>
      </c>
      <c r="D3438" s="20" t="s">
        <v>18</v>
      </c>
      <c r="E3438" s="20" t="s">
        <v>235</v>
      </c>
      <c r="F3438" s="20" t="str">
        <f>"2170673326 "</f>
        <v xml:space="preserve">2170673326 </v>
      </c>
      <c r="G3438" s="20" t="str">
        <f t="shared" si="97"/>
        <v>ON1</v>
      </c>
      <c r="H3438" s="20" t="s">
        <v>20</v>
      </c>
      <c r="I3438" s="20" t="s">
        <v>143</v>
      </c>
      <c r="J3438" s="20" t="str">
        <f>""</f>
        <v/>
      </c>
      <c r="K3438" s="20" t="str">
        <f>"PFES1162674959_0001"</f>
        <v>PFES1162674959_0001</v>
      </c>
      <c r="L3438" s="20">
        <v>1</v>
      </c>
      <c r="M3438" s="20">
        <v>14</v>
      </c>
    </row>
    <row r="3439" spans="1:13">
      <c r="A3439" s="6">
        <v>43521</v>
      </c>
      <c r="B3439" s="7">
        <v>0.63541666666666663</v>
      </c>
      <c r="C3439" s="20" t="str">
        <f>"FES1162675175"</f>
        <v>FES1162675175</v>
      </c>
      <c r="D3439" s="20" t="s">
        <v>18</v>
      </c>
      <c r="E3439" s="20" t="s">
        <v>358</v>
      </c>
      <c r="F3439" s="20" t="str">
        <f>"2170676152 "</f>
        <v xml:space="preserve">2170676152 </v>
      </c>
      <c r="G3439" s="20" t="str">
        <f t="shared" si="97"/>
        <v>ON1</v>
      </c>
      <c r="H3439" s="20" t="s">
        <v>20</v>
      </c>
      <c r="I3439" s="20" t="s">
        <v>130</v>
      </c>
      <c r="J3439" s="20" t="str">
        <f>""</f>
        <v/>
      </c>
      <c r="K3439" s="20" t="str">
        <f>"PFES1162675175_0001"</f>
        <v>PFES1162675175_0001</v>
      </c>
      <c r="L3439" s="20">
        <v>1</v>
      </c>
      <c r="M3439" s="20">
        <v>1</v>
      </c>
    </row>
    <row r="3440" spans="1:13">
      <c r="A3440" s="6">
        <v>43521</v>
      </c>
      <c r="B3440" s="7">
        <v>0.63541666666666663</v>
      </c>
      <c r="C3440" s="20" t="str">
        <f>"FES1162674949"</f>
        <v>FES1162674949</v>
      </c>
      <c r="D3440" s="20" t="s">
        <v>18</v>
      </c>
      <c r="E3440" s="20" t="s">
        <v>100</v>
      </c>
      <c r="F3440" s="20" t="str">
        <f>"217067267 "</f>
        <v xml:space="preserve">217067267 </v>
      </c>
      <c r="G3440" s="20" t="str">
        <f t="shared" si="97"/>
        <v>ON1</v>
      </c>
      <c r="H3440" s="20" t="s">
        <v>20</v>
      </c>
      <c r="I3440" s="20" t="s">
        <v>101</v>
      </c>
      <c r="J3440" s="20" t="str">
        <f>""</f>
        <v/>
      </c>
      <c r="K3440" s="20" t="str">
        <f>"PFES1162674949_0001"</f>
        <v>PFES1162674949_0001</v>
      </c>
      <c r="L3440" s="20">
        <v>1</v>
      </c>
      <c r="M3440" s="20">
        <v>1</v>
      </c>
    </row>
    <row r="3441" spans="1:13">
      <c r="A3441" s="6">
        <v>43521</v>
      </c>
      <c r="B3441" s="7">
        <v>0.63472222222222219</v>
      </c>
      <c r="C3441" s="20" t="str">
        <f>"FES1162675156"</f>
        <v>FES1162675156</v>
      </c>
      <c r="D3441" s="20" t="s">
        <v>18</v>
      </c>
      <c r="E3441" s="20" t="s">
        <v>129</v>
      </c>
      <c r="F3441" s="20" t="str">
        <f>"2170675868 "</f>
        <v xml:space="preserve">2170675868 </v>
      </c>
      <c r="G3441" s="20" t="str">
        <f t="shared" si="97"/>
        <v>ON1</v>
      </c>
      <c r="H3441" s="20" t="s">
        <v>20</v>
      </c>
      <c r="I3441" s="20" t="s">
        <v>130</v>
      </c>
      <c r="J3441" s="20" t="str">
        <f>""</f>
        <v/>
      </c>
      <c r="K3441" s="20" t="str">
        <f>"PFES1162675156_0001"</f>
        <v>PFES1162675156_0001</v>
      </c>
      <c r="L3441" s="20">
        <v>1</v>
      </c>
      <c r="M3441" s="20">
        <v>8</v>
      </c>
    </row>
    <row r="3442" spans="1:13">
      <c r="A3442" s="6">
        <v>43521</v>
      </c>
      <c r="B3442" s="7">
        <v>0.63472222222222219</v>
      </c>
      <c r="C3442" s="20" t="str">
        <f>"FES1162674960"</f>
        <v>FES1162674960</v>
      </c>
      <c r="D3442" s="20" t="s">
        <v>18</v>
      </c>
      <c r="E3442" s="20" t="s">
        <v>19</v>
      </c>
      <c r="F3442" s="20" t="str">
        <f>"2170673343 "</f>
        <v xml:space="preserve">2170673343 </v>
      </c>
      <c r="G3442" s="20" t="str">
        <f t="shared" si="97"/>
        <v>ON1</v>
      </c>
      <c r="H3442" s="20" t="s">
        <v>20</v>
      </c>
      <c r="I3442" s="20" t="s">
        <v>21</v>
      </c>
      <c r="J3442" s="20" t="str">
        <f>""</f>
        <v/>
      </c>
      <c r="K3442" s="20" t="str">
        <f>"PFES1162674960_0001"</f>
        <v>PFES1162674960_0001</v>
      </c>
      <c r="L3442" s="20">
        <v>1</v>
      </c>
      <c r="M3442" s="20">
        <v>4</v>
      </c>
    </row>
    <row r="3443" spans="1:13">
      <c r="A3443" s="6">
        <v>43521</v>
      </c>
      <c r="B3443" s="7">
        <v>0.63402777777777775</v>
      </c>
      <c r="C3443" s="20" t="str">
        <f>"FES1162675041"</f>
        <v>FES1162675041</v>
      </c>
      <c r="D3443" s="20" t="s">
        <v>18</v>
      </c>
      <c r="E3443" s="20" t="s">
        <v>942</v>
      </c>
      <c r="F3443" s="20" t="str">
        <f>"2170674791 "</f>
        <v xml:space="preserve">2170674791 </v>
      </c>
      <c r="G3443" s="20" t="str">
        <f t="shared" si="97"/>
        <v>ON1</v>
      </c>
      <c r="H3443" s="20" t="s">
        <v>20</v>
      </c>
      <c r="I3443" s="20" t="s">
        <v>237</v>
      </c>
      <c r="J3443" s="20" t="str">
        <f>""</f>
        <v/>
      </c>
      <c r="K3443" s="20" t="str">
        <f>"PFES1162675041_0001"</f>
        <v>PFES1162675041_0001</v>
      </c>
      <c r="L3443" s="20">
        <v>1</v>
      </c>
      <c r="M3443" s="20">
        <v>3</v>
      </c>
    </row>
    <row r="3444" spans="1:13">
      <c r="A3444" s="6">
        <v>43521</v>
      </c>
      <c r="B3444" s="7">
        <v>0.6333333333333333</v>
      </c>
      <c r="C3444" s="20" t="str">
        <f>"FES1162675005"</f>
        <v>FES1162675005</v>
      </c>
      <c r="D3444" s="20" t="s">
        <v>18</v>
      </c>
      <c r="E3444" s="20" t="s">
        <v>863</v>
      </c>
      <c r="F3444" s="20" t="str">
        <f>"2170673914 "</f>
        <v xml:space="preserve">2170673914 </v>
      </c>
      <c r="G3444" s="20" t="str">
        <f t="shared" si="97"/>
        <v>ON1</v>
      </c>
      <c r="H3444" s="20" t="s">
        <v>20</v>
      </c>
      <c r="I3444" s="20" t="s">
        <v>390</v>
      </c>
      <c r="J3444" s="20" t="str">
        <f>""</f>
        <v/>
      </c>
      <c r="K3444" s="20" t="str">
        <f>"PFES1162675005_0001"</f>
        <v>PFES1162675005_0001</v>
      </c>
      <c r="L3444" s="20">
        <v>1</v>
      </c>
      <c r="M3444" s="20">
        <v>4</v>
      </c>
    </row>
    <row r="3445" spans="1:13">
      <c r="A3445" s="6">
        <v>43521</v>
      </c>
      <c r="B3445" s="7">
        <v>0.63263888888888886</v>
      </c>
      <c r="C3445" s="20" t="str">
        <f>"FES1162674953"</f>
        <v>FES1162674953</v>
      </c>
      <c r="D3445" s="20" t="s">
        <v>18</v>
      </c>
      <c r="E3445" s="20" t="s">
        <v>585</v>
      </c>
      <c r="F3445" s="20" t="str">
        <f>"2170672838 "</f>
        <v xml:space="preserve">2170672838 </v>
      </c>
      <c r="G3445" s="20" t="str">
        <f t="shared" si="97"/>
        <v>ON1</v>
      </c>
      <c r="H3445" s="20" t="s">
        <v>20</v>
      </c>
      <c r="I3445" s="20" t="s">
        <v>586</v>
      </c>
      <c r="J3445" s="20" t="str">
        <f>""</f>
        <v/>
      </c>
      <c r="K3445" s="20" t="str">
        <f>"PFES1162674953_0001"</f>
        <v>PFES1162674953_0001</v>
      </c>
      <c r="L3445" s="20">
        <v>1</v>
      </c>
      <c r="M3445" s="20">
        <v>4</v>
      </c>
    </row>
    <row r="3446" spans="1:13">
      <c r="A3446" s="6">
        <v>43521</v>
      </c>
      <c r="B3446" s="7">
        <v>0.62916666666666665</v>
      </c>
      <c r="C3446" s="20" t="str">
        <f>"FES1162675155"</f>
        <v>FES1162675155</v>
      </c>
      <c r="D3446" s="20" t="s">
        <v>18</v>
      </c>
      <c r="E3446" s="20" t="s">
        <v>380</v>
      </c>
      <c r="F3446" s="20" t="str">
        <f>"2170675843 "</f>
        <v xml:space="preserve">2170675843 </v>
      </c>
      <c r="G3446" s="20" t="str">
        <f t="shared" si="97"/>
        <v>ON1</v>
      </c>
      <c r="H3446" s="20" t="s">
        <v>20</v>
      </c>
      <c r="I3446" s="20" t="s">
        <v>213</v>
      </c>
      <c r="J3446" s="20" t="str">
        <f>""</f>
        <v/>
      </c>
      <c r="K3446" s="20" t="str">
        <f>"PFES1162675155_0001"</f>
        <v>PFES1162675155_0001</v>
      </c>
      <c r="L3446" s="20">
        <v>2</v>
      </c>
      <c r="M3446" s="20">
        <v>12</v>
      </c>
    </row>
    <row r="3447" spans="1:13">
      <c r="A3447" s="6">
        <v>43521</v>
      </c>
      <c r="B3447" s="7">
        <v>0.62916666666666665</v>
      </c>
      <c r="C3447" s="20" t="str">
        <f>"FES1162675155"</f>
        <v>FES1162675155</v>
      </c>
      <c r="D3447" s="20" t="s">
        <v>18</v>
      </c>
      <c r="E3447" s="20" t="s">
        <v>380</v>
      </c>
      <c r="F3447" s="20" t="str">
        <f>"2170675843 "</f>
        <v xml:space="preserve">2170675843 </v>
      </c>
      <c r="G3447" s="20" t="str">
        <f t="shared" si="97"/>
        <v>ON1</v>
      </c>
      <c r="H3447" s="20" t="s">
        <v>20</v>
      </c>
      <c r="I3447" s="20" t="s">
        <v>213</v>
      </c>
      <c r="J3447" s="20"/>
      <c r="K3447" s="20" t="str">
        <f>"PFES1162675155_0002"</f>
        <v>PFES1162675155_0002</v>
      </c>
      <c r="L3447" s="20">
        <v>2</v>
      </c>
      <c r="M3447" s="20">
        <v>12</v>
      </c>
    </row>
    <row r="3448" spans="1:13">
      <c r="A3448" s="6">
        <v>43521</v>
      </c>
      <c r="B3448" s="7">
        <v>0.62847222222222221</v>
      </c>
      <c r="C3448" s="20" t="str">
        <f>"FES1162675082"</f>
        <v>FES1162675082</v>
      </c>
      <c r="D3448" s="20" t="s">
        <v>18</v>
      </c>
      <c r="E3448" s="20" t="s">
        <v>195</v>
      </c>
      <c r="F3448" s="20" t="str">
        <f>"2170673546 "</f>
        <v xml:space="preserve">2170673546 </v>
      </c>
      <c r="G3448" s="20" t="str">
        <f t="shared" ref="G3448:G3453" si="98">"ON1"</f>
        <v>ON1</v>
      </c>
      <c r="H3448" s="20" t="s">
        <v>20</v>
      </c>
      <c r="I3448" s="20" t="s">
        <v>96</v>
      </c>
      <c r="J3448" s="20" t="str">
        <f>""</f>
        <v/>
      </c>
      <c r="K3448" s="20" t="str">
        <f>"PFES1162675082_0001"</f>
        <v>PFES1162675082_0001</v>
      </c>
      <c r="L3448" s="20">
        <v>1</v>
      </c>
      <c r="M3448" s="20">
        <v>7</v>
      </c>
    </row>
    <row r="3449" spans="1:13">
      <c r="A3449" s="6">
        <v>43521</v>
      </c>
      <c r="B3449" s="7">
        <v>0.62777777777777777</v>
      </c>
      <c r="C3449" s="20" t="str">
        <f>"FES1162675076"</f>
        <v>FES1162675076</v>
      </c>
      <c r="D3449" s="20" t="s">
        <v>18</v>
      </c>
      <c r="E3449" s="20" t="s">
        <v>755</v>
      </c>
      <c r="F3449" s="20" t="str">
        <f>"2170671670 "</f>
        <v xml:space="preserve">2170671670 </v>
      </c>
      <c r="G3449" s="20" t="str">
        <f t="shared" si="98"/>
        <v>ON1</v>
      </c>
      <c r="H3449" s="20" t="s">
        <v>20</v>
      </c>
      <c r="I3449" s="20" t="s">
        <v>262</v>
      </c>
      <c r="J3449" s="20" t="str">
        <f>""</f>
        <v/>
      </c>
      <c r="K3449" s="20" t="str">
        <f>"PFES1162675076_0001"</f>
        <v>PFES1162675076_0001</v>
      </c>
      <c r="L3449" s="20">
        <v>1</v>
      </c>
      <c r="M3449" s="20">
        <v>8</v>
      </c>
    </row>
    <row r="3450" spans="1:13">
      <c r="A3450" s="6">
        <v>43521</v>
      </c>
      <c r="B3450" s="7">
        <v>0.62708333333333333</v>
      </c>
      <c r="C3450" s="20" t="str">
        <f>"FES1162675075"</f>
        <v>FES1162675075</v>
      </c>
      <c r="D3450" s="20" t="s">
        <v>18</v>
      </c>
      <c r="E3450" s="20" t="s">
        <v>195</v>
      </c>
      <c r="F3450" s="20" t="str">
        <f>"2170671589 "</f>
        <v xml:space="preserve">2170671589 </v>
      </c>
      <c r="G3450" s="20" t="str">
        <f t="shared" si="98"/>
        <v>ON1</v>
      </c>
      <c r="H3450" s="20" t="s">
        <v>20</v>
      </c>
      <c r="I3450" s="20" t="s">
        <v>96</v>
      </c>
      <c r="J3450" s="20" t="str">
        <f>""</f>
        <v/>
      </c>
      <c r="K3450" s="20" t="str">
        <f>"PFES1162675075_0001"</f>
        <v>PFES1162675075_0001</v>
      </c>
      <c r="L3450" s="20">
        <v>1</v>
      </c>
      <c r="M3450" s="20">
        <v>7</v>
      </c>
    </row>
    <row r="3451" spans="1:13">
      <c r="A3451" s="6">
        <v>43521</v>
      </c>
      <c r="B3451" s="7">
        <v>0.62638888888888888</v>
      </c>
      <c r="C3451" s="20" t="str">
        <f>"FES1162675160"</f>
        <v>FES1162675160</v>
      </c>
      <c r="D3451" s="20" t="s">
        <v>18</v>
      </c>
      <c r="E3451" s="20" t="s">
        <v>538</v>
      </c>
      <c r="F3451" s="20" t="str">
        <f>"2170676130 "</f>
        <v xml:space="preserve">2170676130 </v>
      </c>
      <c r="G3451" s="20" t="str">
        <f t="shared" si="98"/>
        <v>ON1</v>
      </c>
      <c r="H3451" s="20" t="s">
        <v>20</v>
      </c>
      <c r="I3451" s="20" t="s">
        <v>539</v>
      </c>
      <c r="J3451" s="20" t="str">
        <f>""</f>
        <v/>
      </c>
      <c r="K3451" s="20" t="str">
        <f>"PFES1162675160_0001"</f>
        <v>PFES1162675160_0001</v>
      </c>
      <c r="L3451" s="20">
        <v>1</v>
      </c>
      <c r="M3451" s="20">
        <v>5</v>
      </c>
    </row>
    <row r="3452" spans="1:13">
      <c r="A3452" s="6">
        <v>43521</v>
      </c>
      <c r="B3452" s="7">
        <v>0.625</v>
      </c>
      <c r="C3452" s="20" t="str">
        <f>"FES1162675073"</f>
        <v>FES1162675073</v>
      </c>
      <c r="D3452" s="20" t="s">
        <v>18</v>
      </c>
      <c r="E3452" s="20" t="s">
        <v>214</v>
      </c>
      <c r="F3452" s="20" t="str">
        <f>"2170671222 "</f>
        <v xml:space="preserve">2170671222 </v>
      </c>
      <c r="G3452" s="20" t="str">
        <f t="shared" si="98"/>
        <v>ON1</v>
      </c>
      <c r="H3452" s="20" t="s">
        <v>20</v>
      </c>
      <c r="I3452" s="20" t="s">
        <v>215</v>
      </c>
      <c r="J3452" s="20" t="str">
        <f>""</f>
        <v/>
      </c>
      <c r="K3452" s="20" t="str">
        <f>"PFES1162675073_0001"</f>
        <v>PFES1162675073_0001</v>
      </c>
      <c r="L3452" s="20">
        <v>2</v>
      </c>
      <c r="M3452" s="20">
        <v>16</v>
      </c>
    </row>
    <row r="3453" spans="1:13">
      <c r="A3453" s="6">
        <v>43521</v>
      </c>
      <c r="B3453" s="7">
        <v>0.625</v>
      </c>
      <c r="C3453" s="20" t="str">
        <f>"FES1162675073"</f>
        <v>FES1162675073</v>
      </c>
      <c r="D3453" s="20" t="s">
        <v>18</v>
      </c>
      <c r="E3453" s="20" t="s">
        <v>214</v>
      </c>
      <c r="F3453" s="20" t="str">
        <f>"2170671222 "</f>
        <v xml:space="preserve">2170671222 </v>
      </c>
      <c r="G3453" s="20" t="str">
        <f t="shared" si="98"/>
        <v>ON1</v>
      </c>
      <c r="H3453" s="20" t="s">
        <v>20</v>
      </c>
      <c r="I3453" s="20" t="s">
        <v>215</v>
      </c>
      <c r="J3453" s="20"/>
      <c r="K3453" s="20" t="str">
        <f>"PFES1162675073_0002"</f>
        <v>PFES1162675073_0002</v>
      </c>
      <c r="L3453" s="20">
        <v>2</v>
      </c>
      <c r="M3453" s="20">
        <v>16</v>
      </c>
    </row>
    <row r="3454" spans="1:13">
      <c r="A3454" s="6">
        <v>43521</v>
      </c>
      <c r="B3454" s="7">
        <v>0.62430555555555556</v>
      </c>
      <c r="C3454" s="20" t="str">
        <f>"FES1162675074"</f>
        <v>FES1162675074</v>
      </c>
      <c r="D3454" s="20" t="s">
        <v>18</v>
      </c>
      <c r="E3454" s="20" t="s">
        <v>536</v>
      </c>
      <c r="F3454" s="20" t="str">
        <f>"2170671309 "</f>
        <v xml:space="preserve">2170671309 </v>
      </c>
      <c r="G3454" s="20" t="str">
        <f t="shared" ref="G3454:G3470" si="99">"ON1"</f>
        <v>ON1</v>
      </c>
      <c r="H3454" s="20" t="s">
        <v>20</v>
      </c>
      <c r="I3454" s="20" t="s">
        <v>362</v>
      </c>
      <c r="J3454" s="20" t="str">
        <f>""</f>
        <v/>
      </c>
      <c r="K3454" s="20" t="str">
        <f>"PFES1162675074_0001"</f>
        <v>PFES1162675074_0001</v>
      </c>
      <c r="L3454" s="20">
        <v>1</v>
      </c>
      <c r="M3454" s="20">
        <v>6</v>
      </c>
    </row>
    <row r="3455" spans="1:13">
      <c r="A3455" s="6">
        <v>43521</v>
      </c>
      <c r="B3455" s="7">
        <v>0.62291666666666667</v>
      </c>
      <c r="C3455" s="20" t="str">
        <f>"FES1162675068"</f>
        <v>FES1162675068</v>
      </c>
      <c r="D3455" s="20" t="s">
        <v>18</v>
      </c>
      <c r="E3455" s="20" t="s">
        <v>195</v>
      </c>
      <c r="F3455" s="20" t="str">
        <f>"2170673506 "</f>
        <v xml:space="preserve">2170673506 </v>
      </c>
      <c r="G3455" s="20" t="str">
        <f t="shared" si="99"/>
        <v>ON1</v>
      </c>
      <c r="H3455" s="20" t="s">
        <v>20</v>
      </c>
      <c r="I3455" s="20" t="s">
        <v>96</v>
      </c>
      <c r="J3455" s="20" t="str">
        <f>""</f>
        <v/>
      </c>
      <c r="K3455" s="20" t="str">
        <f>"PFES1162675068_0001"</f>
        <v>PFES1162675068_0001</v>
      </c>
      <c r="L3455" s="20">
        <v>1</v>
      </c>
      <c r="M3455" s="20">
        <v>17</v>
      </c>
    </row>
    <row r="3456" spans="1:13">
      <c r="A3456" s="6">
        <v>43521</v>
      </c>
      <c r="B3456" s="7">
        <v>0.62291666666666667</v>
      </c>
      <c r="C3456" s="20" t="str">
        <f>"FES1162675044"</f>
        <v>FES1162675044</v>
      </c>
      <c r="D3456" s="20" t="s">
        <v>18</v>
      </c>
      <c r="E3456" s="20" t="s">
        <v>482</v>
      </c>
      <c r="F3456" s="20" t="str">
        <f>"2170675970 "</f>
        <v xml:space="preserve">2170675970 </v>
      </c>
      <c r="G3456" s="20" t="str">
        <f t="shared" si="99"/>
        <v>ON1</v>
      </c>
      <c r="H3456" s="20" t="s">
        <v>20</v>
      </c>
      <c r="I3456" s="20" t="s">
        <v>272</v>
      </c>
      <c r="J3456" s="20" t="str">
        <f>""</f>
        <v/>
      </c>
      <c r="K3456" s="20" t="str">
        <f>"PFES1162675044_0001"</f>
        <v>PFES1162675044_0001</v>
      </c>
      <c r="L3456" s="20">
        <v>1</v>
      </c>
      <c r="M3456" s="20">
        <v>3</v>
      </c>
    </row>
    <row r="3457" spans="1:13">
      <c r="A3457" s="6">
        <v>43521</v>
      </c>
      <c r="B3457" s="7">
        <v>0.62152777777777779</v>
      </c>
      <c r="C3457" s="20" t="str">
        <f>"FES1162675158"</f>
        <v>FES1162675158</v>
      </c>
      <c r="D3457" s="20" t="s">
        <v>18</v>
      </c>
      <c r="E3457" s="20" t="s">
        <v>739</v>
      </c>
      <c r="F3457" s="20" t="str">
        <f>"2170676128 "</f>
        <v xml:space="preserve">2170676128 </v>
      </c>
      <c r="G3457" s="20" t="str">
        <f t="shared" si="99"/>
        <v>ON1</v>
      </c>
      <c r="H3457" s="20" t="s">
        <v>20</v>
      </c>
      <c r="I3457" s="20" t="s">
        <v>130</v>
      </c>
      <c r="J3457" s="20" t="str">
        <f>""</f>
        <v/>
      </c>
      <c r="K3457" s="20" t="str">
        <f>"PFES1162675158_0001"</f>
        <v>PFES1162675158_0001</v>
      </c>
      <c r="L3457" s="20">
        <v>1</v>
      </c>
      <c r="M3457" s="20">
        <v>3</v>
      </c>
    </row>
    <row r="3458" spans="1:13">
      <c r="A3458" s="6">
        <v>43521</v>
      </c>
      <c r="B3458" s="7">
        <v>0.62152777777777779</v>
      </c>
      <c r="C3458" s="20" t="str">
        <f>"FES1162675086"</f>
        <v>FES1162675086</v>
      </c>
      <c r="D3458" s="20" t="s">
        <v>18</v>
      </c>
      <c r="E3458" s="20" t="s">
        <v>848</v>
      </c>
      <c r="F3458" s="20" t="str">
        <f>"21706732780 "</f>
        <v xml:space="preserve">21706732780 </v>
      </c>
      <c r="G3458" s="20" t="str">
        <f t="shared" si="99"/>
        <v>ON1</v>
      </c>
      <c r="H3458" s="20" t="s">
        <v>20</v>
      </c>
      <c r="I3458" s="20" t="s">
        <v>163</v>
      </c>
      <c r="J3458" s="20" t="str">
        <f>""</f>
        <v/>
      </c>
      <c r="K3458" s="20" t="str">
        <f>"PFES1162675086_0001"</f>
        <v>PFES1162675086_0001</v>
      </c>
      <c r="L3458" s="20">
        <v>1</v>
      </c>
      <c r="M3458" s="20">
        <v>3</v>
      </c>
    </row>
    <row r="3459" spans="1:13">
      <c r="A3459" s="6">
        <v>43521</v>
      </c>
      <c r="B3459" s="7">
        <v>0.62083333333333335</v>
      </c>
      <c r="C3459" s="20" t="str">
        <f>"FES1162674992"</f>
        <v>FES1162674992</v>
      </c>
      <c r="D3459" s="20" t="s">
        <v>18</v>
      </c>
      <c r="E3459" s="20" t="s">
        <v>581</v>
      </c>
      <c r="F3459" s="20" t="str">
        <f>"2170673697 "</f>
        <v xml:space="preserve">2170673697 </v>
      </c>
      <c r="G3459" s="20" t="str">
        <f t="shared" si="99"/>
        <v>ON1</v>
      </c>
      <c r="H3459" s="20" t="s">
        <v>20</v>
      </c>
      <c r="I3459" s="20" t="s">
        <v>504</v>
      </c>
      <c r="J3459" s="20" t="str">
        <f>""</f>
        <v/>
      </c>
      <c r="K3459" s="20" t="str">
        <f>"PFES1162674992_0001"</f>
        <v>PFES1162674992_0001</v>
      </c>
      <c r="L3459" s="20">
        <v>1</v>
      </c>
      <c r="M3459" s="20">
        <v>2</v>
      </c>
    </row>
    <row r="3460" spans="1:13">
      <c r="A3460" s="6">
        <v>43521</v>
      </c>
      <c r="B3460" s="7">
        <v>0.62083333333333335</v>
      </c>
      <c r="C3460" s="20" t="str">
        <f>"FES1162674859"</f>
        <v>FES1162674859</v>
      </c>
      <c r="D3460" s="20" t="s">
        <v>18</v>
      </c>
      <c r="E3460" s="20" t="s">
        <v>913</v>
      </c>
      <c r="F3460" s="20" t="str">
        <f>"2170673292 "</f>
        <v xml:space="preserve">2170673292 </v>
      </c>
      <c r="G3460" s="20" t="str">
        <f t="shared" si="99"/>
        <v>ON1</v>
      </c>
      <c r="H3460" s="20" t="s">
        <v>20</v>
      </c>
      <c r="I3460" s="20" t="s">
        <v>635</v>
      </c>
      <c r="J3460" s="20" t="str">
        <f>""</f>
        <v/>
      </c>
      <c r="K3460" s="20" t="str">
        <f>"PFES1162674859_0001"</f>
        <v>PFES1162674859_0001</v>
      </c>
      <c r="L3460" s="20">
        <v>1</v>
      </c>
      <c r="M3460" s="20">
        <v>7</v>
      </c>
    </row>
    <row r="3461" spans="1:13">
      <c r="A3461" s="6">
        <v>43521</v>
      </c>
      <c r="B3461" s="7">
        <v>0.62013888888888891</v>
      </c>
      <c r="C3461" s="20" t="str">
        <f>"FES1162674856"</f>
        <v>FES1162674856</v>
      </c>
      <c r="D3461" s="20" t="s">
        <v>18</v>
      </c>
      <c r="E3461" s="20" t="s">
        <v>295</v>
      </c>
      <c r="F3461" s="20" t="str">
        <f>"21706729990 "</f>
        <v xml:space="preserve">21706729990 </v>
      </c>
      <c r="G3461" s="20" t="str">
        <f t="shared" si="99"/>
        <v>ON1</v>
      </c>
      <c r="H3461" s="20" t="s">
        <v>20</v>
      </c>
      <c r="I3461" s="20" t="s">
        <v>53</v>
      </c>
      <c r="J3461" s="20" t="str">
        <f>""</f>
        <v/>
      </c>
      <c r="K3461" s="20" t="str">
        <f>"PFES1162674856_0001"</f>
        <v>PFES1162674856_0001</v>
      </c>
      <c r="L3461" s="20">
        <v>1</v>
      </c>
      <c r="M3461" s="20">
        <v>3</v>
      </c>
    </row>
    <row r="3462" spans="1:13">
      <c r="A3462" s="6">
        <v>43521</v>
      </c>
      <c r="B3462" s="7">
        <v>0.62013888888888891</v>
      </c>
      <c r="C3462" s="20" t="str">
        <f>"FES1162674894"</f>
        <v>FES1162674894</v>
      </c>
      <c r="D3462" s="20" t="s">
        <v>18</v>
      </c>
      <c r="E3462" s="20" t="s">
        <v>629</v>
      </c>
      <c r="F3462" s="20" t="str">
        <f>"2170675943 "</f>
        <v xml:space="preserve">2170675943 </v>
      </c>
      <c r="G3462" s="20" t="str">
        <f t="shared" si="99"/>
        <v>ON1</v>
      </c>
      <c r="H3462" s="20" t="s">
        <v>20</v>
      </c>
      <c r="I3462" s="20" t="s">
        <v>420</v>
      </c>
      <c r="J3462" s="20" t="str">
        <f>""</f>
        <v/>
      </c>
      <c r="K3462" s="20" t="str">
        <f>"PFES1162674894_0001"</f>
        <v>PFES1162674894_0001</v>
      </c>
      <c r="L3462" s="20">
        <v>1</v>
      </c>
      <c r="M3462" s="20">
        <v>3</v>
      </c>
    </row>
    <row r="3463" spans="1:13">
      <c r="A3463" s="6">
        <v>43521</v>
      </c>
      <c r="B3463" s="7">
        <v>0.62013888888888891</v>
      </c>
      <c r="C3463" s="20" t="str">
        <f>"FES1162674849"</f>
        <v>FES1162674849</v>
      </c>
      <c r="D3463" s="20" t="s">
        <v>18</v>
      </c>
      <c r="E3463" s="20" t="s">
        <v>295</v>
      </c>
      <c r="F3463" s="20" t="str">
        <f>"21706722299 "</f>
        <v xml:space="preserve">21706722299 </v>
      </c>
      <c r="G3463" s="20" t="str">
        <f t="shared" si="99"/>
        <v>ON1</v>
      </c>
      <c r="H3463" s="20" t="s">
        <v>20</v>
      </c>
      <c r="I3463" s="20" t="s">
        <v>53</v>
      </c>
      <c r="J3463" s="20" t="str">
        <f>""</f>
        <v/>
      </c>
      <c r="K3463" s="20" t="str">
        <f>"PFES1162674849_0001"</f>
        <v>PFES1162674849_0001</v>
      </c>
      <c r="L3463" s="20">
        <v>1</v>
      </c>
      <c r="M3463" s="20">
        <v>3</v>
      </c>
    </row>
    <row r="3464" spans="1:13">
      <c r="A3464" s="6">
        <v>43521</v>
      </c>
      <c r="B3464" s="7">
        <v>0.61944444444444446</v>
      </c>
      <c r="C3464" s="20" t="str">
        <f>"FES1162674970"</f>
        <v>FES1162674970</v>
      </c>
      <c r="D3464" s="20" t="s">
        <v>18</v>
      </c>
      <c r="E3464" s="20" t="s">
        <v>527</v>
      </c>
      <c r="F3464" s="20" t="str">
        <f>"2170673434 "</f>
        <v xml:space="preserve">2170673434 </v>
      </c>
      <c r="G3464" s="20" t="str">
        <f t="shared" si="99"/>
        <v>ON1</v>
      </c>
      <c r="H3464" s="20" t="s">
        <v>20</v>
      </c>
      <c r="I3464" s="20" t="s">
        <v>276</v>
      </c>
      <c r="J3464" s="20" t="str">
        <f>""</f>
        <v/>
      </c>
      <c r="K3464" s="20" t="str">
        <f>"PFES1162674970_0001"</f>
        <v>PFES1162674970_0001</v>
      </c>
      <c r="L3464" s="20">
        <v>1</v>
      </c>
      <c r="M3464" s="20">
        <v>3</v>
      </c>
    </row>
    <row r="3465" spans="1:13">
      <c r="A3465" s="6">
        <v>43521</v>
      </c>
      <c r="B3465" s="7">
        <v>0.61944444444444446</v>
      </c>
      <c r="C3465" s="20" t="str">
        <f>"FES1162674869"</f>
        <v>FES1162674869</v>
      </c>
      <c r="D3465" s="20" t="s">
        <v>18</v>
      </c>
      <c r="E3465" s="20" t="s">
        <v>1145</v>
      </c>
      <c r="F3465" s="20" t="str">
        <f>"2170674309 "</f>
        <v xml:space="preserve">2170674309 </v>
      </c>
      <c r="G3465" s="20" t="str">
        <f t="shared" si="99"/>
        <v>ON1</v>
      </c>
      <c r="H3465" s="20" t="s">
        <v>20</v>
      </c>
      <c r="I3465" s="20" t="s">
        <v>684</v>
      </c>
      <c r="J3465" s="20" t="str">
        <f>""</f>
        <v/>
      </c>
      <c r="K3465" s="20" t="str">
        <f>"PFES1162674869_0001"</f>
        <v>PFES1162674869_0001</v>
      </c>
      <c r="L3465" s="20">
        <v>1</v>
      </c>
      <c r="M3465" s="20">
        <v>2</v>
      </c>
    </row>
    <row r="3466" spans="1:13">
      <c r="A3466" s="6">
        <v>43521</v>
      </c>
      <c r="B3466" s="7">
        <v>0.61875000000000002</v>
      </c>
      <c r="C3466" s="20" t="str">
        <f>"FES1162674834"</f>
        <v>FES1162674834</v>
      </c>
      <c r="D3466" s="20" t="s">
        <v>18</v>
      </c>
      <c r="E3466" s="20" t="s">
        <v>108</v>
      </c>
      <c r="F3466" s="20" t="str">
        <f>"217067688943 "</f>
        <v xml:space="preserve">217067688943 </v>
      </c>
      <c r="G3466" s="20" t="str">
        <f t="shared" si="99"/>
        <v>ON1</v>
      </c>
      <c r="H3466" s="20" t="s">
        <v>20</v>
      </c>
      <c r="I3466" s="20" t="s">
        <v>109</v>
      </c>
      <c r="J3466" s="20" t="str">
        <f>""</f>
        <v/>
      </c>
      <c r="K3466" s="20" t="str">
        <f>"PFES1162674834_0001"</f>
        <v>PFES1162674834_0001</v>
      </c>
      <c r="L3466" s="20">
        <v>1</v>
      </c>
      <c r="M3466" s="20">
        <v>2</v>
      </c>
    </row>
    <row r="3467" spans="1:13">
      <c r="A3467" s="6">
        <v>43521</v>
      </c>
      <c r="B3467" s="7">
        <v>0.61875000000000002</v>
      </c>
      <c r="C3467" s="20" t="str">
        <f>"FES1162675072"</f>
        <v>FES1162675072</v>
      </c>
      <c r="D3467" s="20" t="s">
        <v>18</v>
      </c>
      <c r="E3467" s="20" t="s">
        <v>335</v>
      </c>
      <c r="F3467" s="20" t="str">
        <f>"2170672051 "</f>
        <v xml:space="preserve">2170672051 </v>
      </c>
      <c r="G3467" s="20" t="str">
        <f t="shared" si="99"/>
        <v>ON1</v>
      </c>
      <c r="H3467" s="20" t="s">
        <v>20</v>
      </c>
      <c r="I3467" s="20" t="s">
        <v>336</v>
      </c>
      <c r="J3467" s="20" t="str">
        <f>""</f>
        <v/>
      </c>
      <c r="K3467" s="20" t="str">
        <f>"PFES1162675072_0001"</f>
        <v>PFES1162675072_0001</v>
      </c>
      <c r="L3467" s="20">
        <v>1</v>
      </c>
      <c r="M3467" s="20">
        <v>3</v>
      </c>
    </row>
    <row r="3468" spans="1:13">
      <c r="A3468" s="6">
        <v>43521</v>
      </c>
      <c r="B3468" s="7">
        <v>0.61875000000000002</v>
      </c>
      <c r="C3468" s="20" t="str">
        <f>"FES1162674843"</f>
        <v>FES1162674843</v>
      </c>
      <c r="D3468" s="20" t="s">
        <v>18</v>
      </c>
      <c r="E3468" s="20" t="s">
        <v>632</v>
      </c>
      <c r="F3468" s="20" t="str">
        <f>"2170671435 "</f>
        <v xml:space="preserve">2170671435 </v>
      </c>
      <c r="G3468" s="20" t="str">
        <f t="shared" si="99"/>
        <v>ON1</v>
      </c>
      <c r="H3468" s="20" t="s">
        <v>20</v>
      </c>
      <c r="I3468" s="20" t="s">
        <v>633</v>
      </c>
      <c r="J3468" s="20" t="str">
        <f>""</f>
        <v/>
      </c>
      <c r="K3468" s="20" t="str">
        <f>"PFES1162674843_0001"</f>
        <v>PFES1162674843_0001</v>
      </c>
      <c r="L3468" s="20">
        <v>1</v>
      </c>
      <c r="M3468" s="20">
        <v>9</v>
      </c>
    </row>
    <row r="3469" spans="1:13">
      <c r="A3469" s="6">
        <v>43521</v>
      </c>
      <c r="B3469" s="7">
        <v>0.61805555555555558</v>
      </c>
      <c r="C3469" s="20" t="str">
        <f>"FES1162674853"</f>
        <v>FES1162674853</v>
      </c>
      <c r="D3469" s="20" t="s">
        <v>18</v>
      </c>
      <c r="E3469" s="20" t="s">
        <v>571</v>
      </c>
      <c r="F3469" s="20" t="str">
        <f>"2170672659 "</f>
        <v xml:space="preserve">2170672659 </v>
      </c>
      <c r="G3469" s="20" t="str">
        <f t="shared" si="99"/>
        <v>ON1</v>
      </c>
      <c r="H3469" s="20" t="s">
        <v>20</v>
      </c>
      <c r="I3469" s="20" t="s">
        <v>53</v>
      </c>
      <c r="J3469" s="20" t="str">
        <f>""</f>
        <v/>
      </c>
      <c r="K3469" s="20" t="str">
        <f>"PFES1162674853_0001"</f>
        <v>PFES1162674853_0001</v>
      </c>
      <c r="L3469" s="20">
        <v>1</v>
      </c>
      <c r="M3469" s="20">
        <v>3</v>
      </c>
    </row>
    <row r="3470" spans="1:13">
      <c r="A3470" s="6">
        <v>43521</v>
      </c>
      <c r="B3470" s="7">
        <v>0.60972222222222217</v>
      </c>
      <c r="C3470" s="20" t="str">
        <f>"FES1162675085"</f>
        <v>FES1162675085</v>
      </c>
      <c r="D3470" s="20" t="s">
        <v>18</v>
      </c>
      <c r="E3470" s="20" t="s">
        <v>828</v>
      </c>
      <c r="F3470" s="20" t="str">
        <f>"2170673773 "</f>
        <v xml:space="preserve">2170673773 </v>
      </c>
      <c r="G3470" s="20" t="str">
        <f t="shared" si="99"/>
        <v>ON1</v>
      </c>
      <c r="H3470" s="20" t="s">
        <v>20</v>
      </c>
      <c r="I3470" s="20" t="s">
        <v>242</v>
      </c>
      <c r="J3470" s="20" t="str">
        <f>""</f>
        <v/>
      </c>
      <c r="K3470" s="20" t="str">
        <f>"PFES1162675085_0001"</f>
        <v>PFES1162675085_0001</v>
      </c>
      <c r="L3470" s="20">
        <v>1</v>
      </c>
      <c r="M3470" s="20">
        <v>8</v>
      </c>
    </row>
    <row r="3471" spans="1:13">
      <c r="A3471" s="6">
        <v>43521</v>
      </c>
      <c r="B3471" s="7">
        <v>0.60902777777777783</v>
      </c>
      <c r="C3471" s="20" t="str">
        <f>"FES1162675083"</f>
        <v>FES1162675083</v>
      </c>
      <c r="D3471" s="20" t="s">
        <v>18</v>
      </c>
      <c r="E3471" s="20" t="s">
        <v>246</v>
      </c>
      <c r="F3471" s="20" t="str">
        <f>"2170673622 "</f>
        <v xml:space="preserve">2170673622 </v>
      </c>
      <c r="G3471" s="20" t="str">
        <f>"DBC"</f>
        <v>DBC</v>
      </c>
      <c r="H3471" s="20" t="s">
        <v>20</v>
      </c>
      <c r="I3471" s="20" t="s">
        <v>53</v>
      </c>
      <c r="J3471" s="20" t="str">
        <f>""</f>
        <v/>
      </c>
      <c r="K3471" s="20" t="str">
        <f>"PFES1162675083_0001"</f>
        <v>PFES1162675083_0001</v>
      </c>
      <c r="L3471" s="20">
        <v>1</v>
      </c>
      <c r="M3471" s="20">
        <v>20</v>
      </c>
    </row>
    <row r="3472" spans="1:13">
      <c r="A3472" s="6">
        <v>43521</v>
      </c>
      <c r="B3472" s="7">
        <v>0.60833333333333328</v>
      </c>
      <c r="C3472" s="20" t="str">
        <f>"FES1162675077"</f>
        <v>FES1162675077</v>
      </c>
      <c r="D3472" s="20" t="s">
        <v>18</v>
      </c>
      <c r="E3472" s="20" t="s">
        <v>115</v>
      </c>
      <c r="F3472" s="20" t="str">
        <f>"2170672127 "</f>
        <v xml:space="preserve">2170672127 </v>
      </c>
      <c r="G3472" s="20" t="str">
        <f>"ON1"</f>
        <v>ON1</v>
      </c>
      <c r="H3472" s="20" t="s">
        <v>20</v>
      </c>
      <c r="I3472" s="20" t="s">
        <v>93</v>
      </c>
      <c r="J3472" s="20" t="str">
        <f>""</f>
        <v/>
      </c>
      <c r="K3472" s="20" t="str">
        <f>"PFES1162675077_0001"</f>
        <v>PFES1162675077_0001</v>
      </c>
      <c r="L3472" s="20">
        <v>1</v>
      </c>
      <c r="M3472" s="20">
        <v>1</v>
      </c>
    </row>
    <row r="3473" spans="1:13">
      <c r="A3473" s="6">
        <v>43521</v>
      </c>
      <c r="B3473" s="7">
        <v>0.6069444444444444</v>
      </c>
      <c r="C3473" s="20" t="str">
        <f>"FES1162675071"</f>
        <v>FES1162675071</v>
      </c>
      <c r="D3473" s="20" t="s">
        <v>18</v>
      </c>
      <c r="E3473" s="20" t="s">
        <v>444</v>
      </c>
      <c r="F3473" s="20" t="str">
        <f>"2170669354 "</f>
        <v xml:space="preserve">2170669354 </v>
      </c>
      <c r="G3473" s="20" t="str">
        <f>"ON1"</f>
        <v>ON1</v>
      </c>
      <c r="H3473" s="20" t="s">
        <v>20</v>
      </c>
      <c r="I3473" s="20" t="s">
        <v>445</v>
      </c>
      <c r="J3473" s="20" t="str">
        <f>""</f>
        <v/>
      </c>
      <c r="K3473" s="20" t="str">
        <f>"PFES1162675071_0001"</f>
        <v>PFES1162675071_0001</v>
      </c>
      <c r="L3473" s="20">
        <v>2</v>
      </c>
      <c r="M3473" s="20">
        <v>2</v>
      </c>
    </row>
    <row r="3474" spans="1:13">
      <c r="A3474" s="6">
        <v>43521</v>
      </c>
      <c r="B3474" s="7">
        <v>0.6069444444444444</v>
      </c>
      <c r="C3474" s="20" t="str">
        <f>"FES1162675071"</f>
        <v>FES1162675071</v>
      </c>
      <c r="D3474" s="20" t="s">
        <v>18</v>
      </c>
      <c r="E3474" s="20" t="s">
        <v>444</v>
      </c>
      <c r="F3474" s="20" t="str">
        <f>"2170669354 "</f>
        <v xml:space="preserve">2170669354 </v>
      </c>
      <c r="G3474" s="20" t="str">
        <f>"ON1"</f>
        <v>ON1</v>
      </c>
      <c r="H3474" s="20" t="s">
        <v>20</v>
      </c>
      <c r="I3474" s="20" t="s">
        <v>445</v>
      </c>
      <c r="J3474" s="20"/>
      <c r="K3474" s="20" t="str">
        <f>"PFES1162675071_0002"</f>
        <v>PFES1162675071_0002</v>
      </c>
      <c r="L3474" s="20">
        <v>2</v>
      </c>
      <c r="M3474" s="20">
        <v>2</v>
      </c>
    </row>
    <row r="3475" spans="1:13">
      <c r="A3475" s="6">
        <v>43521</v>
      </c>
      <c r="B3475" s="7">
        <v>0.60555555555555551</v>
      </c>
      <c r="C3475" s="20" t="str">
        <f>"FES1162675029"</f>
        <v>FES1162675029</v>
      </c>
      <c r="D3475" s="20" t="s">
        <v>18</v>
      </c>
      <c r="E3475" s="20" t="s">
        <v>58</v>
      </c>
      <c r="F3475" s="20" t="str">
        <f>"2170676007 "</f>
        <v xml:space="preserve">2170676007 </v>
      </c>
      <c r="G3475" s="20" t="str">
        <f t="shared" ref="G3475:G3534" si="100">"ON1"</f>
        <v>ON1</v>
      </c>
      <c r="H3475" s="20" t="s">
        <v>20</v>
      </c>
      <c r="I3475" s="20" t="s">
        <v>59</v>
      </c>
      <c r="J3475" s="20" t="str">
        <f>""</f>
        <v/>
      </c>
      <c r="K3475" s="20" t="str">
        <f>"PFES1162675029_0001"</f>
        <v>PFES1162675029_0001</v>
      </c>
      <c r="L3475" s="20">
        <v>1</v>
      </c>
      <c r="M3475" s="20">
        <v>1</v>
      </c>
    </row>
    <row r="3476" spans="1:13">
      <c r="A3476" s="6">
        <v>43521</v>
      </c>
      <c r="B3476" s="7">
        <v>0.60486111111111118</v>
      </c>
      <c r="C3476" s="20" t="str">
        <f>"FES1162674858"</f>
        <v>FES1162674858</v>
      </c>
      <c r="D3476" s="20" t="s">
        <v>18</v>
      </c>
      <c r="E3476" s="20" t="s">
        <v>355</v>
      </c>
      <c r="F3476" s="20" t="str">
        <f>"2170673144 "</f>
        <v xml:space="preserve">2170673144 </v>
      </c>
      <c r="G3476" s="20" t="str">
        <f t="shared" si="100"/>
        <v>ON1</v>
      </c>
      <c r="H3476" s="20" t="s">
        <v>20</v>
      </c>
      <c r="I3476" s="20" t="s">
        <v>59</v>
      </c>
      <c r="J3476" s="20" t="str">
        <f>""</f>
        <v/>
      </c>
      <c r="K3476" s="20" t="str">
        <f>"PFES1162674858_0001"</f>
        <v>PFES1162674858_0001</v>
      </c>
      <c r="L3476" s="20">
        <v>1</v>
      </c>
      <c r="M3476" s="20">
        <v>8</v>
      </c>
    </row>
    <row r="3477" spans="1:13">
      <c r="A3477" s="6">
        <v>43521</v>
      </c>
      <c r="B3477" s="7">
        <v>0.60416666666666663</v>
      </c>
      <c r="C3477" s="20" t="str">
        <f>"FES1162674848"</f>
        <v>FES1162674848</v>
      </c>
      <c r="D3477" s="20" t="s">
        <v>18</v>
      </c>
      <c r="E3477" s="20" t="s">
        <v>1146</v>
      </c>
      <c r="F3477" s="20" t="str">
        <f>"2170672207 "</f>
        <v xml:space="preserve">2170672207 </v>
      </c>
      <c r="G3477" s="20" t="str">
        <f t="shared" si="100"/>
        <v>ON1</v>
      </c>
      <c r="H3477" s="20" t="s">
        <v>20</v>
      </c>
      <c r="I3477" s="20" t="s">
        <v>1041</v>
      </c>
      <c r="J3477" s="20" t="str">
        <f>""</f>
        <v/>
      </c>
      <c r="K3477" s="20" t="str">
        <f>"PFES1162674848_0001"</f>
        <v>PFES1162674848_0001</v>
      </c>
      <c r="L3477" s="20">
        <v>1</v>
      </c>
      <c r="M3477" s="20">
        <v>4</v>
      </c>
    </row>
    <row r="3478" spans="1:13">
      <c r="A3478" s="6">
        <v>43521</v>
      </c>
      <c r="B3478" s="7">
        <v>0.60277777777777775</v>
      </c>
      <c r="C3478" s="20" t="str">
        <f>"FES1162674915"</f>
        <v>FES1162674915</v>
      </c>
      <c r="D3478" s="20" t="s">
        <v>18</v>
      </c>
      <c r="E3478" s="20" t="s">
        <v>235</v>
      </c>
      <c r="F3478" s="20" t="str">
        <f>"2170675963 "</f>
        <v xml:space="preserve">2170675963 </v>
      </c>
      <c r="G3478" s="20" t="str">
        <f t="shared" si="100"/>
        <v>ON1</v>
      </c>
      <c r="H3478" s="20" t="s">
        <v>20</v>
      </c>
      <c r="I3478" s="20" t="s">
        <v>143</v>
      </c>
      <c r="J3478" s="20" t="str">
        <f>""</f>
        <v/>
      </c>
      <c r="K3478" s="20" t="str">
        <f>"PFES1162674915_0001"</f>
        <v>PFES1162674915_0001</v>
      </c>
      <c r="L3478" s="20">
        <v>1</v>
      </c>
      <c r="M3478" s="20">
        <v>3</v>
      </c>
    </row>
    <row r="3479" spans="1:13">
      <c r="A3479" s="6">
        <v>43521</v>
      </c>
      <c r="B3479" s="7">
        <v>0.60138888888888886</v>
      </c>
      <c r="C3479" s="20" t="str">
        <f>"FES1162674904"</f>
        <v>FES1162674904</v>
      </c>
      <c r="D3479" s="20" t="s">
        <v>18</v>
      </c>
      <c r="E3479" s="20" t="s">
        <v>1147</v>
      </c>
      <c r="F3479" s="20" t="str">
        <f>"2170664596 "</f>
        <v xml:space="preserve">2170664596 </v>
      </c>
      <c r="G3479" s="20" t="str">
        <f t="shared" si="100"/>
        <v>ON1</v>
      </c>
      <c r="H3479" s="20" t="s">
        <v>20</v>
      </c>
      <c r="I3479" s="20" t="s">
        <v>353</v>
      </c>
      <c r="J3479" s="20" t="str">
        <f>""</f>
        <v/>
      </c>
      <c r="K3479" s="20" t="str">
        <f>"PFES1162674904_0001"</f>
        <v>PFES1162674904_0001</v>
      </c>
      <c r="L3479" s="20">
        <v>1</v>
      </c>
      <c r="M3479" s="20">
        <v>3</v>
      </c>
    </row>
    <row r="3480" spans="1:13">
      <c r="A3480" s="6">
        <v>43521</v>
      </c>
      <c r="B3480" s="7">
        <v>0.60069444444444442</v>
      </c>
      <c r="C3480" s="20" t="str">
        <f>"FES1162675017"</f>
        <v>FES1162675017</v>
      </c>
      <c r="D3480" s="20" t="s">
        <v>18</v>
      </c>
      <c r="E3480" s="20" t="s">
        <v>78</v>
      </c>
      <c r="F3480" s="20" t="str">
        <f>"2170674593 "</f>
        <v xml:space="preserve">2170674593 </v>
      </c>
      <c r="G3480" s="20" t="str">
        <f t="shared" si="100"/>
        <v>ON1</v>
      </c>
      <c r="H3480" s="20" t="s">
        <v>20</v>
      </c>
      <c r="I3480" s="20" t="s">
        <v>990</v>
      </c>
      <c r="J3480" s="20" t="str">
        <f>""</f>
        <v/>
      </c>
      <c r="K3480" s="20" t="str">
        <f>"PFES1162675017_0001"</f>
        <v>PFES1162675017_0001</v>
      </c>
      <c r="L3480" s="20">
        <v>1</v>
      </c>
      <c r="M3480" s="20">
        <v>1</v>
      </c>
    </row>
    <row r="3481" spans="1:13">
      <c r="A3481" s="6">
        <v>43521</v>
      </c>
      <c r="B3481" s="7">
        <v>0.6</v>
      </c>
      <c r="C3481" s="20" t="str">
        <f>"FES1162674951"</f>
        <v>FES1162674951</v>
      </c>
      <c r="D3481" s="20" t="s">
        <v>18</v>
      </c>
      <c r="E3481" s="20" t="s">
        <v>295</v>
      </c>
      <c r="F3481" s="20" t="str">
        <f>"2170672743 "</f>
        <v xml:space="preserve">2170672743 </v>
      </c>
      <c r="G3481" s="20" t="str">
        <f t="shared" si="100"/>
        <v>ON1</v>
      </c>
      <c r="H3481" s="20" t="s">
        <v>20</v>
      </c>
      <c r="I3481" s="20" t="s">
        <v>53</v>
      </c>
      <c r="J3481" s="20" t="str">
        <f>""</f>
        <v/>
      </c>
      <c r="K3481" s="20" t="str">
        <f>"PFES1162674951_0001"</f>
        <v>PFES1162674951_0001</v>
      </c>
      <c r="L3481" s="20">
        <v>1</v>
      </c>
      <c r="M3481" s="20">
        <v>1</v>
      </c>
    </row>
    <row r="3482" spans="1:13">
      <c r="A3482" s="6">
        <v>43521</v>
      </c>
      <c r="B3482" s="7">
        <v>0.6</v>
      </c>
      <c r="C3482" s="20" t="str">
        <f>"FES1162674847"</f>
        <v>FES1162674847</v>
      </c>
      <c r="D3482" s="20" t="s">
        <v>18</v>
      </c>
      <c r="E3482" s="20" t="s">
        <v>1148</v>
      </c>
      <c r="F3482" s="20" t="str">
        <f>"2170671918 "</f>
        <v xml:space="preserve">2170671918 </v>
      </c>
      <c r="G3482" s="20" t="str">
        <f t="shared" si="100"/>
        <v>ON1</v>
      </c>
      <c r="H3482" s="20" t="s">
        <v>20</v>
      </c>
      <c r="I3482" s="20" t="s">
        <v>237</v>
      </c>
      <c r="J3482" s="20" t="str">
        <f>""</f>
        <v/>
      </c>
      <c r="K3482" s="20" t="str">
        <f>"PFES1162674847_0001"</f>
        <v>PFES1162674847_0001</v>
      </c>
      <c r="L3482" s="20">
        <v>1</v>
      </c>
      <c r="M3482" s="20">
        <v>1</v>
      </c>
    </row>
    <row r="3483" spans="1:13">
      <c r="A3483" s="6">
        <v>43521</v>
      </c>
      <c r="B3483" s="7">
        <v>0.6</v>
      </c>
      <c r="C3483" s="20" t="str">
        <f>"FES1162675026"</f>
        <v>FES1162675026</v>
      </c>
      <c r="D3483" s="20" t="s">
        <v>18</v>
      </c>
      <c r="E3483" s="20" t="s">
        <v>73</v>
      </c>
      <c r="F3483" s="20" t="str">
        <f>"2170676000 "</f>
        <v xml:space="preserve">2170676000 </v>
      </c>
      <c r="G3483" s="20" t="str">
        <f t="shared" si="100"/>
        <v>ON1</v>
      </c>
      <c r="H3483" s="20" t="s">
        <v>20</v>
      </c>
      <c r="I3483" s="20" t="s">
        <v>61</v>
      </c>
      <c r="J3483" s="20" t="str">
        <f>""</f>
        <v/>
      </c>
      <c r="K3483" s="20" t="str">
        <f>"PFES1162675026_0001"</f>
        <v>PFES1162675026_0001</v>
      </c>
      <c r="L3483" s="20">
        <v>1</v>
      </c>
      <c r="M3483" s="20">
        <v>1</v>
      </c>
    </row>
    <row r="3484" spans="1:13">
      <c r="A3484" s="6">
        <v>43521</v>
      </c>
      <c r="B3484" s="7">
        <v>0.59930555555555554</v>
      </c>
      <c r="C3484" s="20" t="str">
        <f>"FES1162674874"</f>
        <v>FES1162674874</v>
      </c>
      <c r="D3484" s="20" t="s">
        <v>18</v>
      </c>
      <c r="E3484" s="20" t="s">
        <v>293</v>
      </c>
      <c r="F3484" s="20" t="str">
        <f>"2170674589 "</f>
        <v xml:space="preserve">2170674589 </v>
      </c>
      <c r="G3484" s="20" t="str">
        <f t="shared" si="100"/>
        <v>ON1</v>
      </c>
      <c r="H3484" s="20" t="s">
        <v>20</v>
      </c>
      <c r="I3484" s="20" t="s">
        <v>294</v>
      </c>
      <c r="J3484" s="20" t="str">
        <f>""</f>
        <v/>
      </c>
      <c r="K3484" s="20" t="str">
        <f>"PFES1162674874_0001"</f>
        <v>PFES1162674874_0001</v>
      </c>
      <c r="L3484" s="20">
        <v>1</v>
      </c>
      <c r="M3484" s="20">
        <v>1</v>
      </c>
    </row>
    <row r="3485" spans="1:13">
      <c r="A3485" s="6">
        <v>43521</v>
      </c>
      <c r="B3485" s="7">
        <v>0.59930555555555554</v>
      </c>
      <c r="C3485" s="20" t="str">
        <f>"FES1162674878"</f>
        <v>FES1162674878</v>
      </c>
      <c r="D3485" s="20" t="s">
        <v>18</v>
      </c>
      <c r="E3485" s="20" t="s">
        <v>335</v>
      </c>
      <c r="F3485" s="20" t="str">
        <f>"2170674810 "</f>
        <v xml:space="preserve">2170674810 </v>
      </c>
      <c r="G3485" s="20" t="str">
        <f t="shared" si="100"/>
        <v>ON1</v>
      </c>
      <c r="H3485" s="20" t="s">
        <v>20</v>
      </c>
      <c r="I3485" s="20" t="s">
        <v>336</v>
      </c>
      <c r="J3485" s="20" t="str">
        <f>""</f>
        <v/>
      </c>
      <c r="K3485" s="20" t="str">
        <f>"PFES1162674878_0001"</f>
        <v>PFES1162674878_0001</v>
      </c>
      <c r="L3485" s="20">
        <v>1</v>
      </c>
      <c r="M3485" s="20">
        <v>1</v>
      </c>
    </row>
    <row r="3486" spans="1:13">
      <c r="A3486" s="6">
        <v>43521</v>
      </c>
      <c r="B3486" s="7">
        <v>0.59930555555555554</v>
      </c>
      <c r="C3486" s="20" t="str">
        <f>"FES1162674993"</f>
        <v>FES1162674993</v>
      </c>
      <c r="D3486" s="20" t="s">
        <v>18</v>
      </c>
      <c r="E3486" s="20" t="s">
        <v>78</v>
      </c>
      <c r="F3486" s="20" t="str">
        <f>"2170673728 "</f>
        <v xml:space="preserve">2170673728 </v>
      </c>
      <c r="G3486" s="20" t="str">
        <f t="shared" si="100"/>
        <v>ON1</v>
      </c>
      <c r="H3486" s="20" t="s">
        <v>20</v>
      </c>
      <c r="I3486" s="20" t="s">
        <v>79</v>
      </c>
      <c r="J3486" s="20" t="str">
        <f>""</f>
        <v/>
      </c>
      <c r="K3486" s="20" t="str">
        <f>"PFES1162674993_0001"</f>
        <v>PFES1162674993_0001</v>
      </c>
      <c r="L3486" s="20">
        <v>1</v>
      </c>
      <c r="M3486" s="20">
        <v>1</v>
      </c>
    </row>
    <row r="3487" spans="1:13">
      <c r="A3487" s="6">
        <v>43521</v>
      </c>
      <c r="B3487" s="7">
        <v>0.59861111111111109</v>
      </c>
      <c r="C3487" s="20" t="str">
        <f>"FES1162674883"</f>
        <v>FES1162674883</v>
      </c>
      <c r="D3487" s="20" t="s">
        <v>18</v>
      </c>
      <c r="E3487" s="20" t="s">
        <v>245</v>
      </c>
      <c r="F3487" s="20" t="str">
        <f>"2170675201 "</f>
        <v xml:space="preserve">2170675201 </v>
      </c>
      <c r="G3487" s="20" t="str">
        <f t="shared" si="100"/>
        <v>ON1</v>
      </c>
      <c r="H3487" s="20" t="s">
        <v>20</v>
      </c>
      <c r="I3487" s="20" t="s">
        <v>89</v>
      </c>
      <c r="J3487" s="20" t="str">
        <f>""</f>
        <v/>
      </c>
      <c r="K3487" s="20" t="str">
        <f>"PFES1162674883_0001"</f>
        <v>PFES1162674883_0001</v>
      </c>
      <c r="L3487" s="20">
        <v>1</v>
      </c>
      <c r="M3487" s="20">
        <v>1</v>
      </c>
    </row>
    <row r="3488" spans="1:13">
      <c r="A3488" s="6">
        <v>43521</v>
      </c>
      <c r="B3488" s="7">
        <v>0.59861111111111109</v>
      </c>
      <c r="C3488" s="20" t="str">
        <f>"FES1162674877"</f>
        <v>FES1162674877</v>
      </c>
      <c r="D3488" s="20" t="s">
        <v>18</v>
      </c>
      <c r="E3488" s="20" t="s">
        <v>464</v>
      </c>
      <c r="F3488" s="20" t="str">
        <f>"2170674801 "</f>
        <v xml:space="preserve">2170674801 </v>
      </c>
      <c r="G3488" s="20" t="str">
        <f t="shared" si="100"/>
        <v>ON1</v>
      </c>
      <c r="H3488" s="20" t="s">
        <v>20</v>
      </c>
      <c r="I3488" s="20" t="s">
        <v>465</v>
      </c>
      <c r="J3488" s="20" t="str">
        <f>""</f>
        <v/>
      </c>
      <c r="K3488" s="20" t="str">
        <f>"PFES1162674877_0001"</f>
        <v>PFES1162674877_0001</v>
      </c>
      <c r="L3488" s="20">
        <v>1</v>
      </c>
      <c r="M3488" s="20">
        <v>1</v>
      </c>
    </row>
    <row r="3489" spans="1:13">
      <c r="A3489" s="6">
        <v>43521</v>
      </c>
      <c r="B3489" s="7">
        <v>0.59791666666666665</v>
      </c>
      <c r="C3489" s="20" t="str">
        <f>"FES1162674861"</f>
        <v>FES1162674861</v>
      </c>
      <c r="D3489" s="20" t="s">
        <v>18</v>
      </c>
      <c r="E3489" s="20" t="s">
        <v>293</v>
      </c>
      <c r="F3489" s="20" t="str">
        <f>"2170673304 "</f>
        <v xml:space="preserve">2170673304 </v>
      </c>
      <c r="G3489" s="20" t="str">
        <f t="shared" si="100"/>
        <v>ON1</v>
      </c>
      <c r="H3489" s="20" t="s">
        <v>20</v>
      </c>
      <c r="I3489" s="20" t="s">
        <v>327</v>
      </c>
      <c r="J3489" s="20" t="str">
        <f>""</f>
        <v/>
      </c>
      <c r="K3489" s="20" t="str">
        <f>"PFES1162674861_0001"</f>
        <v>PFES1162674861_0001</v>
      </c>
      <c r="L3489" s="20">
        <v>1</v>
      </c>
      <c r="M3489" s="20">
        <v>1</v>
      </c>
    </row>
    <row r="3490" spans="1:13">
      <c r="A3490" s="6">
        <v>43521</v>
      </c>
      <c r="B3490" s="7">
        <v>0.59791666666666665</v>
      </c>
      <c r="C3490" s="20" t="str">
        <f>"FES1162675121"</f>
        <v>FES1162675121</v>
      </c>
      <c r="D3490" s="20" t="s">
        <v>18</v>
      </c>
      <c r="E3490" s="20" t="s">
        <v>425</v>
      </c>
      <c r="F3490" s="20" t="str">
        <f>"2170676089 "</f>
        <v xml:space="preserve">2170676089 </v>
      </c>
      <c r="G3490" s="20" t="str">
        <f t="shared" si="100"/>
        <v>ON1</v>
      </c>
      <c r="H3490" s="20" t="s">
        <v>20</v>
      </c>
      <c r="I3490" s="20" t="s">
        <v>213</v>
      </c>
      <c r="J3490" s="20" t="str">
        <f>""</f>
        <v/>
      </c>
      <c r="K3490" s="20" t="str">
        <f>"PFES1162675121_0001"</f>
        <v>PFES1162675121_0001</v>
      </c>
      <c r="L3490" s="20">
        <v>1</v>
      </c>
      <c r="M3490" s="20">
        <v>1</v>
      </c>
    </row>
    <row r="3491" spans="1:13">
      <c r="A3491" s="6">
        <v>43521</v>
      </c>
      <c r="B3491" s="7">
        <v>0.59791666666666665</v>
      </c>
      <c r="C3491" s="20" t="str">
        <f>"FES1162675128"</f>
        <v>FES1162675128</v>
      </c>
      <c r="D3491" s="20" t="s">
        <v>18</v>
      </c>
      <c r="E3491" s="20" t="s">
        <v>672</v>
      </c>
      <c r="F3491" s="20" t="str">
        <f>"2170676102 "</f>
        <v xml:space="preserve">2170676102 </v>
      </c>
      <c r="G3491" s="20" t="str">
        <f t="shared" si="100"/>
        <v>ON1</v>
      </c>
      <c r="H3491" s="20" t="s">
        <v>20</v>
      </c>
      <c r="I3491" s="20" t="s">
        <v>31</v>
      </c>
      <c r="J3491" s="20" t="str">
        <f>""</f>
        <v/>
      </c>
      <c r="K3491" s="20" t="str">
        <f>"PFES1162675128_0001"</f>
        <v>PFES1162675128_0001</v>
      </c>
      <c r="L3491" s="20">
        <v>1</v>
      </c>
      <c r="M3491" s="20">
        <v>1</v>
      </c>
    </row>
    <row r="3492" spans="1:13">
      <c r="A3492" s="6">
        <v>43521</v>
      </c>
      <c r="B3492" s="7">
        <v>0.59722222222222221</v>
      </c>
      <c r="C3492" s="20" t="str">
        <f>"FES1162675092"</f>
        <v>FES1162675092</v>
      </c>
      <c r="D3492" s="20" t="s">
        <v>18</v>
      </c>
      <c r="E3492" s="20" t="s">
        <v>160</v>
      </c>
      <c r="F3492" s="20" t="str">
        <f>"2170676052 "</f>
        <v xml:space="preserve">2170676052 </v>
      </c>
      <c r="G3492" s="20" t="str">
        <f t="shared" si="100"/>
        <v>ON1</v>
      </c>
      <c r="H3492" s="20" t="s">
        <v>20</v>
      </c>
      <c r="I3492" s="20" t="s">
        <v>161</v>
      </c>
      <c r="J3492" s="20" t="str">
        <f>""</f>
        <v/>
      </c>
      <c r="K3492" s="20" t="str">
        <f>"PFES1162675092_0001"</f>
        <v>PFES1162675092_0001</v>
      </c>
      <c r="L3492" s="20">
        <v>1</v>
      </c>
      <c r="M3492" s="20">
        <v>1</v>
      </c>
    </row>
    <row r="3493" spans="1:13">
      <c r="A3493" s="6">
        <v>43521</v>
      </c>
      <c r="B3493" s="7">
        <v>0.59722222222222221</v>
      </c>
      <c r="C3493" s="20" t="str">
        <f>"FES1162675093"</f>
        <v>FES1162675093</v>
      </c>
      <c r="D3493" s="20" t="s">
        <v>18</v>
      </c>
      <c r="E3493" s="20" t="s">
        <v>160</v>
      </c>
      <c r="F3493" s="20" t="str">
        <f>"2170676053 "</f>
        <v xml:space="preserve">2170676053 </v>
      </c>
      <c r="G3493" s="20" t="str">
        <f t="shared" si="100"/>
        <v>ON1</v>
      </c>
      <c r="H3493" s="20" t="s">
        <v>20</v>
      </c>
      <c r="I3493" s="20" t="s">
        <v>161</v>
      </c>
      <c r="J3493" s="20" t="str">
        <f>""</f>
        <v/>
      </c>
      <c r="K3493" s="20" t="str">
        <f>"PFES1162675093_0001"</f>
        <v>PFES1162675093_0001</v>
      </c>
      <c r="L3493" s="20">
        <v>1</v>
      </c>
      <c r="M3493" s="20">
        <v>1</v>
      </c>
    </row>
    <row r="3494" spans="1:13">
      <c r="A3494" s="6">
        <v>43521</v>
      </c>
      <c r="B3494" s="7">
        <v>0.59652777777777777</v>
      </c>
      <c r="C3494" s="20" t="str">
        <f>"FES1162674997"</f>
        <v>FES1162674997</v>
      </c>
      <c r="D3494" s="20" t="s">
        <v>18</v>
      </c>
      <c r="E3494" s="20" t="s">
        <v>249</v>
      </c>
      <c r="F3494" s="20" t="str">
        <f>"2170673839 "</f>
        <v xml:space="preserve">2170673839 </v>
      </c>
      <c r="G3494" s="20" t="str">
        <f t="shared" si="100"/>
        <v>ON1</v>
      </c>
      <c r="H3494" s="20" t="s">
        <v>20</v>
      </c>
      <c r="I3494" s="20" t="s">
        <v>29</v>
      </c>
      <c r="J3494" s="20" t="str">
        <f>""</f>
        <v/>
      </c>
      <c r="K3494" s="20" t="str">
        <f>"PFES1162674997_0001"</f>
        <v>PFES1162674997_0001</v>
      </c>
      <c r="L3494" s="20">
        <v>1</v>
      </c>
      <c r="M3494" s="20">
        <v>1</v>
      </c>
    </row>
    <row r="3495" spans="1:13">
      <c r="A3495" s="6">
        <v>43521</v>
      </c>
      <c r="B3495" s="7">
        <v>0.59652777777777777</v>
      </c>
      <c r="C3495" s="20" t="str">
        <f>"FES1162674873"</f>
        <v>FES1162674873</v>
      </c>
      <c r="D3495" s="20" t="s">
        <v>18</v>
      </c>
      <c r="E3495" s="20" t="s">
        <v>335</v>
      </c>
      <c r="F3495" s="20" t="str">
        <f>"2170674546 "</f>
        <v xml:space="preserve">2170674546 </v>
      </c>
      <c r="G3495" s="20" t="str">
        <f t="shared" si="100"/>
        <v>ON1</v>
      </c>
      <c r="H3495" s="20" t="s">
        <v>20</v>
      </c>
      <c r="I3495" s="20" t="s">
        <v>336</v>
      </c>
      <c r="J3495" s="20" t="str">
        <f>""</f>
        <v/>
      </c>
      <c r="K3495" s="20" t="str">
        <f>"PFES1162674873_0001"</f>
        <v>PFES1162674873_0001</v>
      </c>
      <c r="L3495" s="20">
        <v>1</v>
      </c>
      <c r="M3495" s="20">
        <v>1</v>
      </c>
    </row>
    <row r="3496" spans="1:13">
      <c r="A3496" s="6">
        <v>43521</v>
      </c>
      <c r="B3496" s="7">
        <v>0.59583333333333333</v>
      </c>
      <c r="C3496" s="20" t="str">
        <f>"FES1162674920"</f>
        <v>FES1162674920</v>
      </c>
      <c r="D3496" s="20" t="s">
        <v>18</v>
      </c>
      <c r="E3496" s="20" t="s">
        <v>295</v>
      </c>
      <c r="F3496" s="20" t="str">
        <f>"2170675969 "</f>
        <v xml:space="preserve">2170675969 </v>
      </c>
      <c r="G3496" s="20" t="str">
        <f t="shared" si="100"/>
        <v>ON1</v>
      </c>
      <c r="H3496" s="20" t="s">
        <v>20</v>
      </c>
      <c r="I3496" s="20" t="s">
        <v>53</v>
      </c>
      <c r="J3496" s="20" t="str">
        <f>""</f>
        <v/>
      </c>
      <c r="K3496" s="20" t="str">
        <f>"PFES1162674920_0001"</f>
        <v>PFES1162674920_0001</v>
      </c>
      <c r="L3496" s="20">
        <v>1</v>
      </c>
      <c r="M3496" s="20">
        <v>1</v>
      </c>
    </row>
    <row r="3497" spans="1:13">
      <c r="A3497" s="6">
        <v>43521</v>
      </c>
      <c r="B3497" s="7">
        <v>0.59583333333333333</v>
      </c>
      <c r="C3497" s="20" t="str">
        <f>"FES1162675033"</f>
        <v>FES1162675033</v>
      </c>
      <c r="D3497" s="20" t="s">
        <v>18</v>
      </c>
      <c r="E3497" s="20" t="s">
        <v>1149</v>
      </c>
      <c r="F3497" s="20" t="str">
        <f>"217067614 "</f>
        <v xml:space="preserve">217067614 </v>
      </c>
      <c r="G3497" s="20" t="str">
        <f t="shared" si="100"/>
        <v>ON1</v>
      </c>
      <c r="H3497" s="20" t="s">
        <v>20</v>
      </c>
      <c r="I3497" s="20" t="s">
        <v>1150</v>
      </c>
      <c r="J3497" s="20" t="str">
        <f>""</f>
        <v/>
      </c>
      <c r="K3497" s="20" t="str">
        <f>"PFES1162675033_0001"</f>
        <v>PFES1162675033_0001</v>
      </c>
      <c r="L3497" s="20">
        <v>1</v>
      </c>
      <c r="M3497" s="20">
        <v>3</v>
      </c>
    </row>
    <row r="3498" spans="1:13">
      <c r="A3498" s="6">
        <v>43521</v>
      </c>
      <c r="B3498" s="7">
        <v>0.59583333333333333</v>
      </c>
      <c r="C3498" s="20" t="str">
        <f>"FES1162674887"</f>
        <v>FES1162674887</v>
      </c>
      <c r="D3498" s="20" t="s">
        <v>18</v>
      </c>
      <c r="E3498" s="20" t="s">
        <v>178</v>
      </c>
      <c r="F3498" s="20" t="str">
        <f>"2170675927 "</f>
        <v xml:space="preserve">2170675927 </v>
      </c>
      <c r="G3498" s="20" t="str">
        <f t="shared" si="100"/>
        <v>ON1</v>
      </c>
      <c r="H3498" s="20" t="s">
        <v>20</v>
      </c>
      <c r="I3498" s="20" t="s">
        <v>103</v>
      </c>
      <c r="J3498" s="20" t="str">
        <f>""</f>
        <v/>
      </c>
      <c r="K3498" s="20" t="str">
        <f>"PFES1162674887_0001"</f>
        <v>PFES1162674887_0001</v>
      </c>
      <c r="L3498" s="20">
        <v>1</v>
      </c>
      <c r="M3498" s="20">
        <v>1</v>
      </c>
    </row>
    <row r="3499" spans="1:13">
      <c r="A3499" s="6">
        <v>43521</v>
      </c>
      <c r="B3499" s="7">
        <v>0.59513888888888888</v>
      </c>
      <c r="C3499" s="20" t="str">
        <f>"FES1162674939"</f>
        <v>FES1162674939</v>
      </c>
      <c r="D3499" s="20" t="s">
        <v>18</v>
      </c>
      <c r="E3499" s="20" t="s">
        <v>335</v>
      </c>
      <c r="F3499" s="20" t="str">
        <f>"2170669908 "</f>
        <v xml:space="preserve">2170669908 </v>
      </c>
      <c r="G3499" s="20" t="str">
        <f t="shared" si="100"/>
        <v>ON1</v>
      </c>
      <c r="H3499" s="20" t="s">
        <v>20</v>
      </c>
      <c r="I3499" s="20" t="s">
        <v>336</v>
      </c>
      <c r="J3499" s="20" t="str">
        <f>""</f>
        <v/>
      </c>
      <c r="K3499" s="20" t="str">
        <f>"PFES1162674939_0001"</f>
        <v>PFES1162674939_0001</v>
      </c>
      <c r="L3499" s="20">
        <v>1</v>
      </c>
      <c r="M3499" s="20">
        <v>1</v>
      </c>
    </row>
    <row r="3500" spans="1:13">
      <c r="A3500" s="6">
        <v>43521</v>
      </c>
      <c r="B3500" s="7">
        <v>0.59513888888888888</v>
      </c>
      <c r="C3500" s="20" t="str">
        <f>"FES1162674888"</f>
        <v>FES1162674888</v>
      </c>
      <c r="D3500" s="20" t="s">
        <v>18</v>
      </c>
      <c r="E3500" s="20" t="s">
        <v>299</v>
      </c>
      <c r="F3500" s="20" t="str">
        <f>"2170675928 "</f>
        <v xml:space="preserve">2170675928 </v>
      </c>
      <c r="G3500" s="20" t="str">
        <f t="shared" si="100"/>
        <v>ON1</v>
      </c>
      <c r="H3500" s="20" t="s">
        <v>20</v>
      </c>
      <c r="I3500" s="20" t="s">
        <v>43</v>
      </c>
      <c r="J3500" s="20" t="str">
        <f>""</f>
        <v/>
      </c>
      <c r="K3500" s="20" t="str">
        <f>"PFES1162674888_0001"</f>
        <v>PFES1162674888_0001</v>
      </c>
      <c r="L3500" s="20">
        <v>1</v>
      </c>
      <c r="M3500" s="20">
        <v>1</v>
      </c>
    </row>
    <row r="3501" spans="1:13">
      <c r="A3501" s="6">
        <v>43521</v>
      </c>
      <c r="B3501" s="7">
        <v>0.59444444444444444</v>
      </c>
      <c r="C3501" s="20" t="str">
        <f>"FES1162674857"</f>
        <v>FES1162674857</v>
      </c>
      <c r="D3501" s="20" t="s">
        <v>18</v>
      </c>
      <c r="E3501" s="20" t="s">
        <v>1151</v>
      </c>
      <c r="F3501" s="20" t="str">
        <f>"2170673008 "</f>
        <v xml:space="preserve">2170673008 </v>
      </c>
      <c r="G3501" s="20" t="str">
        <f t="shared" si="100"/>
        <v>ON1</v>
      </c>
      <c r="H3501" s="20" t="s">
        <v>20</v>
      </c>
      <c r="I3501" s="20" t="s">
        <v>63</v>
      </c>
      <c r="J3501" s="20" t="str">
        <f>""</f>
        <v/>
      </c>
      <c r="K3501" s="20" t="str">
        <f>"PFES1162674857_0001"</f>
        <v>PFES1162674857_0001</v>
      </c>
      <c r="L3501" s="20">
        <v>1</v>
      </c>
      <c r="M3501" s="20">
        <v>2</v>
      </c>
    </row>
    <row r="3502" spans="1:13">
      <c r="A3502" s="6">
        <v>43521</v>
      </c>
      <c r="B3502" s="7">
        <v>0.59444444444444444</v>
      </c>
      <c r="C3502" s="20" t="str">
        <f>"FES1162674981"</f>
        <v>FES1162674981</v>
      </c>
      <c r="D3502" s="20" t="s">
        <v>18</v>
      </c>
      <c r="E3502" s="20" t="s">
        <v>19</v>
      </c>
      <c r="F3502" s="20" t="str">
        <f>"2170673542 "</f>
        <v xml:space="preserve">2170673542 </v>
      </c>
      <c r="G3502" s="20" t="str">
        <f t="shared" si="100"/>
        <v>ON1</v>
      </c>
      <c r="H3502" s="20" t="s">
        <v>20</v>
      </c>
      <c r="I3502" s="20" t="s">
        <v>21</v>
      </c>
      <c r="J3502" s="20" t="str">
        <f>""</f>
        <v/>
      </c>
      <c r="K3502" s="20" t="str">
        <f>"PFES1162674981_0001"</f>
        <v>PFES1162674981_0001</v>
      </c>
      <c r="L3502" s="20">
        <v>1</v>
      </c>
      <c r="M3502" s="20">
        <v>1</v>
      </c>
    </row>
    <row r="3503" spans="1:13">
      <c r="A3503" s="6">
        <v>43521</v>
      </c>
      <c r="B3503" s="7">
        <v>0.59375</v>
      </c>
      <c r="C3503" s="20" t="str">
        <f>"FES1162675032"</f>
        <v>FES1162675032</v>
      </c>
      <c r="D3503" s="20" t="s">
        <v>18</v>
      </c>
      <c r="E3503" s="20" t="s">
        <v>749</v>
      </c>
      <c r="F3503" s="20" t="str">
        <f>"2170676012 "</f>
        <v xml:space="preserve">2170676012 </v>
      </c>
      <c r="G3503" s="20" t="str">
        <f t="shared" si="100"/>
        <v>ON1</v>
      </c>
      <c r="H3503" s="20" t="s">
        <v>20</v>
      </c>
      <c r="I3503" s="20" t="s">
        <v>239</v>
      </c>
      <c r="J3503" s="20" t="str">
        <f>""</f>
        <v/>
      </c>
      <c r="K3503" s="20" t="str">
        <f>"PFES1162675032_0001"</f>
        <v>PFES1162675032_0001</v>
      </c>
      <c r="L3503" s="20">
        <v>1</v>
      </c>
      <c r="M3503" s="20">
        <v>1</v>
      </c>
    </row>
    <row r="3504" spans="1:13">
      <c r="A3504" s="6">
        <v>43521</v>
      </c>
      <c r="B3504" s="7">
        <v>0.59375</v>
      </c>
      <c r="C3504" s="20" t="str">
        <f>"FES1162675049"</f>
        <v>FES1162675049</v>
      </c>
      <c r="D3504" s="20" t="s">
        <v>18</v>
      </c>
      <c r="E3504" s="20" t="s">
        <v>516</v>
      </c>
      <c r="F3504" s="20" t="str">
        <f>"2170674906 "</f>
        <v xml:space="preserve">2170674906 </v>
      </c>
      <c r="G3504" s="20" t="str">
        <f t="shared" si="100"/>
        <v>ON1</v>
      </c>
      <c r="H3504" s="20" t="s">
        <v>20</v>
      </c>
      <c r="I3504" s="20" t="s">
        <v>237</v>
      </c>
      <c r="J3504" s="20" t="str">
        <f>""</f>
        <v/>
      </c>
      <c r="K3504" s="20" t="str">
        <f>"PFES1162675049_0001"</f>
        <v>PFES1162675049_0001</v>
      </c>
      <c r="L3504" s="20">
        <v>1</v>
      </c>
      <c r="M3504" s="20">
        <v>1</v>
      </c>
    </row>
    <row r="3505" spans="1:13">
      <c r="A3505" s="6">
        <v>43521</v>
      </c>
      <c r="B3505" s="7">
        <v>0.59305555555555556</v>
      </c>
      <c r="C3505" s="20" t="str">
        <f>"FES1162675009"</f>
        <v>FES1162675009</v>
      </c>
      <c r="D3505" s="20" t="s">
        <v>18</v>
      </c>
      <c r="E3505" s="20" t="s">
        <v>1152</v>
      </c>
      <c r="F3505" s="20" t="str">
        <f>"2170673956 "</f>
        <v xml:space="preserve">2170673956 </v>
      </c>
      <c r="G3505" s="20" t="str">
        <f t="shared" si="100"/>
        <v>ON1</v>
      </c>
      <c r="H3505" s="20" t="s">
        <v>20</v>
      </c>
      <c r="I3505" s="20" t="s">
        <v>239</v>
      </c>
      <c r="J3505" s="20" t="str">
        <f>""</f>
        <v/>
      </c>
      <c r="K3505" s="20" t="str">
        <f>"PFES1162675009_0001"</f>
        <v>PFES1162675009_0001</v>
      </c>
      <c r="L3505" s="20">
        <v>1</v>
      </c>
      <c r="M3505" s="20">
        <v>1</v>
      </c>
    </row>
    <row r="3506" spans="1:13">
      <c r="A3506" s="6">
        <v>43521</v>
      </c>
      <c r="B3506" s="7">
        <v>0.59305555555555556</v>
      </c>
      <c r="C3506" s="20" t="str">
        <f>"FES1162674990"</f>
        <v>FES1162674990</v>
      </c>
      <c r="D3506" s="20" t="s">
        <v>18</v>
      </c>
      <c r="E3506" s="20" t="s">
        <v>837</v>
      </c>
      <c r="F3506" s="20" t="str">
        <f>"2170673655 "</f>
        <v xml:space="preserve">2170673655 </v>
      </c>
      <c r="G3506" s="20" t="str">
        <f t="shared" si="100"/>
        <v>ON1</v>
      </c>
      <c r="H3506" s="20" t="s">
        <v>20</v>
      </c>
      <c r="I3506" s="20" t="s">
        <v>838</v>
      </c>
      <c r="J3506" s="20" t="str">
        <f>""</f>
        <v/>
      </c>
      <c r="K3506" s="20" t="str">
        <f>"PFES1162674990_0001"</f>
        <v>PFES1162674990_0001</v>
      </c>
      <c r="L3506" s="20">
        <v>1</v>
      </c>
      <c r="M3506" s="20">
        <v>1</v>
      </c>
    </row>
    <row r="3507" spans="1:13">
      <c r="A3507" s="6">
        <v>43521</v>
      </c>
      <c r="B3507" s="7">
        <v>0.59236111111111112</v>
      </c>
      <c r="C3507" s="20" t="str">
        <f>"FES1162673886"</f>
        <v>FES1162673886</v>
      </c>
      <c r="D3507" s="20" t="s">
        <v>18</v>
      </c>
      <c r="E3507" s="20" t="s">
        <v>722</v>
      </c>
      <c r="F3507" s="20" t="str">
        <f>"2170674969 "</f>
        <v xml:space="preserve">2170674969 </v>
      </c>
      <c r="G3507" s="20" t="str">
        <f t="shared" si="100"/>
        <v>ON1</v>
      </c>
      <c r="H3507" s="20" t="s">
        <v>20</v>
      </c>
      <c r="I3507" s="20" t="s">
        <v>723</v>
      </c>
      <c r="J3507" s="20" t="str">
        <f>""</f>
        <v/>
      </c>
      <c r="K3507" s="20" t="str">
        <f>"PFES1162673886_0001"</f>
        <v>PFES1162673886_0001</v>
      </c>
      <c r="L3507" s="20">
        <v>1</v>
      </c>
      <c r="M3507" s="20">
        <v>1</v>
      </c>
    </row>
    <row r="3508" spans="1:13">
      <c r="A3508" s="6">
        <v>43521</v>
      </c>
      <c r="B3508" s="7">
        <v>0.59236111111111112</v>
      </c>
      <c r="C3508" s="20" t="str">
        <f>"FES1162674937"</f>
        <v>FES1162674937</v>
      </c>
      <c r="D3508" s="20" t="s">
        <v>18</v>
      </c>
      <c r="E3508" s="20" t="s">
        <v>323</v>
      </c>
      <c r="F3508" s="20" t="str">
        <f>"2170675993 "</f>
        <v xml:space="preserve">2170675993 </v>
      </c>
      <c r="G3508" s="20" t="str">
        <f t="shared" si="100"/>
        <v>ON1</v>
      </c>
      <c r="H3508" s="20" t="s">
        <v>20</v>
      </c>
      <c r="I3508" s="20" t="s">
        <v>324</v>
      </c>
      <c r="J3508" s="20" t="str">
        <f>""</f>
        <v/>
      </c>
      <c r="K3508" s="20" t="str">
        <f>"PFES1162674937_0001"</f>
        <v>PFES1162674937_0001</v>
      </c>
      <c r="L3508" s="20">
        <v>1</v>
      </c>
      <c r="M3508" s="20">
        <v>1</v>
      </c>
    </row>
    <row r="3509" spans="1:13">
      <c r="A3509" s="6">
        <v>43521</v>
      </c>
      <c r="B3509" s="7">
        <v>0.59166666666666667</v>
      </c>
      <c r="C3509" s="20" t="str">
        <f>"FES1162674865"</f>
        <v>FES1162674865</v>
      </c>
      <c r="D3509" s="20" t="s">
        <v>18</v>
      </c>
      <c r="E3509" s="20" t="s">
        <v>19</v>
      </c>
      <c r="F3509" s="20" t="str">
        <f>"2170674093 "</f>
        <v xml:space="preserve">2170674093 </v>
      </c>
      <c r="G3509" s="20" t="str">
        <f t="shared" si="100"/>
        <v>ON1</v>
      </c>
      <c r="H3509" s="20" t="s">
        <v>20</v>
      </c>
      <c r="I3509" s="20" t="s">
        <v>21</v>
      </c>
      <c r="J3509" s="20" t="str">
        <f>""</f>
        <v/>
      </c>
      <c r="K3509" s="20" t="str">
        <f>"PFES1162674865_0001"</f>
        <v>PFES1162674865_0001</v>
      </c>
      <c r="L3509" s="20">
        <v>1</v>
      </c>
      <c r="M3509" s="20">
        <v>1</v>
      </c>
    </row>
    <row r="3510" spans="1:13">
      <c r="A3510" s="6">
        <v>43521</v>
      </c>
      <c r="B3510" s="7">
        <v>0.59166666666666667</v>
      </c>
      <c r="C3510" s="20" t="str">
        <f>"FES1162674962"</f>
        <v>FES1162674962</v>
      </c>
      <c r="D3510" s="20" t="s">
        <v>18</v>
      </c>
      <c r="E3510" s="20" t="s">
        <v>746</v>
      </c>
      <c r="F3510" s="20" t="str">
        <f>"2170673365 "</f>
        <v xml:space="preserve">2170673365 </v>
      </c>
      <c r="G3510" s="20" t="str">
        <f t="shared" si="100"/>
        <v>ON1</v>
      </c>
      <c r="H3510" s="20" t="s">
        <v>20</v>
      </c>
      <c r="I3510" s="20" t="s">
        <v>747</v>
      </c>
      <c r="J3510" s="20" t="str">
        <f>""</f>
        <v/>
      </c>
      <c r="K3510" s="20" t="str">
        <f>"PFES1162674962_0001"</f>
        <v>PFES1162674962_0001</v>
      </c>
      <c r="L3510" s="20">
        <v>1</v>
      </c>
      <c r="M3510" s="20">
        <v>1</v>
      </c>
    </row>
    <row r="3511" spans="1:13">
      <c r="A3511" s="6">
        <v>43521</v>
      </c>
      <c r="B3511" s="7">
        <v>0.59166666666666667</v>
      </c>
      <c r="C3511" s="20" t="str">
        <f>"FES1162674899"</f>
        <v>FES1162674899</v>
      </c>
      <c r="D3511" s="20" t="s">
        <v>18</v>
      </c>
      <c r="E3511" s="20" t="s">
        <v>299</v>
      </c>
      <c r="F3511" s="20" t="str">
        <f>"2170675953 "</f>
        <v xml:space="preserve">2170675953 </v>
      </c>
      <c r="G3511" s="20" t="str">
        <f t="shared" si="100"/>
        <v>ON1</v>
      </c>
      <c r="H3511" s="20" t="s">
        <v>20</v>
      </c>
      <c r="I3511" s="20" t="s">
        <v>43</v>
      </c>
      <c r="J3511" s="20" t="str">
        <f>""</f>
        <v/>
      </c>
      <c r="K3511" s="20" t="str">
        <f>"PFES1162674899_0001"</f>
        <v>PFES1162674899_0001</v>
      </c>
      <c r="L3511" s="20">
        <v>1</v>
      </c>
      <c r="M3511" s="20">
        <v>1</v>
      </c>
    </row>
    <row r="3512" spans="1:13">
      <c r="A3512" s="6">
        <v>43521</v>
      </c>
      <c r="B3512" s="7">
        <v>0.59097222222222223</v>
      </c>
      <c r="C3512" s="20" t="str">
        <f>"FES1162674954"</f>
        <v>FES1162674954</v>
      </c>
      <c r="D3512" s="20" t="s">
        <v>18</v>
      </c>
      <c r="E3512" s="20" t="s">
        <v>355</v>
      </c>
      <c r="F3512" s="20" t="str">
        <f>"2170672887 "</f>
        <v xml:space="preserve">2170672887 </v>
      </c>
      <c r="G3512" s="20" t="str">
        <f t="shared" si="100"/>
        <v>ON1</v>
      </c>
      <c r="H3512" s="20" t="s">
        <v>20</v>
      </c>
      <c r="I3512" s="20" t="s">
        <v>59</v>
      </c>
      <c r="J3512" s="20" t="str">
        <f>""</f>
        <v/>
      </c>
      <c r="K3512" s="20" t="str">
        <f>"PFES1162674954_0001"</f>
        <v>PFES1162674954_0001</v>
      </c>
      <c r="L3512" s="20">
        <v>1</v>
      </c>
      <c r="M3512" s="20">
        <v>1</v>
      </c>
    </row>
    <row r="3513" spans="1:13">
      <c r="A3513" s="6">
        <v>43521</v>
      </c>
      <c r="B3513" s="7">
        <v>0.59097222222222223</v>
      </c>
      <c r="C3513" s="20" t="str">
        <f>"FES1162675014"</f>
        <v>FES1162675014</v>
      </c>
      <c r="D3513" s="20" t="s">
        <v>18</v>
      </c>
      <c r="E3513" s="20" t="s">
        <v>857</v>
      </c>
      <c r="F3513" s="20" t="str">
        <f>"2170674237 "</f>
        <v xml:space="preserve">2170674237 </v>
      </c>
      <c r="G3513" s="20" t="str">
        <f t="shared" si="100"/>
        <v>ON1</v>
      </c>
      <c r="H3513" s="20" t="s">
        <v>20</v>
      </c>
      <c r="I3513" s="20" t="s">
        <v>353</v>
      </c>
      <c r="J3513" s="20" t="str">
        <f>""</f>
        <v/>
      </c>
      <c r="K3513" s="20" t="str">
        <f>"PFES1162675014_0001"</f>
        <v>PFES1162675014_0001</v>
      </c>
      <c r="L3513" s="20">
        <v>1</v>
      </c>
      <c r="M3513" s="20">
        <v>1</v>
      </c>
    </row>
    <row r="3514" spans="1:13">
      <c r="A3514" s="6">
        <v>43521</v>
      </c>
      <c r="B3514" s="7">
        <v>0.59097222222222223</v>
      </c>
      <c r="C3514" s="20" t="str">
        <f>"FES1162674851"</f>
        <v>FES1162674851</v>
      </c>
      <c r="D3514" s="20" t="s">
        <v>18</v>
      </c>
      <c r="E3514" s="20" t="s">
        <v>1153</v>
      </c>
      <c r="F3514" s="20" t="str">
        <f>"2170672405 "</f>
        <v xml:space="preserve">2170672405 </v>
      </c>
      <c r="G3514" s="20" t="str">
        <f t="shared" si="100"/>
        <v>ON1</v>
      </c>
      <c r="H3514" s="20" t="s">
        <v>20</v>
      </c>
      <c r="I3514" s="20" t="s">
        <v>239</v>
      </c>
      <c r="J3514" s="20" t="str">
        <f>""</f>
        <v/>
      </c>
      <c r="K3514" s="20" t="str">
        <f>"PFES1162674851_0001"</f>
        <v>PFES1162674851_0001</v>
      </c>
      <c r="L3514" s="20">
        <v>1</v>
      </c>
      <c r="M3514" s="20">
        <v>1</v>
      </c>
    </row>
    <row r="3515" spans="1:13">
      <c r="A3515" s="6">
        <v>43521</v>
      </c>
      <c r="B3515" s="7">
        <v>0.59027777777777779</v>
      </c>
      <c r="C3515" s="20" t="str">
        <f>"FES1162674994"</f>
        <v>FES1162674994</v>
      </c>
      <c r="D3515" s="20" t="s">
        <v>18</v>
      </c>
      <c r="E3515" s="20" t="s">
        <v>316</v>
      </c>
      <c r="F3515" s="20" t="str">
        <f>"2170673748 "</f>
        <v xml:space="preserve">2170673748 </v>
      </c>
      <c r="G3515" s="20" t="str">
        <f t="shared" si="100"/>
        <v>ON1</v>
      </c>
      <c r="H3515" s="20" t="s">
        <v>20</v>
      </c>
      <c r="I3515" s="20" t="s">
        <v>272</v>
      </c>
      <c r="J3515" s="20" t="str">
        <f>""</f>
        <v/>
      </c>
      <c r="K3515" s="20" t="str">
        <f>"PFES1162674994_0001"</f>
        <v>PFES1162674994_0001</v>
      </c>
      <c r="L3515" s="20">
        <v>1</v>
      </c>
      <c r="M3515" s="20">
        <v>1</v>
      </c>
    </row>
    <row r="3516" spans="1:13">
      <c r="A3516" s="6">
        <v>43521</v>
      </c>
      <c r="B3516" s="7">
        <v>0.59027777777777779</v>
      </c>
      <c r="C3516" s="20" t="str">
        <f>"FES1162675010"</f>
        <v>FES1162675010</v>
      </c>
      <c r="D3516" s="20" t="s">
        <v>18</v>
      </c>
      <c r="E3516" s="20" t="s">
        <v>900</v>
      </c>
      <c r="F3516" s="20" t="str">
        <f>"2170673993 "</f>
        <v xml:space="preserve">2170673993 </v>
      </c>
      <c r="G3516" s="20" t="str">
        <f t="shared" si="100"/>
        <v>ON1</v>
      </c>
      <c r="H3516" s="20" t="s">
        <v>20</v>
      </c>
      <c r="I3516" s="20" t="s">
        <v>23</v>
      </c>
      <c r="J3516" s="20" t="str">
        <f>""</f>
        <v/>
      </c>
      <c r="K3516" s="20" t="str">
        <f>"PFES1162675010_0001"</f>
        <v>PFES1162675010_0001</v>
      </c>
      <c r="L3516" s="20">
        <v>1</v>
      </c>
      <c r="M3516" s="20">
        <v>1</v>
      </c>
    </row>
    <row r="3517" spans="1:13">
      <c r="A3517" s="6">
        <v>43521</v>
      </c>
      <c r="B3517" s="7">
        <v>0.58958333333333335</v>
      </c>
      <c r="C3517" s="20" t="str">
        <f>"FES1162674956"</f>
        <v>FES1162674956</v>
      </c>
      <c r="D3517" s="20" t="s">
        <v>18</v>
      </c>
      <c r="E3517" s="20" t="s">
        <v>350</v>
      </c>
      <c r="F3517" s="20" t="str">
        <f>"2170673135 "</f>
        <v xml:space="preserve">2170673135 </v>
      </c>
      <c r="G3517" s="20" t="str">
        <f t="shared" si="100"/>
        <v>ON1</v>
      </c>
      <c r="H3517" s="20" t="s">
        <v>20</v>
      </c>
      <c r="I3517" s="20" t="s">
        <v>351</v>
      </c>
      <c r="J3517" s="20" t="str">
        <f>""</f>
        <v/>
      </c>
      <c r="K3517" s="20" t="str">
        <f>"PFES1162674956_0001"</f>
        <v>PFES1162674956_0001</v>
      </c>
      <c r="L3517" s="20">
        <v>1</v>
      </c>
      <c r="M3517" s="20">
        <v>2</v>
      </c>
    </row>
    <row r="3518" spans="1:13">
      <c r="A3518" s="6">
        <v>43521</v>
      </c>
      <c r="B3518" s="7">
        <v>0.58888888888888891</v>
      </c>
      <c r="C3518" s="20" t="str">
        <f>"FES1162674903"</f>
        <v>FES1162674903</v>
      </c>
      <c r="D3518" s="20" t="s">
        <v>18</v>
      </c>
      <c r="E3518" s="20" t="s">
        <v>1147</v>
      </c>
      <c r="F3518" s="20" t="str">
        <f>"2170663300 "</f>
        <v xml:space="preserve">2170663300 </v>
      </c>
      <c r="G3518" s="20" t="str">
        <f t="shared" si="100"/>
        <v>ON1</v>
      </c>
      <c r="H3518" s="20" t="s">
        <v>20</v>
      </c>
      <c r="I3518" s="20" t="s">
        <v>353</v>
      </c>
      <c r="J3518" s="20" t="str">
        <f>""</f>
        <v/>
      </c>
      <c r="K3518" s="20" t="str">
        <f>"PFES1162674903_0001"</f>
        <v>PFES1162674903_0001</v>
      </c>
      <c r="L3518" s="20">
        <v>1</v>
      </c>
      <c r="M3518" s="20">
        <v>9</v>
      </c>
    </row>
    <row r="3519" spans="1:13">
      <c r="A3519" s="6">
        <v>43521</v>
      </c>
      <c r="B3519" s="7">
        <v>0.58680555555555558</v>
      </c>
      <c r="C3519" s="20" t="str">
        <f>"FES1162674971"</f>
        <v>FES1162674971</v>
      </c>
      <c r="D3519" s="20" t="s">
        <v>18</v>
      </c>
      <c r="E3519" s="20" t="s">
        <v>670</v>
      </c>
      <c r="F3519" s="20" t="str">
        <f>"2170673466 "</f>
        <v xml:space="preserve">2170673466 </v>
      </c>
      <c r="G3519" s="20" t="str">
        <f t="shared" si="100"/>
        <v>ON1</v>
      </c>
      <c r="H3519" s="20" t="s">
        <v>20</v>
      </c>
      <c r="I3519" s="20" t="s">
        <v>213</v>
      </c>
      <c r="J3519" s="20" t="str">
        <f>""</f>
        <v/>
      </c>
      <c r="K3519" s="20" t="str">
        <f>"PFES1162674971_0001"</f>
        <v>PFES1162674971_0001</v>
      </c>
      <c r="L3519" s="20">
        <v>1</v>
      </c>
      <c r="M3519" s="20">
        <v>2</v>
      </c>
    </row>
    <row r="3520" spans="1:13">
      <c r="A3520" s="6">
        <v>43521</v>
      </c>
      <c r="B3520" s="7">
        <v>0.58472222222222225</v>
      </c>
      <c r="C3520" s="20" t="str">
        <f>"FES1162674836"</f>
        <v>FES1162674836</v>
      </c>
      <c r="D3520" s="20" t="s">
        <v>18</v>
      </c>
      <c r="E3520" s="20" t="s">
        <v>399</v>
      </c>
      <c r="F3520" s="20" t="str">
        <f>"2170669877 "</f>
        <v xml:space="preserve">2170669877 </v>
      </c>
      <c r="G3520" s="20" t="str">
        <f t="shared" si="100"/>
        <v>ON1</v>
      </c>
      <c r="H3520" s="20" t="s">
        <v>20</v>
      </c>
      <c r="I3520" s="20" t="s">
        <v>29</v>
      </c>
      <c r="J3520" s="20" t="str">
        <f>""</f>
        <v/>
      </c>
      <c r="K3520" s="20" t="str">
        <f>"PFES1162674836_0001"</f>
        <v>PFES1162674836_0001</v>
      </c>
      <c r="L3520" s="20">
        <v>1</v>
      </c>
      <c r="M3520" s="20">
        <v>3</v>
      </c>
    </row>
    <row r="3521" spans="1:13">
      <c r="A3521" s="6">
        <v>43521</v>
      </c>
      <c r="B3521" s="7">
        <v>0.58333333333333337</v>
      </c>
      <c r="C3521" s="20" t="str">
        <f>"FES1162674835"</f>
        <v>FES1162674835</v>
      </c>
      <c r="D3521" s="20" t="s">
        <v>18</v>
      </c>
      <c r="E3521" s="20" t="s">
        <v>178</v>
      </c>
      <c r="F3521" s="20" t="str">
        <f>"2170669822 "</f>
        <v xml:space="preserve">2170669822 </v>
      </c>
      <c r="G3521" s="20" t="str">
        <f t="shared" si="100"/>
        <v>ON1</v>
      </c>
      <c r="H3521" s="20" t="s">
        <v>20</v>
      </c>
      <c r="I3521" s="20" t="s">
        <v>29</v>
      </c>
      <c r="J3521" s="20" t="str">
        <f>""</f>
        <v/>
      </c>
      <c r="K3521" s="20" t="str">
        <f>"PFES1162674835_0001"</f>
        <v>PFES1162674835_0001</v>
      </c>
      <c r="L3521" s="20">
        <v>1</v>
      </c>
      <c r="M3521" s="20">
        <v>3</v>
      </c>
    </row>
    <row r="3522" spans="1:13">
      <c r="A3522" s="6">
        <v>43521</v>
      </c>
      <c r="B3522" s="7">
        <v>0.58194444444444449</v>
      </c>
      <c r="C3522" s="20" t="str">
        <f>"FES1162674950"</f>
        <v>FES1162674950</v>
      </c>
      <c r="D3522" s="20" t="s">
        <v>18</v>
      </c>
      <c r="E3522" s="20" t="s">
        <v>517</v>
      </c>
      <c r="F3522" s="20" t="str">
        <f>"2170672613 "</f>
        <v xml:space="preserve">2170672613 </v>
      </c>
      <c r="G3522" s="20" t="str">
        <f t="shared" si="100"/>
        <v>ON1</v>
      </c>
      <c r="H3522" s="20" t="s">
        <v>20</v>
      </c>
      <c r="I3522" s="20" t="s">
        <v>518</v>
      </c>
      <c r="J3522" s="20" t="str">
        <f>""</f>
        <v/>
      </c>
      <c r="K3522" s="20" t="str">
        <f>"PFES1162674950_0001"</f>
        <v>PFES1162674950_0001</v>
      </c>
      <c r="L3522" s="20">
        <v>1</v>
      </c>
      <c r="M3522" s="20">
        <v>2</v>
      </c>
    </row>
    <row r="3523" spans="1:13">
      <c r="A3523" s="6">
        <v>43521</v>
      </c>
      <c r="B3523" s="7">
        <v>0.58124999999999993</v>
      </c>
      <c r="C3523" s="20" t="str">
        <f>"FES1162674991"</f>
        <v>FES1162674991</v>
      </c>
      <c r="D3523" s="20" t="s">
        <v>18</v>
      </c>
      <c r="E3523" s="20" t="s">
        <v>140</v>
      </c>
      <c r="F3523" s="20" t="str">
        <f>"2170673670 "</f>
        <v xml:space="preserve">2170673670 </v>
      </c>
      <c r="G3523" s="20" t="str">
        <f t="shared" si="100"/>
        <v>ON1</v>
      </c>
      <c r="H3523" s="20" t="s">
        <v>20</v>
      </c>
      <c r="I3523" s="20" t="s">
        <v>141</v>
      </c>
      <c r="J3523" s="20" t="str">
        <f>""</f>
        <v/>
      </c>
      <c r="K3523" s="20" t="str">
        <f>"PFES1162674991_0001"</f>
        <v>PFES1162674991_0001</v>
      </c>
      <c r="L3523" s="20">
        <v>1</v>
      </c>
      <c r="M3523" s="20">
        <v>1</v>
      </c>
    </row>
    <row r="3524" spans="1:13">
      <c r="A3524" s="6">
        <v>43521</v>
      </c>
      <c r="B3524" s="7">
        <v>0.57986111111111105</v>
      </c>
      <c r="C3524" s="20" t="str">
        <f>"FES1162675008"</f>
        <v>FES1162675008</v>
      </c>
      <c r="D3524" s="20" t="s">
        <v>18</v>
      </c>
      <c r="E3524" s="20" t="s">
        <v>1154</v>
      </c>
      <c r="F3524" s="20" t="str">
        <f>"2170673949 "</f>
        <v xml:space="preserve">2170673949 </v>
      </c>
      <c r="G3524" s="20" t="str">
        <f t="shared" si="100"/>
        <v>ON1</v>
      </c>
      <c r="H3524" s="20" t="s">
        <v>20</v>
      </c>
      <c r="I3524" s="20" t="s">
        <v>70</v>
      </c>
      <c r="J3524" s="20" t="str">
        <f>""</f>
        <v/>
      </c>
      <c r="K3524" s="20" t="str">
        <f>"PFES1162675008_0001"</f>
        <v>PFES1162675008_0001</v>
      </c>
      <c r="L3524" s="20">
        <v>1</v>
      </c>
      <c r="M3524" s="20">
        <v>2</v>
      </c>
    </row>
    <row r="3525" spans="1:13">
      <c r="A3525" s="6">
        <v>43521</v>
      </c>
      <c r="B3525" s="7">
        <v>0.57777777777777783</v>
      </c>
      <c r="C3525" s="20" t="str">
        <f>"FES1162674918"</f>
        <v>FES1162674918</v>
      </c>
      <c r="D3525" s="20" t="s">
        <v>18</v>
      </c>
      <c r="E3525" s="20" t="s">
        <v>66</v>
      </c>
      <c r="F3525" s="20" t="str">
        <f>"2170675966 "</f>
        <v xml:space="preserve">2170675966 </v>
      </c>
      <c r="G3525" s="20" t="str">
        <f t="shared" si="100"/>
        <v>ON1</v>
      </c>
      <c r="H3525" s="20" t="s">
        <v>20</v>
      </c>
      <c r="I3525" s="20" t="s">
        <v>67</v>
      </c>
      <c r="J3525" s="20" t="str">
        <f>""</f>
        <v/>
      </c>
      <c r="K3525" s="20" t="str">
        <f>"PFES1162674918_0001"</f>
        <v>PFES1162674918_0001</v>
      </c>
      <c r="L3525" s="20">
        <v>1</v>
      </c>
      <c r="M3525" s="20">
        <v>2</v>
      </c>
    </row>
    <row r="3526" spans="1:13">
      <c r="A3526" s="6">
        <v>43521</v>
      </c>
      <c r="B3526" s="7">
        <v>0.5756944444444444</v>
      </c>
      <c r="C3526" s="20" t="str">
        <f>"FES1162675015"</f>
        <v>FES1162675015</v>
      </c>
      <c r="D3526" s="20" t="s">
        <v>18</v>
      </c>
      <c r="E3526" s="20" t="s">
        <v>943</v>
      </c>
      <c r="F3526" s="20" t="str">
        <f>"2170674287 "</f>
        <v xml:space="preserve">2170674287 </v>
      </c>
      <c r="G3526" s="20" t="str">
        <f t="shared" si="100"/>
        <v>ON1</v>
      </c>
      <c r="H3526" s="20" t="s">
        <v>20</v>
      </c>
      <c r="I3526" s="20" t="s">
        <v>43</v>
      </c>
      <c r="J3526" s="20" t="str">
        <f>""</f>
        <v/>
      </c>
      <c r="K3526" s="20" t="str">
        <f>"PFES1162675015_0001"</f>
        <v>PFES1162675015_0001</v>
      </c>
      <c r="L3526" s="20">
        <v>1</v>
      </c>
      <c r="M3526" s="20">
        <v>2</v>
      </c>
    </row>
    <row r="3527" spans="1:13">
      <c r="A3527" s="6">
        <v>43521</v>
      </c>
      <c r="B3527" s="7">
        <v>0.57361111111111118</v>
      </c>
      <c r="C3527" s="20" t="str">
        <f>"FES1162674913"</f>
        <v>FES1162674913</v>
      </c>
      <c r="D3527" s="20" t="s">
        <v>18</v>
      </c>
      <c r="E3527" s="20" t="s">
        <v>203</v>
      </c>
      <c r="F3527" s="20" t="str">
        <f>"2170675962 "</f>
        <v xml:space="preserve">2170675962 </v>
      </c>
      <c r="G3527" s="20" t="str">
        <f t="shared" si="100"/>
        <v>ON1</v>
      </c>
      <c r="H3527" s="20" t="s">
        <v>20</v>
      </c>
      <c r="I3527" s="20" t="s">
        <v>204</v>
      </c>
      <c r="J3527" s="20" t="str">
        <f>""</f>
        <v/>
      </c>
      <c r="K3527" s="20" t="str">
        <f>"PFES1162674913_0001"</f>
        <v>PFES1162674913_0001</v>
      </c>
      <c r="L3527" s="20">
        <v>1</v>
      </c>
      <c r="M3527" s="20">
        <v>3</v>
      </c>
    </row>
    <row r="3528" spans="1:13">
      <c r="A3528" s="6">
        <v>43521</v>
      </c>
      <c r="B3528" s="7">
        <v>0.57222222222222219</v>
      </c>
      <c r="C3528" s="20" t="str">
        <f>"FES1162674941"</f>
        <v>FES1162674941</v>
      </c>
      <c r="D3528" s="20" t="s">
        <v>18</v>
      </c>
      <c r="E3528" s="20" t="s">
        <v>461</v>
      </c>
      <c r="F3528" s="20" t="str">
        <f>"2170670502 "</f>
        <v xml:space="preserve">2170670502 </v>
      </c>
      <c r="G3528" s="20" t="str">
        <f t="shared" si="100"/>
        <v>ON1</v>
      </c>
      <c r="H3528" s="20" t="s">
        <v>20</v>
      </c>
      <c r="I3528" s="20" t="s">
        <v>406</v>
      </c>
      <c r="J3528" s="20" t="str">
        <f>""</f>
        <v/>
      </c>
      <c r="K3528" s="20" t="str">
        <f>"PFES1162674941_0001"</f>
        <v>PFES1162674941_0001</v>
      </c>
      <c r="L3528" s="20">
        <v>1</v>
      </c>
      <c r="M3528" s="20">
        <v>1</v>
      </c>
    </row>
    <row r="3529" spans="1:13">
      <c r="A3529" s="6">
        <v>43521</v>
      </c>
      <c r="B3529" s="7">
        <v>0.57222222222222219</v>
      </c>
      <c r="C3529" s="20" t="str">
        <f>"FES1162675090"</f>
        <v>FES1162675090</v>
      </c>
      <c r="D3529" s="20" t="s">
        <v>18</v>
      </c>
      <c r="E3529" s="20" t="s">
        <v>88</v>
      </c>
      <c r="F3529" s="20" t="str">
        <f>"21706740987 "</f>
        <v xml:space="preserve">21706740987 </v>
      </c>
      <c r="G3529" s="20" t="str">
        <f t="shared" si="100"/>
        <v>ON1</v>
      </c>
      <c r="H3529" s="20" t="s">
        <v>20</v>
      </c>
      <c r="I3529" s="20" t="s">
        <v>53</v>
      </c>
      <c r="J3529" s="20" t="str">
        <f>""</f>
        <v/>
      </c>
      <c r="K3529" s="20" t="str">
        <f>"PFES1162675090_0001"</f>
        <v>PFES1162675090_0001</v>
      </c>
      <c r="L3529" s="20">
        <v>1</v>
      </c>
      <c r="M3529" s="20">
        <v>1</v>
      </c>
    </row>
    <row r="3530" spans="1:13">
      <c r="A3530" s="6">
        <v>43521</v>
      </c>
      <c r="B3530" s="7">
        <v>0.57152777777777775</v>
      </c>
      <c r="C3530" s="20" t="str">
        <f>"FES1162674961"</f>
        <v>FES1162674961</v>
      </c>
      <c r="D3530" s="20" t="s">
        <v>18</v>
      </c>
      <c r="E3530" s="20" t="s">
        <v>461</v>
      </c>
      <c r="F3530" s="20" t="str">
        <f>"2170673349 "</f>
        <v xml:space="preserve">2170673349 </v>
      </c>
      <c r="G3530" s="20" t="str">
        <f t="shared" si="100"/>
        <v>ON1</v>
      </c>
      <c r="H3530" s="20" t="s">
        <v>20</v>
      </c>
      <c r="I3530" s="20" t="s">
        <v>406</v>
      </c>
      <c r="J3530" s="20" t="str">
        <f>""</f>
        <v/>
      </c>
      <c r="K3530" s="20" t="str">
        <f>"PFES1162674961_0001"</f>
        <v>PFES1162674961_0001</v>
      </c>
      <c r="L3530" s="20">
        <v>1</v>
      </c>
      <c r="M3530" s="20">
        <v>1</v>
      </c>
    </row>
    <row r="3531" spans="1:13">
      <c r="A3531" s="6">
        <v>43521</v>
      </c>
      <c r="B3531" s="7">
        <v>0.57152777777777775</v>
      </c>
      <c r="C3531" s="20" t="str">
        <f>"FES1162674880"</f>
        <v>FES1162674880</v>
      </c>
      <c r="D3531" s="20" t="s">
        <v>18</v>
      </c>
      <c r="E3531" s="20" t="s">
        <v>301</v>
      </c>
      <c r="F3531" s="20" t="str">
        <f>"2170675092 "</f>
        <v xml:space="preserve">2170675092 </v>
      </c>
      <c r="G3531" s="20" t="str">
        <f t="shared" si="100"/>
        <v>ON1</v>
      </c>
      <c r="H3531" s="20" t="s">
        <v>20</v>
      </c>
      <c r="I3531" s="20" t="s">
        <v>302</v>
      </c>
      <c r="J3531" s="20" t="str">
        <f>""</f>
        <v/>
      </c>
      <c r="K3531" s="20" t="str">
        <f>"PFES1162674880_0001"</f>
        <v>PFES1162674880_0001</v>
      </c>
      <c r="L3531" s="20">
        <v>1</v>
      </c>
      <c r="M3531" s="20">
        <v>1</v>
      </c>
    </row>
    <row r="3532" spans="1:13">
      <c r="A3532" s="6">
        <v>43521</v>
      </c>
      <c r="B3532" s="7">
        <v>0.5708333333333333</v>
      </c>
      <c r="C3532" s="20" t="str">
        <f>"FES1162674977"</f>
        <v>FES1162674977</v>
      </c>
      <c r="D3532" s="20" t="s">
        <v>18</v>
      </c>
      <c r="E3532" s="20" t="s">
        <v>100</v>
      </c>
      <c r="F3532" s="20" t="str">
        <f>"2170673516 "</f>
        <v xml:space="preserve">2170673516 </v>
      </c>
      <c r="G3532" s="20" t="str">
        <f t="shared" si="100"/>
        <v>ON1</v>
      </c>
      <c r="H3532" s="20" t="s">
        <v>20</v>
      </c>
      <c r="I3532" s="20" t="s">
        <v>101</v>
      </c>
      <c r="J3532" s="20" t="str">
        <f>""</f>
        <v/>
      </c>
      <c r="K3532" s="20" t="str">
        <f>"PFES1162674977_0001"</f>
        <v>PFES1162674977_0001</v>
      </c>
      <c r="L3532" s="20">
        <v>1</v>
      </c>
      <c r="M3532" s="20">
        <v>1</v>
      </c>
    </row>
    <row r="3533" spans="1:13">
      <c r="A3533" s="6">
        <v>43521</v>
      </c>
      <c r="B3533" s="7">
        <v>0.5708333333333333</v>
      </c>
      <c r="C3533" s="20" t="str">
        <f>"FES1162674867"</f>
        <v>FES1162674867</v>
      </c>
      <c r="D3533" s="20" t="s">
        <v>18</v>
      </c>
      <c r="E3533" s="20" t="s">
        <v>959</v>
      </c>
      <c r="F3533" s="20" t="str">
        <f>"2170674286 "</f>
        <v xml:space="preserve">2170674286 </v>
      </c>
      <c r="G3533" s="20" t="str">
        <f t="shared" si="100"/>
        <v>ON1</v>
      </c>
      <c r="H3533" s="20" t="s">
        <v>20</v>
      </c>
      <c r="I3533" s="20" t="s">
        <v>473</v>
      </c>
      <c r="J3533" s="20" t="str">
        <f>""</f>
        <v/>
      </c>
      <c r="K3533" s="20" t="str">
        <f>"PFES1162674867_0001"</f>
        <v>PFES1162674867_0001</v>
      </c>
      <c r="L3533" s="20">
        <v>1</v>
      </c>
      <c r="M3533" s="20">
        <v>1</v>
      </c>
    </row>
    <row r="3534" spans="1:13">
      <c r="A3534" s="6">
        <v>43521</v>
      </c>
      <c r="B3534" s="7">
        <v>0.57013888888888886</v>
      </c>
      <c r="C3534" s="20" t="str">
        <f>"FES1162675019"</f>
        <v>FES1162675019</v>
      </c>
      <c r="D3534" s="20" t="s">
        <v>18</v>
      </c>
      <c r="E3534" s="20" t="s">
        <v>178</v>
      </c>
      <c r="F3534" s="20" t="str">
        <f>"2170675291 "</f>
        <v xml:space="preserve">2170675291 </v>
      </c>
      <c r="G3534" s="20" t="str">
        <f t="shared" si="100"/>
        <v>ON1</v>
      </c>
      <c r="H3534" s="20" t="s">
        <v>20</v>
      </c>
      <c r="I3534" s="20" t="s">
        <v>29</v>
      </c>
      <c r="J3534" s="20" t="str">
        <f>""</f>
        <v/>
      </c>
      <c r="K3534" s="20" t="str">
        <f>"PFES1162675019_0001"</f>
        <v>PFES1162675019_0001</v>
      </c>
      <c r="L3534" s="20">
        <v>1</v>
      </c>
      <c r="M3534" s="20">
        <v>1</v>
      </c>
    </row>
    <row r="3535" spans="1:13">
      <c r="A3535" s="6">
        <v>43521</v>
      </c>
      <c r="B3535" s="7">
        <v>0.55069444444444449</v>
      </c>
      <c r="C3535" s="20" t="str">
        <f>"FES1162674837"</f>
        <v>FES1162674837</v>
      </c>
      <c r="D3535" s="20" t="s">
        <v>18</v>
      </c>
      <c r="E3535" s="20" t="s">
        <v>770</v>
      </c>
      <c r="F3535" s="20" t="str">
        <f>"2170669963 "</f>
        <v xml:space="preserve">2170669963 </v>
      </c>
      <c r="G3535" s="20" t="str">
        <f>"DBC"</f>
        <v>DBC</v>
      </c>
      <c r="H3535" s="20" t="s">
        <v>20</v>
      </c>
      <c r="I3535" s="20" t="s">
        <v>99</v>
      </c>
      <c r="J3535" s="20" t="str">
        <f>""</f>
        <v/>
      </c>
      <c r="K3535" s="20" t="str">
        <f>"PFES1162674837_0001"</f>
        <v>PFES1162674837_0001</v>
      </c>
      <c r="L3535" s="20">
        <v>2</v>
      </c>
      <c r="M3535" s="20">
        <v>26</v>
      </c>
    </row>
    <row r="3536" spans="1:13">
      <c r="A3536" s="6">
        <v>43521</v>
      </c>
      <c r="B3536" s="7">
        <v>0.55069444444444449</v>
      </c>
      <c r="C3536" s="20" t="str">
        <f>"FES1162674837"</f>
        <v>FES1162674837</v>
      </c>
      <c r="D3536" s="20" t="s">
        <v>18</v>
      </c>
      <c r="E3536" s="20" t="s">
        <v>770</v>
      </c>
      <c r="F3536" s="20" t="str">
        <f>"2170669963 "</f>
        <v xml:space="preserve">2170669963 </v>
      </c>
      <c r="G3536" s="20" t="str">
        <f>"DBC"</f>
        <v>DBC</v>
      </c>
      <c r="H3536" s="20" t="s">
        <v>20</v>
      </c>
      <c r="I3536" s="20" t="s">
        <v>99</v>
      </c>
      <c r="J3536" s="20"/>
      <c r="K3536" s="20" t="str">
        <f>"PFES1162674837_0002"</f>
        <v>PFES1162674837_0002</v>
      </c>
      <c r="L3536" s="20">
        <v>2</v>
      </c>
      <c r="M3536" s="20">
        <v>26</v>
      </c>
    </row>
    <row r="3537" spans="1:13">
      <c r="A3537" s="6">
        <v>43521</v>
      </c>
      <c r="B3537" s="7">
        <v>0.54791666666666672</v>
      </c>
      <c r="C3537" s="20" t="str">
        <f>"FES1162674982"</f>
        <v>FES1162674982</v>
      </c>
      <c r="D3537" s="20" t="s">
        <v>18</v>
      </c>
      <c r="E3537" s="20" t="s">
        <v>195</v>
      </c>
      <c r="F3537" s="20" t="str">
        <f>"2170673546 "</f>
        <v xml:space="preserve">2170673546 </v>
      </c>
      <c r="G3537" s="20" t="str">
        <f t="shared" ref="G3537:G3587" si="101">"ON1"</f>
        <v>ON1</v>
      </c>
      <c r="H3537" s="20" t="s">
        <v>20</v>
      </c>
      <c r="I3537" s="20" t="s">
        <v>96</v>
      </c>
      <c r="J3537" s="20" t="str">
        <f>""</f>
        <v/>
      </c>
      <c r="K3537" s="20" t="str">
        <f>"PFES1162674982_0001"</f>
        <v>PFES1162674982_0001</v>
      </c>
      <c r="L3537" s="20">
        <v>1</v>
      </c>
      <c r="M3537" s="20">
        <v>15</v>
      </c>
    </row>
    <row r="3538" spans="1:13">
      <c r="A3538" s="6">
        <v>43521</v>
      </c>
      <c r="B3538" s="7">
        <v>0.54583333333333328</v>
      </c>
      <c r="C3538" s="20" t="str">
        <f>"FES1162674892"</f>
        <v>FES1162674892</v>
      </c>
      <c r="D3538" s="20" t="s">
        <v>18</v>
      </c>
      <c r="E3538" s="20" t="s">
        <v>140</v>
      </c>
      <c r="F3538" s="20" t="str">
        <f>"2170675938 "</f>
        <v xml:space="preserve">2170675938 </v>
      </c>
      <c r="G3538" s="20" t="str">
        <f t="shared" si="101"/>
        <v>ON1</v>
      </c>
      <c r="H3538" s="20" t="s">
        <v>20</v>
      </c>
      <c r="I3538" s="20" t="s">
        <v>141</v>
      </c>
      <c r="J3538" s="20" t="str">
        <f>""</f>
        <v/>
      </c>
      <c r="K3538" s="20" t="str">
        <f>"PFES1162674892_0001"</f>
        <v>PFES1162674892_0001</v>
      </c>
      <c r="L3538" s="20">
        <v>1</v>
      </c>
      <c r="M3538" s="20">
        <v>1</v>
      </c>
    </row>
    <row r="3539" spans="1:13">
      <c r="A3539" s="6">
        <v>43521</v>
      </c>
      <c r="B3539" s="7">
        <v>0.54513888888888895</v>
      </c>
      <c r="C3539" s="20" t="str">
        <f>"FES1162674839"</f>
        <v>FES1162674839</v>
      </c>
      <c r="D3539" s="20" t="s">
        <v>18</v>
      </c>
      <c r="E3539" s="20" t="s">
        <v>339</v>
      </c>
      <c r="F3539" s="20" t="str">
        <f>"2170670721 "</f>
        <v xml:space="preserve">2170670721 </v>
      </c>
      <c r="G3539" s="20" t="str">
        <f t="shared" si="101"/>
        <v>ON1</v>
      </c>
      <c r="H3539" s="20" t="s">
        <v>20</v>
      </c>
      <c r="I3539" s="20" t="s">
        <v>37</v>
      </c>
      <c r="J3539" s="20" t="str">
        <f>""</f>
        <v/>
      </c>
      <c r="K3539" s="20" t="str">
        <f>"PFES1162674839_0001"</f>
        <v>PFES1162674839_0001</v>
      </c>
      <c r="L3539" s="20">
        <v>1</v>
      </c>
      <c r="M3539" s="20">
        <v>2</v>
      </c>
    </row>
    <row r="3540" spans="1:13">
      <c r="A3540" s="6">
        <v>43521</v>
      </c>
      <c r="B3540" s="7">
        <v>0.54375000000000007</v>
      </c>
      <c r="C3540" s="20" t="str">
        <f>"FES1162674884"</f>
        <v>FES1162674884</v>
      </c>
      <c r="D3540" s="20" t="s">
        <v>18</v>
      </c>
      <c r="E3540" s="20" t="s">
        <v>259</v>
      </c>
      <c r="F3540" s="20" t="str">
        <f>"2170675476 "</f>
        <v xml:space="preserve">2170675476 </v>
      </c>
      <c r="G3540" s="20" t="str">
        <f t="shared" si="101"/>
        <v>ON1</v>
      </c>
      <c r="H3540" s="20" t="s">
        <v>20</v>
      </c>
      <c r="I3540" s="20" t="s">
        <v>260</v>
      </c>
      <c r="J3540" s="20" t="str">
        <f>""</f>
        <v/>
      </c>
      <c r="K3540" s="20" t="str">
        <f>"PFES1162674884_0001"</f>
        <v>PFES1162674884_0001</v>
      </c>
      <c r="L3540" s="20">
        <v>1</v>
      </c>
      <c r="M3540" s="20">
        <v>2</v>
      </c>
    </row>
    <row r="3541" spans="1:13">
      <c r="A3541" s="6">
        <v>43521</v>
      </c>
      <c r="B3541" s="7">
        <v>0.54166666666666663</v>
      </c>
      <c r="C3541" s="20" t="str">
        <f>"FES1162675004"</f>
        <v>FES1162675004</v>
      </c>
      <c r="D3541" s="20" t="s">
        <v>18</v>
      </c>
      <c r="E3541" s="20" t="s">
        <v>140</v>
      </c>
      <c r="F3541" s="20" t="str">
        <f>"2170673905 "</f>
        <v xml:space="preserve">2170673905 </v>
      </c>
      <c r="G3541" s="20" t="str">
        <f t="shared" si="101"/>
        <v>ON1</v>
      </c>
      <c r="H3541" s="20" t="s">
        <v>20</v>
      </c>
      <c r="I3541" s="20" t="s">
        <v>141</v>
      </c>
      <c r="J3541" s="20" t="str">
        <f>""</f>
        <v/>
      </c>
      <c r="K3541" s="20" t="str">
        <f>"PFES1162675004_0001"</f>
        <v>PFES1162675004_0001</v>
      </c>
      <c r="L3541" s="20">
        <v>1</v>
      </c>
      <c r="M3541" s="20">
        <v>1</v>
      </c>
    </row>
    <row r="3542" spans="1:13">
      <c r="A3542" s="6">
        <v>43521</v>
      </c>
      <c r="B3542" s="7">
        <v>0.54027777777777775</v>
      </c>
      <c r="C3542" s="20" t="str">
        <f>"FES1162674842"</f>
        <v>FES1162674842</v>
      </c>
      <c r="D3542" s="20" t="s">
        <v>18</v>
      </c>
      <c r="E3542" s="20" t="s">
        <v>84</v>
      </c>
      <c r="F3542" s="20" t="str">
        <f>"2170671220 "</f>
        <v xml:space="preserve">2170671220 </v>
      </c>
      <c r="G3542" s="20" t="str">
        <f t="shared" si="101"/>
        <v>ON1</v>
      </c>
      <c r="H3542" s="20" t="s">
        <v>20</v>
      </c>
      <c r="I3542" s="20" t="s">
        <v>85</v>
      </c>
      <c r="J3542" s="20" t="str">
        <f>""</f>
        <v/>
      </c>
      <c r="K3542" s="20" t="str">
        <f>"PFES1162674842_0001"</f>
        <v>PFES1162674842_0001</v>
      </c>
      <c r="L3542" s="20">
        <v>1</v>
      </c>
      <c r="M3542" s="20">
        <v>2</v>
      </c>
    </row>
    <row r="3543" spans="1:13">
      <c r="A3543" s="6">
        <v>43521</v>
      </c>
      <c r="B3543" s="7">
        <v>0.53888888888888886</v>
      </c>
      <c r="C3543" s="20" t="str">
        <f>"FES1162674932"</f>
        <v>FES1162674932</v>
      </c>
      <c r="D3543" s="20" t="s">
        <v>18</v>
      </c>
      <c r="E3543" s="20" t="s">
        <v>501</v>
      </c>
      <c r="F3543" s="20" t="str">
        <f>"2170675987 "</f>
        <v xml:space="preserve">2170675987 </v>
      </c>
      <c r="G3543" s="20" t="str">
        <f t="shared" si="101"/>
        <v>ON1</v>
      </c>
      <c r="H3543" s="20" t="s">
        <v>20</v>
      </c>
      <c r="I3543" s="20" t="s">
        <v>286</v>
      </c>
      <c r="J3543" s="20" t="str">
        <f>""</f>
        <v/>
      </c>
      <c r="K3543" s="20" t="str">
        <f>"PFES1162674932_0001"</f>
        <v>PFES1162674932_0001</v>
      </c>
      <c r="L3543" s="20">
        <v>1</v>
      </c>
      <c r="M3543" s="20">
        <v>2</v>
      </c>
    </row>
    <row r="3544" spans="1:13">
      <c r="A3544" s="6">
        <v>43521</v>
      </c>
      <c r="B3544" s="7">
        <v>0.53888888888888886</v>
      </c>
      <c r="C3544" s="20" t="str">
        <f>"FES1162675030"</f>
        <v>FES1162675030</v>
      </c>
      <c r="D3544" s="20" t="s">
        <v>18</v>
      </c>
      <c r="E3544" s="20" t="s">
        <v>501</v>
      </c>
      <c r="F3544" s="20" t="str">
        <f>"2176760008 "</f>
        <v xml:space="preserve">2176760008 </v>
      </c>
      <c r="G3544" s="20" t="str">
        <f t="shared" si="101"/>
        <v>ON1</v>
      </c>
      <c r="H3544" s="20" t="s">
        <v>20</v>
      </c>
      <c r="I3544" s="20" t="s">
        <v>286</v>
      </c>
      <c r="J3544" s="20" t="str">
        <f>""</f>
        <v/>
      </c>
      <c r="K3544" s="20" t="str">
        <f>"PFES1162675030_0001"</f>
        <v>PFES1162675030_0001</v>
      </c>
      <c r="L3544" s="20">
        <v>1</v>
      </c>
      <c r="M3544" s="20">
        <v>1</v>
      </c>
    </row>
    <row r="3545" spans="1:13">
      <c r="A3545" s="6">
        <v>43521</v>
      </c>
      <c r="B3545" s="7">
        <v>0.53819444444444442</v>
      </c>
      <c r="C3545" s="20" t="str">
        <f>"FES1162674870"</f>
        <v>FES1162674870</v>
      </c>
      <c r="D3545" s="20" t="s">
        <v>18</v>
      </c>
      <c r="E3545" s="20" t="s">
        <v>195</v>
      </c>
      <c r="F3545" s="20" t="str">
        <f>"2170674463 "</f>
        <v xml:space="preserve">2170674463 </v>
      </c>
      <c r="G3545" s="20" t="str">
        <f t="shared" si="101"/>
        <v>ON1</v>
      </c>
      <c r="H3545" s="20" t="s">
        <v>20</v>
      </c>
      <c r="I3545" s="20" t="s">
        <v>96</v>
      </c>
      <c r="J3545" s="20" t="str">
        <f>""</f>
        <v/>
      </c>
      <c r="K3545" s="20" t="str">
        <f>"PFES1162674870_0001"</f>
        <v>PFES1162674870_0001</v>
      </c>
      <c r="L3545" s="20">
        <v>1</v>
      </c>
      <c r="M3545" s="20">
        <v>1</v>
      </c>
    </row>
    <row r="3546" spans="1:13">
      <c r="A3546" s="6">
        <v>43521</v>
      </c>
      <c r="B3546" s="7">
        <v>0.53819444444444442</v>
      </c>
      <c r="C3546" s="20" t="str">
        <f>"FES1162674928"</f>
        <v>FES1162674928</v>
      </c>
      <c r="D3546" s="20" t="s">
        <v>18</v>
      </c>
      <c r="E3546" s="20" t="s">
        <v>436</v>
      </c>
      <c r="F3546" s="20" t="str">
        <f>"2170675971 "</f>
        <v xml:space="preserve">2170675971 </v>
      </c>
      <c r="G3546" s="20" t="str">
        <f t="shared" si="101"/>
        <v>ON1</v>
      </c>
      <c r="H3546" s="20" t="s">
        <v>20</v>
      </c>
      <c r="I3546" s="20" t="s">
        <v>437</v>
      </c>
      <c r="J3546" s="20" t="str">
        <f>""</f>
        <v/>
      </c>
      <c r="K3546" s="20" t="str">
        <f>"PFES1162674928_0001"</f>
        <v>PFES1162674928_0001</v>
      </c>
      <c r="L3546" s="20">
        <v>1</v>
      </c>
      <c r="M3546" s="20">
        <v>1</v>
      </c>
    </row>
    <row r="3547" spans="1:13">
      <c r="A3547" s="6">
        <v>43521</v>
      </c>
      <c r="B3547" s="7">
        <v>0.53749999999999998</v>
      </c>
      <c r="C3547" s="20" t="str">
        <f>"FES1162674879"</f>
        <v>FES1162674879</v>
      </c>
      <c r="D3547" s="20" t="s">
        <v>18</v>
      </c>
      <c r="E3547" s="20" t="s">
        <v>727</v>
      </c>
      <c r="F3547" s="20" t="str">
        <f>"2170674940 "</f>
        <v xml:space="preserve">2170674940 </v>
      </c>
      <c r="G3547" s="20" t="str">
        <f t="shared" si="101"/>
        <v>ON1</v>
      </c>
      <c r="H3547" s="20" t="s">
        <v>20</v>
      </c>
      <c r="I3547" s="20" t="s">
        <v>555</v>
      </c>
      <c r="J3547" s="20" t="str">
        <f>""</f>
        <v/>
      </c>
      <c r="K3547" s="20" t="str">
        <f>"PFES1162674879_0001"</f>
        <v>PFES1162674879_0001</v>
      </c>
      <c r="L3547" s="20">
        <v>1</v>
      </c>
      <c r="M3547" s="20">
        <v>1</v>
      </c>
    </row>
    <row r="3548" spans="1:13">
      <c r="A3548" s="6">
        <v>43521</v>
      </c>
      <c r="B3548" s="7">
        <v>0.53749999999999998</v>
      </c>
      <c r="C3548" s="20" t="str">
        <f>"FES1162674891"</f>
        <v>FES1162674891</v>
      </c>
      <c r="D3548" s="20" t="s">
        <v>18</v>
      </c>
      <c r="E3548" s="20" t="s">
        <v>501</v>
      </c>
      <c r="F3548" s="20" t="str">
        <f>"2170675937 "</f>
        <v xml:space="preserve">2170675937 </v>
      </c>
      <c r="G3548" s="20" t="str">
        <f t="shared" si="101"/>
        <v>ON1</v>
      </c>
      <c r="H3548" s="20" t="s">
        <v>20</v>
      </c>
      <c r="I3548" s="20" t="s">
        <v>286</v>
      </c>
      <c r="J3548" s="20" t="str">
        <f>""</f>
        <v/>
      </c>
      <c r="K3548" s="20" t="str">
        <f>"PFES1162674891_0001"</f>
        <v>PFES1162674891_0001</v>
      </c>
      <c r="L3548" s="20">
        <v>1</v>
      </c>
      <c r="M3548" s="20">
        <v>2</v>
      </c>
    </row>
    <row r="3549" spans="1:13">
      <c r="A3549" s="6">
        <v>43521</v>
      </c>
      <c r="B3549" s="7">
        <v>0.53749999999999998</v>
      </c>
      <c r="C3549" s="20" t="str">
        <f>"FES1162674947"</f>
        <v>FES1162674947</v>
      </c>
      <c r="D3549" s="20" t="s">
        <v>18</v>
      </c>
      <c r="E3549" s="20" t="s">
        <v>556</v>
      </c>
      <c r="F3549" s="20" t="str">
        <f>"2170672408 "</f>
        <v xml:space="preserve">2170672408 </v>
      </c>
      <c r="G3549" s="20" t="str">
        <f t="shared" si="101"/>
        <v>ON1</v>
      </c>
      <c r="H3549" s="20" t="s">
        <v>20</v>
      </c>
      <c r="I3549" s="20" t="s">
        <v>435</v>
      </c>
      <c r="J3549" s="20" t="str">
        <f>""</f>
        <v/>
      </c>
      <c r="K3549" s="20" t="str">
        <f>"PFES1162674947_0001"</f>
        <v>PFES1162674947_0001</v>
      </c>
      <c r="L3549" s="20">
        <v>1</v>
      </c>
      <c r="M3549" s="20">
        <v>1</v>
      </c>
    </row>
    <row r="3550" spans="1:13">
      <c r="A3550" s="6">
        <v>43521</v>
      </c>
      <c r="B3550" s="7">
        <v>0.53749999999999998</v>
      </c>
      <c r="C3550" s="20" t="str">
        <f>"FES1162674980"</f>
        <v>FES1162674980</v>
      </c>
      <c r="D3550" s="20" t="s">
        <v>18</v>
      </c>
      <c r="E3550" s="20" t="s">
        <v>150</v>
      </c>
      <c r="F3550" s="20" t="str">
        <f>"2170673541 "</f>
        <v xml:space="preserve">2170673541 </v>
      </c>
      <c r="G3550" s="20" t="str">
        <f t="shared" si="101"/>
        <v>ON1</v>
      </c>
      <c r="H3550" s="20" t="s">
        <v>20</v>
      </c>
      <c r="I3550" s="20" t="s">
        <v>137</v>
      </c>
      <c r="J3550" s="20" t="str">
        <f>""</f>
        <v/>
      </c>
      <c r="K3550" s="20" t="str">
        <f>"PFES1162674980_0001"</f>
        <v>PFES1162674980_0001</v>
      </c>
      <c r="L3550" s="20">
        <v>1</v>
      </c>
      <c r="M3550" s="20">
        <v>1</v>
      </c>
    </row>
    <row r="3551" spans="1:13">
      <c r="A3551" s="6">
        <v>43521</v>
      </c>
      <c r="B3551" s="7">
        <v>0.53680555555555554</v>
      </c>
      <c r="C3551" s="20" t="str">
        <f>"FES1162674986"</f>
        <v>FES1162674986</v>
      </c>
      <c r="D3551" s="20" t="s">
        <v>18</v>
      </c>
      <c r="E3551" s="20" t="s">
        <v>69</v>
      </c>
      <c r="F3551" s="20" t="str">
        <f>"2170673597 "</f>
        <v xml:space="preserve">2170673597 </v>
      </c>
      <c r="G3551" s="20" t="str">
        <f t="shared" si="101"/>
        <v>ON1</v>
      </c>
      <c r="H3551" s="20" t="s">
        <v>20</v>
      </c>
      <c r="I3551" s="20" t="s">
        <v>70</v>
      </c>
      <c r="J3551" s="20" t="str">
        <f>""</f>
        <v/>
      </c>
      <c r="K3551" s="20" t="str">
        <f>"PFES1162674986_0001"</f>
        <v>PFES1162674986_0001</v>
      </c>
      <c r="L3551" s="20">
        <v>1</v>
      </c>
      <c r="M3551" s="20">
        <v>1</v>
      </c>
    </row>
    <row r="3552" spans="1:13">
      <c r="A3552" s="6">
        <v>43521</v>
      </c>
      <c r="B3552" s="7">
        <v>0.53680555555555554</v>
      </c>
      <c r="C3552" s="20" t="str">
        <f>"FES1162674872"</f>
        <v>FES1162674872</v>
      </c>
      <c r="D3552" s="20" t="s">
        <v>18</v>
      </c>
      <c r="E3552" s="20" t="s">
        <v>214</v>
      </c>
      <c r="F3552" s="20" t="str">
        <f>"2170674539 "</f>
        <v xml:space="preserve">2170674539 </v>
      </c>
      <c r="G3552" s="20" t="str">
        <f t="shared" si="101"/>
        <v>ON1</v>
      </c>
      <c r="H3552" s="20" t="s">
        <v>20</v>
      </c>
      <c r="I3552" s="20" t="s">
        <v>215</v>
      </c>
      <c r="J3552" s="20" t="str">
        <f>""</f>
        <v/>
      </c>
      <c r="K3552" s="20" t="str">
        <f>"PFES1162674872_0001"</f>
        <v>PFES1162674872_0001</v>
      </c>
      <c r="L3552" s="20">
        <v>1</v>
      </c>
      <c r="M3552" s="20">
        <v>1</v>
      </c>
    </row>
    <row r="3553" spans="1:13">
      <c r="A3553" s="6">
        <v>43521</v>
      </c>
      <c r="B3553" s="7">
        <v>0.53611111111111109</v>
      </c>
      <c r="C3553" s="20" t="str">
        <f>"FES1162675027"</f>
        <v>FES1162675027</v>
      </c>
      <c r="D3553" s="20" t="s">
        <v>18</v>
      </c>
      <c r="E3553" s="20" t="s">
        <v>721</v>
      </c>
      <c r="F3553" s="20" t="str">
        <f>"21706760001 "</f>
        <v xml:space="preserve">21706760001 </v>
      </c>
      <c r="G3553" s="20" t="str">
        <f t="shared" si="101"/>
        <v>ON1</v>
      </c>
      <c r="H3553" s="20" t="s">
        <v>20</v>
      </c>
      <c r="I3553" s="20" t="s">
        <v>215</v>
      </c>
      <c r="J3553" s="20" t="str">
        <f>""</f>
        <v/>
      </c>
      <c r="K3553" s="20" t="str">
        <f>"PFES1162675027_0001"</f>
        <v>PFES1162675027_0001</v>
      </c>
      <c r="L3553" s="20">
        <v>1</v>
      </c>
      <c r="M3553" s="20">
        <v>1</v>
      </c>
    </row>
    <row r="3554" spans="1:13">
      <c r="A3554" s="6">
        <v>43521</v>
      </c>
      <c r="B3554" s="7">
        <v>0.53611111111111109</v>
      </c>
      <c r="C3554" s="20" t="str">
        <f>"FES1162675013"</f>
        <v>FES1162675013</v>
      </c>
      <c r="D3554" s="20" t="s">
        <v>18</v>
      </c>
      <c r="E3554" s="20" t="s">
        <v>727</v>
      </c>
      <c r="F3554" s="20" t="str">
        <f>"217674236 "</f>
        <v xml:space="preserve">217674236 </v>
      </c>
      <c r="G3554" s="20" t="str">
        <f t="shared" si="101"/>
        <v>ON1</v>
      </c>
      <c r="H3554" s="20" t="s">
        <v>20</v>
      </c>
      <c r="I3554" s="20" t="s">
        <v>555</v>
      </c>
      <c r="J3554" s="20" t="str">
        <f>""</f>
        <v/>
      </c>
      <c r="K3554" s="20" t="str">
        <f>"PFES1162675013_0001"</f>
        <v>PFES1162675013_0001</v>
      </c>
      <c r="L3554" s="20">
        <v>1</v>
      </c>
      <c r="M3554" s="20">
        <v>1</v>
      </c>
    </row>
    <row r="3555" spans="1:13">
      <c r="A3555" s="6">
        <v>43521</v>
      </c>
      <c r="B3555" s="7">
        <v>0.53541666666666665</v>
      </c>
      <c r="C3555" s="20" t="str">
        <f>"FES1162675020"</f>
        <v>FES1162675020</v>
      </c>
      <c r="D3555" s="20" t="s">
        <v>18</v>
      </c>
      <c r="E3555" s="20" t="s">
        <v>140</v>
      </c>
      <c r="F3555" s="20" t="str">
        <f>"2170675354 "</f>
        <v xml:space="preserve">2170675354 </v>
      </c>
      <c r="G3555" s="20" t="str">
        <f t="shared" si="101"/>
        <v>ON1</v>
      </c>
      <c r="H3555" s="20" t="s">
        <v>20</v>
      </c>
      <c r="I3555" s="20" t="s">
        <v>141</v>
      </c>
      <c r="J3555" s="20" t="str">
        <f>""</f>
        <v/>
      </c>
      <c r="K3555" s="20" t="str">
        <f>"PFES1162675020_0001"</f>
        <v>PFES1162675020_0001</v>
      </c>
      <c r="L3555" s="20">
        <v>1</v>
      </c>
      <c r="M3555" s="20">
        <v>1</v>
      </c>
    </row>
    <row r="3556" spans="1:13">
      <c r="A3556" s="6">
        <v>43521</v>
      </c>
      <c r="B3556" s="7">
        <v>0.53541666666666665</v>
      </c>
      <c r="C3556" s="20" t="str">
        <f>"FES1162674845"</f>
        <v>FES1162674845</v>
      </c>
      <c r="D3556" s="20" t="s">
        <v>18</v>
      </c>
      <c r="E3556" s="20" t="s">
        <v>47</v>
      </c>
      <c r="F3556" s="20" t="str">
        <f>"2170671826 "</f>
        <v xml:space="preserve">2170671826 </v>
      </c>
      <c r="G3556" s="20" t="str">
        <f t="shared" si="101"/>
        <v>ON1</v>
      </c>
      <c r="H3556" s="20" t="s">
        <v>20</v>
      </c>
      <c r="I3556" s="20" t="s">
        <v>48</v>
      </c>
      <c r="J3556" s="20" t="str">
        <f>""</f>
        <v/>
      </c>
      <c r="K3556" s="20" t="str">
        <f>"PFES1162674845_0001"</f>
        <v>PFES1162674845_0001</v>
      </c>
      <c r="L3556" s="20">
        <v>1</v>
      </c>
      <c r="M3556" s="20">
        <v>1</v>
      </c>
    </row>
    <row r="3557" spans="1:13">
      <c r="A3557" s="6">
        <v>43521</v>
      </c>
      <c r="B3557" s="7">
        <v>0.53541666666666665</v>
      </c>
      <c r="C3557" s="20" t="str">
        <f>"FES1162674875"</f>
        <v>FES1162674875</v>
      </c>
      <c r="D3557" s="20" t="s">
        <v>18</v>
      </c>
      <c r="E3557" s="20" t="s">
        <v>1155</v>
      </c>
      <c r="F3557" s="20" t="str">
        <f>"2170674725 "</f>
        <v xml:space="preserve">2170674725 </v>
      </c>
      <c r="G3557" s="20" t="str">
        <f t="shared" si="101"/>
        <v>ON1</v>
      </c>
      <c r="H3557" s="20" t="s">
        <v>20</v>
      </c>
      <c r="I3557" s="20" t="s">
        <v>256</v>
      </c>
      <c r="J3557" s="20" t="str">
        <f>""</f>
        <v/>
      </c>
      <c r="K3557" s="20" t="str">
        <f>"PFES1162674875_0001"</f>
        <v>PFES1162674875_0001</v>
      </c>
      <c r="L3557" s="20">
        <v>1</v>
      </c>
      <c r="M3557" s="20">
        <v>1</v>
      </c>
    </row>
    <row r="3558" spans="1:13">
      <c r="A3558" s="6">
        <v>43521</v>
      </c>
      <c r="B3558" s="7">
        <v>0.53541666666666665</v>
      </c>
      <c r="C3558" s="20" t="str">
        <f>"FES1162674935"</f>
        <v>FES1162674935</v>
      </c>
      <c r="D3558" s="20" t="s">
        <v>18</v>
      </c>
      <c r="E3558" s="20" t="s">
        <v>287</v>
      </c>
      <c r="F3558" s="20" t="str">
        <f>"217675991 "</f>
        <v xml:space="preserve">217675991 </v>
      </c>
      <c r="G3558" s="20" t="str">
        <f t="shared" si="101"/>
        <v>ON1</v>
      </c>
      <c r="H3558" s="20" t="s">
        <v>20</v>
      </c>
      <c r="I3558" s="20" t="s">
        <v>288</v>
      </c>
      <c r="J3558" s="20" t="str">
        <f>""</f>
        <v/>
      </c>
      <c r="K3558" s="20" t="str">
        <f>"PFES1162674935_0001"</f>
        <v>PFES1162674935_0001</v>
      </c>
      <c r="L3558" s="20">
        <v>1</v>
      </c>
      <c r="M3558" s="20">
        <v>1</v>
      </c>
    </row>
    <row r="3559" spans="1:13">
      <c r="A3559" s="6">
        <v>43521</v>
      </c>
      <c r="B3559" s="7">
        <v>0.53472222222222221</v>
      </c>
      <c r="C3559" s="20" t="str">
        <f>"FES1162674938"</f>
        <v>FES1162674938</v>
      </c>
      <c r="D3559" s="20" t="s">
        <v>18</v>
      </c>
      <c r="E3559" s="20" t="s">
        <v>195</v>
      </c>
      <c r="F3559" s="20" t="str">
        <f>"2170668563 "</f>
        <v xml:space="preserve">2170668563 </v>
      </c>
      <c r="G3559" s="20" t="str">
        <f t="shared" si="101"/>
        <v>ON1</v>
      </c>
      <c r="H3559" s="20" t="s">
        <v>20</v>
      </c>
      <c r="I3559" s="20" t="s">
        <v>96</v>
      </c>
      <c r="J3559" s="20" t="str">
        <f>""</f>
        <v/>
      </c>
      <c r="K3559" s="20" t="str">
        <f>"PFES1162674938_0001"</f>
        <v>PFES1162674938_0001</v>
      </c>
      <c r="L3559" s="20">
        <v>1</v>
      </c>
      <c r="M3559" s="20">
        <v>1</v>
      </c>
    </row>
    <row r="3560" spans="1:13">
      <c r="A3560" s="6">
        <v>43521</v>
      </c>
      <c r="B3560" s="7">
        <v>0.53472222222222221</v>
      </c>
      <c r="C3560" s="20" t="str">
        <f>"FES1162675024"</f>
        <v>FES1162675024</v>
      </c>
      <c r="D3560" s="20" t="s">
        <v>18</v>
      </c>
      <c r="E3560" s="20" t="s">
        <v>360</v>
      </c>
      <c r="F3560" s="20" t="str">
        <f>"2170675997 "</f>
        <v xml:space="preserve">2170675997 </v>
      </c>
      <c r="G3560" s="20" t="str">
        <f t="shared" si="101"/>
        <v>ON1</v>
      </c>
      <c r="H3560" s="20" t="s">
        <v>20</v>
      </c>
      <c r="I3560" s="20" t="s">
        <v>121</v>
      </c>
      <c r="J3560" s="20" t="str">
        <f>""</f>
        <v/>
      </c>
      <c r="K3560" s="20" t="str">
        <f>"PFES1162675024_0001"</f>
        <v>PFES1162675024_0001</v>
      </c>
      <c r="L3560" s="20">
        <v>1</v>
      </c>
      <c r="M3560" s="20">
        <v>1</v>
      </c>
    </row>
    <row r="3561" spans="1:13">
      <c r="A3561" s="6">
        <v>43521</v>
      </c>
      <c r="B3561" s="7">
        <v>0.53402777777777777</v>
      </c>
      <c r="C3561" s="20" t="str">
        <f>"FES1162674885"</f>
        <v>FES1162674885</v>
      </c>
      <c r="D3561" s="20" t="s">
        <v>18</v>
      </c>
      <c r="E3561" s="20" t="s">
        <v>425</v>
      </c>
      <c r="F3561" s="20" t="str">
        <f>"2170675648 "</f>
        <v xml:space="preserve">2170675648 </v>
      </c>
      <c r="G3561" s="20" t="str">
        <f t="shared" si="101"/>
        <v>ON1</v>
      </c>
      <c r="H3561" s="20" t="s">
        <v>20</v>
      </c>
      <c r="I3561" s="20" t="s">
        <v>213</v>
      </c>
      <c r="J3561" s="20" t="str">
        <f>""</f>
        <v/>
      </c>
      <c r="K3561" s="20" t="str">
        <f>"PFES1162674885_0001"</f>
        <v>PFES1162674885_0001</v>
      </c>
      <c r="L3561" s="20">
        <v>1</v>
      </c>
      <c r="M3561" s="20">
        <v>1</v>
      </c>
    </row>
    <row r="3562" spans="1:13">
      <c r="A3562" s="6">
        <v>43521</v>
      </c>
      <c r="B3562" s="7">
        <v>0.53402777777777777</v>
      </c>
      <c r="C3562" s="20" t="str">
        <f>"FES1162674846"</f>
        <v>FES1162674846</v>
      </c>
      <c r="D3562" s="20" t="s">
        <v>18</v>
      </c>
      <c r="E3562" s="20" t="s">
        <v>47</v>
      </c>
      <c r="F3562" s="20" t="str">
        <f>"2170671828 "</f>
        <v xml:space="preserve">2170671828 </v>
      </c>
      <c r="G3562" s="20" t="str">
        <f t="shared" si="101"/>
        <v>ON1</v>
      </c>
      <c r="H3562" s="20" t="s">
        <v>20</v>
      </c>
      <c r="I3562" s="20" t="s">
        <v>48</v>
      </c>
      <c r="J3562" s="20" t="str">
        <f>""</f>
        <v/>
      </c>
      <c r="K3562" s="20" t="str">
        <f>"PFES1162674846_0001"</f>
        <v>PFES1162674846_0001</v>
      </c>
      <c r="L3562" s="20">
        <v>1</v>
      </c>
      <c r="M3562" s="20">
        <v>1</v>
      </c>
    </row>
    <row r="3563" spans="1:13">
      <c r="A3563" s="6">
        <v>43521</v>
      </c>
      <c r="B3563" s="7">
        <v>0.53402777777777777</v>
      </c>
      <c r="C3563" s="20" t="str">
        <f>"FES1162674910"</f>
        <v>FES1162674910</v>
      </c>
      <c r="D3563" s="20" t="s">
        <v>18</v>
      </c>
      <c r="E3563" s="20" t="s">
        <v>670</v>
      </c>
      <c r="F3563" s="20" t="str">
        <f>"2170675944 "</f>
        <v xml:space="preserve">2170675944 </v>
      </c>
      <c r="G3563" s="20" t="str">
        <f t="shared" si="101"/>
        <v>ON1</v>
      </c>
      <c r="H3563" s="20" t="s">
        <v>20</v>
      </c>
      <c r="I3563" s="20" t="s">
        <v>213</v>
      </c>
      <c r="J3563" s="20" t="str">
        <f>""</f>
        <v/>
      </c>
      <c r="K3563" s="20" t="str">
        <f>"PFES1162674910_0001"</f>
        <v>PFES1162674910_0001</v>
      </c>
      <c r="L3563" s="20">
        <v>1</v>
      </c>
      <c r="M3563" s="20">
        <v>1</v>
      </c>
    </row>
    <row r="3564" spans="1:13">
      <c r="A3564" s="6">
        <v>43521</v>
      </c>
      <c r="B3564" s="7">
        <v>0.53333333333333333</v>
      </c>
      <c r="C3564" s="20" t="str">
        <f>"FES1162675048"</f>
        <v>FES1162675048</v>
      </c>
      <c r="D3564" s="20" t="s">
        <v>18</v>
      </c>
      <c r="E3564" s="20" t="s">
        <v>292</v>
      </c>
      <c r="F3564" s="20" t="str">
        <f>"2170676035 "</f>
        <v xml:space="preserve">2170676035 </v>
      </c>
      <c r="G3564" s="20" t="str">
        <f t="shared" si="101"/>
        <v>ON1</v>
      </c>
      <c r="H3564" s="20" t="s">
        <v>20</v>
      </c>
      <c r="I3564" s="20" t="s">
        <v>99</v>
      </c>
      <c r="J3564" s="20" t="str">
        <f>""</f>
        <v/>
      </c>
      <c r="K3564" s="20" t="str">
        <f>"PFES1162675048_0001"</f>
        <v>PFES1162675048_0001</v>
      </c>
      <c r="L3564" s="20">
        <v>1</v>
      </c>
      <c r="M3564" s="20">
        <v>1</v>
      </c>
    </row>
    <row r="3565" spans="1:13">
      <c r="A3565" s="6">
        <v>43521</v>
      </c>
      <c r="B3565" s="7">
        <v>0.53263888888888888</v>
      </c>
      <c r="C3565" s="20" t="str">
        <f>"FES1162674979"</f>
        <v>FES1162674979</v>
      </c>
      <c r="D3565" s="20" t="s">
        <v>18</v>
      </c>
      <c r="E3565" s="20" t="s">
        <v>160</v>
      </c>
      <c r="F3565" s="20" t="str">
        <f>"2170673537 "</f>
        <v xml:space="preserve">2170673537 </v>
      </c>
      <c r="G3565" s="20" t="str">
        <f t="shared" si="101"/>
        <v>ON1</v>
      </c>
      <c r="H3565" s="20" t="s">
        <v>20</v>
      </c>
      <c r="I3565" s="20" t="s">
        <v>161</v>
      </c>
      <c r="J3565" s="20" t="str">
        <f>""</f>
        <v/>
      </c>
      <c r="K3565" s="20" t="str">
        <f>"PFES1162674979_0001"</f>
        <v>PFES1162674979_0001</v>
      </c>
      <c r="L3565" s="20">
        <v>1</v>
      </c>
      <c r="M3565" s="20">
        <v>1</v>
      </c>
    </row>
    <row r="3566" spans="1:13">
      <c r="A3566" s="6">
        <v>43521</v>
      </c>
      <c r="B3566" s="7">
        <v>0.53263888888888888</v>
      </c>
      <c r="C3566" s="20" t="str">
        <f>"FES1162674976"</f>
        <v>FES1162674976</v>
      </c>
      <c r="D3566" s="20" t="s">
        <v>18</v>
      </c>
      <c r="E3566" s="20" t="s">
        <v>711</v>
      </c>
      <c r="F3566" s="20" t="str">
        <f>"2170673515 "</f>
        <v xml:space="preserve">2170673515 </v>
      </c>
      <c r="G3566" s="20" t="str">
        <f t="shared" si="101"/>
        <v>ON1</v>
      </c>
      <c r="H3566" s="20" t="s">
        <v>20</v>
      </c>
      <c r="I3566" s="20" t="s">
        <v>712</v>
      </c>
      <c r="J3566" s="20" t="str">
        <f>""</f>
        <v/>
      </c>
      <c r="K3566" s="20" t="str">
        <f>"PFES1162674976_0001"</f>
        <v>PFES1162674976_0001</v>
      </c>
      <c r="L3566" s="20">
        <v>1</v>
      </c>
      <c r="M3566" s="20">
        <v>1</v>
      </c>
    </row>
    <row r="3567" spans="1:13">
      <c r="A3567" s="6">
        <v>43521</v>
      </c>
      <c r="B3567" s="7">
        <v>0.53263888888888888</v>
      </c>
      <c r="C3567" s="20" t="str">
        <f>"FES1162674850"</f>
        <v>FES1162674850</v>
      </c>
      <c r="D3567" s="20" t="s">
        <v>18</v>
      </c>
      <c r="E3567" s="20" t="s">
        <v>549</v>
      </c>
      <c r="F3567" s="20" t="str">
        <f>"2170672339 "</f>
        <v xml:space="preserve">2170672339 </v>
      </c>
      <c r="G3567" s="20" t="str">
        <f t="shared" si="101"/>
        <v>ON1</v>
      </c>
      <c r="H3567" s="20" t="s">
        <v>20</v>
      </c>
      <c r="I3567" s="20" t="s">
        <v>130</v>
      </c>
      <c r="J3567" s="20" t="str">
        <f>""</f>
        <v/>
      </c>
      <c r="K3567" s="20" t="str">
        <f>"PFES1162674850_0001"</f>
        <v>PFES1162674850_0001</v>
      </c>
      <c r="L3567" s="20">
        <v>1</v>
      </c>
      <c r="M3567" s="20">
        <v>11</v>
      </c>
    </row>
    <row r="3568" spans="1:13">
      <c r="A3568" s="6">
        <v>43521</v>
      </c>
      <c r="B3568" s="7">
        <v>0.53194444444444444</v>
      </c>
      <c r="C3568" s="20" t="str">
        <f>"FES1162675003"</f>
        <v>FES1162675003</v>
      </c>
      <c r="D3568" s="20" t="s">
        <v>18</v>
      </c>
      <c r="E3568" s="20" t="s">
        <v>806</v>
      </c>
      <c r="F3568" s="20" t="str">
        <f>"2170673895 "</f>
        <v xml:space="preserve">2170673895 </v>
      </c>
      <c r="G3568" s="20" t="str">
        <f t="shared" si="101"/>
        <v>ON1</v>
      </c>
      <c r="H3568" s="20" t="s">
        <v>20</v>
      </c>
      <c r="I3568" s="20" t="s">
        <v>213</v>
      </c>
      <c r="J3568" s="20" t="str">
        <f>""</f>
        <v/>
      </c>
      <c r="K3568" s="20" t="str">
        <f>"PFES1162675003_0001"</f>
        <v>PFES1162675003_0001</v>
      </c>
      <c r="L3568" s="20">
        <v>1</v>
      </c>
      <c r="M3568" s="20">
        <v>1</v>
      </c>
    </row>
    <row r="3569" spans="1:13">
      <c r="A3569" s="6">
        <v>43521</v>
      </c>
      <c r="B3569" s="7">
        <v>0.53194444444444444</v>
      </c>
      <c r="C3569" s="20" t="str">
        <f>"FES1162674988"</f>
        <v>FES1162674988</v>
      </c>
      <c r="D3569" s="20" t="s">
        <v>18</v>
      </c>
      <c r="E3569" s="20" t="s">
        <v>194</v>
      </c>
      <c r="F3569" s="20" t="str">
        <f>"2170673615 "</f>
        <v xml:space="preserve">2170673615 </v>
      </c>
      <c r="G3569" s="20" t="str">
        <f t="shared" si="101"/>
        <v>ON1</v>
      </c>
      <c r="H3569" s="20" t="s">
        <v>20</v>
      </c>
      <c r="I3569" s="20" t="s">
        <v>48</v>
      </c>
      <c r="J3569" s="20" t="str">
        <f>""</f>
        <v/>
      </c>
      <c r="K3569" s="20" t="str">
        <f>"PFES1162674988_0001"</f>
        <v>PFES1162674988_0001</v>
      </c>
      <c r="L3569" s="20">
        <v>1</v>
      </c>
      <c r="M3569" s="20">
        <v>1</v>
      </c>
    </row>
    <row r="3570" spans="1:13">
      <c r="A3570" s="6">
        <v>43521</v>
      </c>
      <c r="B3570" s="7">
        <v>0.53194444444444444</v>
      </c>
      <c r="C3570" s="20" t="str">
        <f>"FES1162674942"</f>
        <v>FES1162674942</v>
      </c>
      <c r="D3570" s="20" t="s">
        <v>18</v>
      </c>
      <c r="E3570" s="20" t="s">
        <v>132</v>
      </c>
      <c r="F3570" s="20" t="str">
        <f>"2170670591 "</f>
        <v xml:space="preserve">2170670591 </v>
      </c>
      <c r="G3570" s="20" t="str">
        <f t="shared" si="101"/>
        <v>ON1</v>
      </c>
      <c r="H3570" s="20" t="s">
        <v>20</v>
      </c>
      <c r="I3570" s="20" t="s">
        <v>133</v>
      </c>
      <c r="J3570" s="20" t="str">
        <f>""</f>
        <v/>
      </c>
      <c r="K3570" s="20" t="str">
        <f>"PFES1162674942_0001"</f>
        <v>PFES1162674942_0001</v>
      </c>
      <c r="L3570" s="20">
        <v>1</v>
      </c>
      <c r="M3570" s="20">
        <v>1</v>
      </c>
    </row>
    <row r="3571" spans="1:13">
      <c r="A3571" s="6">
        <v>43521</v>
      </c>
      <c r="B3571" s="7">
        <v>0.53125</v>
      </c>
      <c r="C3571" s="20" t="str">
        <f>"FES1162674974"</f>
        <v>FES1162674974</v>
      </c>
      <c r="D3571" s="20" t="s">
        <v>18</v>
      </c>
      <c r="E3571" s="20" t="s">
        <v>129</v>
      </c>
      <c r="F3571" s="20" t="str">
        <f>"2170673486 "</f>
        <v xml:space="preserve">2170673486 </v>
      </c>
      <c r="G3571" s="20" t="str">
        <f t="shared" si="101"/>
        <v>ON1</v>
      </c>
      <c r="H3571" s="20" t="s">
        <v>20</v>
      </c>
      <c r="I3571" s="20" t="s">
        <v>130</v>
      </c>
      <c r="J3571" s="20" t="str">
        <f>""</f>
        <v/>
      </c>
      <c r="K3571" s="20" t="str">
        <f>"PFES1162674974_0001"</f>
        <v>PFES1162674974_0001</v>
      </c>
      <c r="L3571" s="20">
        <v>1</v>
      </c>
      <c r="M3571" s="20">
        <v>1</v>
      </c>
    </row>
    <row r="3572" spans="1:13">
      <c r="A3572" s="6">
        <v>43521</v>
      </c>
      <c r="B3572" s="7">
        <v>0.53125</v>
      </c>
      <c r="C3572" s="20" t="str">
        <f>"FES1162674917"</f>
        <v>FES1162674917</v>
      </c>
      <c r="D3572" s="20" t="s">
        <v>18</v>
      </c>
      <c r="E3572" s="20" t="s">
        <v>144</v>
      </c>
      <c r="F3572" s="20" t="str">
        <f>"2170675965 "</f>
        <v xml:space="preserve">2170675965 </v>
      </c>
      <c r="G3572" s="20" t="str">
        <f t="shared" si="101"/>
        <v>ON1</v>
      </c>
      <c r="H3572" s="20" t="s">
        <v>20</v>
      </c>
      <c r="I3572" s="20" t="s">
        <v>145</v>
      </c>
      <c r="J3572" s="20" t="str">
        <f>""</f>
        <v/>
      </c>
      <c r="K3572" s="20" t="str">
        <f>"PFES1162674917_0001"</f>
        <v>PFES1162674917_0001</v>
      </c>
      <c r="L3572" s="20">
        <v>1</v>
      </c>
      <c r="M3572" s="20">
        <v>1</v>
      </c>
    </row>
    <row r="3573" spans="1:13">
      <c r="A3573" s="6">
        <v>43521</v>
      </c>
      <c r="B3573" s="7">
        <v>0.53055555555555556</v>
      </c>
      <c r="C3573" s="20" t="str">
        <f>"FES1162674863"</f>
        <v>FES1162674863</v>
      </c>
      <c r="D3573" s="20" t="s">
        <v>18</v>
      </c>
      <c r="E3573" s="20" t="s">
        <v>913</v>
      </c>
      <c r="F3573" s="20" t="str">
        <f>"217673312 "</f>
        <v xml:space="preserve">217673312 </v>
      </c>
      <c r="G3573" s="20" t="str">
        <f t="shared" si="101"/>
        <v>ON1</v>
      </c>
      <c r="H3573" s="20" t="s">
        <v>20</v>
      </c>
      <c r="I3573" s="20" t="s">
        <v>635</v>
      </c>
      <c r="J3573" s="20" t="str">
        <f>""</f>
        <v/>
      </c>
      <c r="K3573" s="20" t="str">
        <f>"PFES1162674863_0001"</f>
        <v>PFES1162674863_0001</v>
      </c>
      <c r="L3573" s="20">
        <v>1</v>
      </c>
      <c r="M3573" s="20">
        <v>1</v>
      </c>
    </row>
    <row r="3574" spans="1:13">
      <c r="A3574" s="6">
        <v>43521</v>
      </c>
      <c r="B3574" s="7">
        <v>0.53055555555555556</v>
      </c>
      <c r="C3574" s="20" t="str">
        <f>"FES1162674914"</f>
        <v>FES1162674914</v>
      </c>
      <c r="D3574" s="20" t="s">
        <v>18</v>
      </c>
      <c r="E3574" s="20" t="s">
        <v>64</v>
      </c>
      <c r="F3574" s="20" t="str">
        <f>"2170675934 "</f>
        <v xml:space="preserve">2170675934 </v>
      </c>
      <c r="G3574" s="20" t="str">
        <f t="shared" si="101"/>
        <v>ON1</v>
      </c>
      <c r="H3574" s="20" t="s">
        <v>20</v>
      </c>
      <c r="I3574" s="20" t="s">
        <v>65</v>
      </c>
      <c r="J3574" s="20" t="str">
        <f>""</f>
        <v/>
      </c>
      <c r="K3574" s="20" t="str">
        <f>"PFES1162674914_0001"</f>
        <v>PFES1162674914_0001</v>
      </c>
      <c r="L3574" s="20">
        <v>1</v>
      </c>
      <c r="M3574" s="20">
        <v>1</v>
      </c>
    </row>
    <row r="3575" spans="1:13">
      <c r="A3575" s="6">
        <v>43521</v>
      </c>
      <c r="B3575" s="7">
        <v>0.53055555555555556</v>
      </c>
      <c r="C3575" s="20" t="str">
        <f>"FES1162674855"</f>
        <v>FES1162674855</v>
      </c>
      <c r="D3575" s="20" t="s">
        <v>18</v>
      </c>
      <c r="E3575" s="20" t="s">
        <v>19</v>
      </c>
      <c r="F3575" s="20" t="str">
        <f>"2170672825 "</f>
        <v xml:space="preserve">2170672825 </v>
      </c>
      <c r="G3575" s="20" t="str">
        <f t="shared" si="101"/>
        <v>ON1</v>
      </c>
      <c r="H3575" s="20" t="s">
        <v>20</v>
      </c>
      <c r="I3575" s="20" t="s">
        <v>21</v>
      </c>
      <c r="J3575" s="20" t="str">
        <f>""</f>
        <v/>
      </c>
      <c r="K3575" s="20" t="str">
        <f>"PFES1162674855_0001"</f>
        <v>PFES1162674855_0001</v>
      </c>
      <c r="L3575" s="20">
        <v>1</v>
      </c>
      <c r="M3575" s="20">
        <v>18</v>
      </c>
    </row>
    <row r="3576" spans="1:13">
      <c r="A3576" s="6">
        <v>43521</v>
      </c>
      <c r="B3576" s="7">
        <v>0.52986111111111112</v>
      </c>
      <c r="C3576" s="20" t="str">
        <f>"FES1162674868"</f>
        <v>FES1162674868</v>
      </c>
      <c r="D3576" s="20" t="s">
        <v>18</v>
      </c>
      <c r="E3576" s="20" t="s">
        <v>620</v>
      </c>
      <c r="F3576" s="20" t="str">
        <f>"2170674294 "</f>
        <v xml:space="preserve">2170674294 </v>
      </c>
      <c r="G3576" s="20" t="str">
        <f t="shared" si="101"/>
        <v>ON1</v>
      </c>
      <c r="H3576" s="20" t="s">
        <v>20</v>
      </c>
      <c r="I3576" s="20" t="s">
        <v>573</v>
      </c>
      <c r="J3576" s="20" t="str">
        <f>""</f>
        <v/>
      </c>
      <c r="K3576" s="20" t="str">
        <f>"PFES1162674868_0001"</f>
        <v>PFES1162674868_0001</v>
      </c>
      <c r="L3576" s="20">
        <v>1</v>
      </c>
      <c r="M3576" s="20">
        <v>1</v>
      </c>
    </row>
    <row r="3577" spans="1:13">
      <c r="A3577" s="6">
        <v>43521</v>
      </c>
      <c r="B3577" s="7">
        <v>0.52986111111111112</v>
      </c>
      <c r="C3577" s="20" t="str">
        <f>"FES1162674906"</f>
        <v>FES1162674906</v>
      </c>
      <c r="D3577" s="20" t="s">
        <v>18</v>
      </c>
      <c r="E3577" s="20" t="s">
        <v>1147</v>
      </c>
      <c r="F3577" s="20" t="str">
        <f>"2170673955 "</f>
        <v xml:space="preserve">2170673955 </v>
      </c>
      <c r="G3577" s="20" t="str">
        <f t="shared" si="101"/>
        <v>ON1</v>
      </c>
      <c r="H3577" s="20" t="s">
        <v>20</v>
      </c>
      <c r="I3577" s="20" t="s">
        <v>353</v>
      </c>
      <c r="J3577" s="20" t="str">
        <f>""</f>
        <v/>
      </c>
      <c r="K3577" s="20" t="str">
        <f>"PFES1162674906_0001"</f>
        <v>PFES1162674906_0001</v>
      </c>
      <c r="L3577" s="20">
        <v>1</v>
      </c>
      <c r="M3577" s="20">
        <v>1</v>
      </c>
    </row>
    <row r="3578" spans="1:13">
      <c r="A3578" s="6">
        <v>43521</v>
      </c>
      <c r="B3578" s="7">
        <v>0.52916666666666667</v>
      </c>
      <c r="C3578" s="20" t="str">
        <f>"FES1162675007"</f>
        <v>FES1162675007</v>
      </c>
      <c r="D3578" s="20" t="s">
        <v>18</v>
      </c>
      <c r="E3578" s="20" t="s">
        <v>482</v>
      </c>
      <c r="F3578" s="20" t="str">
        <f>"2170673948 "</f>
        <v xml:space="preserve">2170673948 </v>
      </c>
      <c r="G3578" s="20" t="str">
        <f t="shared" si="101"/>
        <v>ON1</v>
      </c>
      <c r="H3578" s="20" t="s">
        <v>20</v>
      </c>
      <c r="I3578" s="20" t="s">
        <v>272</v>
      </c>
      <c r="J3578" s="20" t="str">
        <f>""</f>
        <v/>
      </c>
      <c r="K3578" s="20" t="str">
        <f>"PFES1162675007_0001"</f>
        <v>PFES1162675007_0001</v>
      </c>
      <c r="L3578" s="20">
        <v>1</v>
      </c>
      <c r="M3578" s="20">
        <v>1</v>
      </c>
    </row>
    <row r="3579" spans="1:13">
      <c r="A3579" s="6">
        <v>43521</v>
      </c>
      <c r="B3579" s="7">
        <v>0.52916666666666667</v>
      </c>
      <c r="C3579" s="20" t="str">
        <f>"FES1162675036"</f>
        <v>FES1162675036</v>
      </c>
      <c r="D3579" s="20" t="s">
        <v>18</v>
      </c>
      <c r="E3579" s="20" t="s">
        <v>1156</v>
      </c>
      <c r="F3579" s="20" t="str">
        <f>"2170676020 "</f>
        <v xml:space="preserve">2170676020 </v>
      </c>
      <c r="G3579" s="20" t="str">
        <f t="shared" si="101"/>
        <v>ON1</v>
      </c>
      <c r="H3579" s="20" t="s">
        <v>20</v>
      </c>
      <c r="I3579" s="20" t="s">
        <v>41</v>
      </c>
      <c r="J3579" s="20" t="str">
        <f>""</f>
        <v/>
      </c>
      <c r="K3579" s="20" t="str">
        <f>"PFES1162675036_0001"</f>
        <v>PFES1162675036_0001</v>
      </c>
      <c r="L3579" s="20">
        <v>1</v>
      </c>
      <c r="M3579" s="20">
        <v>1</v>
      </c>
    </row>
    <row r="3580" spans="1:13">
      <c r="A3580" s="6">
        <v>43521</v>
      </c>
      <c r="B3580" s="7">
        <v>0.52847222222222223</v>
      </c>
      <c r="C3580" s="20" t="str">
        <f>"FES11620667677"</f>
        <v>FES11620667677</v>
      </c>
      <c r="D3580" s="20" t="s">
        <v>18</v>
      </c>
      <c r="E3580" s="20" t="s">
        <v>1049</v>
      </c>
      <c r="F3580" s="20" t="str">
        <f>"2170667677 "</f>
        <v xml:space="preserve">2170667677 </v>
      </c>
      <c r="G3580" s="20" t="str">
        <f t="shared" si="101"/>
        <v>ON1</v>
      </c>
      <c r="H3580" s="20" t="s">
        <v>20</v>
      </c>
      <c r="I3580" s="20" t="s">
        <v>1050</v>
      </c>
      <c r="J3580" s="20" t="str">
        <f>""</f>
        <v/>
      </c>
      <c r="K3580" s="20" t="str">
        <f>"PFES11620667677_0001"</f>
        <v>PFES11620667677_0001</v>
      </c>
      <c r="L3580" s="20">
        <v>1</v>
      </c>
      <c r="M3580" s="20">
        <v>16</v>
      </c>
    </row>
    <row r="3581" spans="1:13">
      <c r="A3581" s="6">
        <v>43521</v>
      </c>
      <c r="B3581" s="7">
        <v>0.52708333333333335</v>
      </c>
      <c r="C3581" s="20" t="str">
        <f>"FES1162675011"</f>
        <v>FES1162675011</v>
      </c>
      <c r="D3581" s="20" t="s">
        <v>18</v>
      </c>
      <c r="E3581" s="20" t="s">
        <v>19</v>
      </c>
      <c r="F3581" s="20" t="str">
        <f>"2170674162 "</f>
        <v xml:space="preserve">2170674162 </v>
      </c>
      <c r="G3581" s="20" t="str">
        <f t="shared" si="101"/>
        <v>ON1</v>
      </c>
      <c r="H3581" s="20" t="s">
        <v>20</v>
      </c>
      <c r="I3581" s="20" t="s">
        <v>21</v>
      </c>
      <c r="J3581" s="20" t="str">
        <f>""</f>
        <v/>
      </c>
      <c r="K3581" s="20" t="str">
        <f>"PFES1162675011_0001"</f>
        <v>PFES1162675011_0001</v>
      </c>
      <c r="L3581" s="20">
        <v>1</v>
      </c>
      <c r="M3581" s="20">
        <v>1</v>
      </c>
    </row>
    <row r="3582" spans="1:13">
      <c r="A3582" s="6">
        <v>43521</v>
      </c>
      <c r="B3582" s="7">
        <v>0.52708333333333335</v>
      </c>
      <c r="C3582" s="20" t="str">
        <f>"FES1162674907"</f>
        <v>FES1162674907</v>
      </c>
      <c r="D3582" s="20" t="s">
        <v>18</v>
      </c>
      <c r="E3582" s="20" t="s">
        <v>19</v>
      </c>
      <c r="F3582" s="20" t="str">
        <f>"21706785960 "</f>
        <v xml:space="preserve">21706785960 </v>
      </c>
      <c r="G3582" s="20" t="str">
        <f t="shared" si="101"/>
        <v>ON1</v>
      </c>
      <c r="H3582" s="20" t="s">
        <v>20</v>
      </c>
      <c r="I3582" s="20" t="s">
        <v>21</v>
      </c>
      <c r="J3582" s="20" t="str">
        <f>""</f>
        <v/>
      </c>
      <c r="K3582" s="20" t="str">
        <f>"PFES1162674907_0001"</f>
        <v>PFES1162674907_0001</v>
      </c>
      <c r="L3582" s="20">
        <v>1</v>
      </c>
      <c r="M3582" s="20">
        <v>1</v>
      </c>
    </row>
    <row r="3583" spans="1:13">
      <c r="A3583" s="6">
        <v>43521</v>
      </c>
      <c r="B3583" s="7">
        <v>0.52708333333333335</v>
      </c>
      <c r="C3583" s="20" t="str">
        <f>"FES1162674965"</f>
        <v>FES1162674965</v>
      </c>
      <c r="D3583" s="20" t="s">
        <v>18</v>
      </c>
      <c r="E3583" s="20" t="s">
        <v>19</v>
      </c>
      <c r="F3583" s="20" t="str">
        <f>"2170673378 "</f>
        <v xml:space="preserve">2170673378 </v>
      </c>
      <c r="G3583" s="20" t="str">
        <f t="shared" si="101"/>
        <v>ON1</v>
      </c>
      <c r="H3583" s="20" t="s">
        <v>20</v>
      </c>
      <c r="I3583" s="20" t="s">
        <v>21</v>
      </c>
      <c r="J3583" s="20" t="str">
        <f>""</f>
        <v/>
      </c>
      <c r="K3583" s="20" t="str">
        <f>"PFES1162674965_0001"</f>
        <v>PFES1162674965_0001</v>
      </c>
      <c r="L3583" s="20">
        <v>1</v>
      </c>
      <c r="M3583" s="20">
        <v>1</v>
      </c>
    </row>
    <row r="3584" spans="1:13">
      <c r="A3584" s="6">
        <v>43521</v>
      </c>
      <c r="B3584" s="7">
        <v>0.52638888888888891</v>
      </c>
      <c r="C3584" s="20" t="str">
        <f>"FES1162675001"</f>
        <v>FES1162675001</v>
      </c>
      <c r="D3584" s="20" t="s">
        <v>18</v>
      </c>
      <c r="E3584" s="20" t="s">
        <v>277</v>
      </c>
      <c r="F3584" s="20" t="str">
        <f>"2170673869 "</f>
        <v xml:space="preserve">2170673869 </v>
      </c>
      <c r="G3584" s="20" t="str">
        <f t="shared" si="101"/>
        <v>ON1</v>
      </c>
      <c r="H3584" s="20" t="s">
        <v>20</v>
      </c>
      <c r="I3584" s="20" t="s">
        <v>278</v>
      </c>
      <c r="J3584" s="20" t="str">
        <f>""</f>
        <v/>
      </c>
      <c r="K3584" s="20" t="str">
        <f>"PFES1162675001_0001"</f>
        <v>PFES1162675001_0001</v>
      </c>
      <c r="L3584" s="20">
        <v>1</v>
      </c>
      <c r="M3584" s="20">
        <v>1</v>
      </c>
    </row>
    <row r="3585" spans="1:13">
      <c r="A3585" s="6">
        <v>43521</v>
      </c>
      <c r="B3585" s="7">
        <v>0.52638888888888891</v>
      </c>
      <c r="C3585" s="20" t="str">
        <f>"FES1162674924"</f>
        <v>FES1162674924</v>
      </c>
      <c r="D3585" s="20" t="s">
        <v>18</v>
      </c>
      <c r="E3585" s="20" t="s">
        <v>238</v>
      </c>
      <c r="F3585" s="20" t="str">
        <f>"2170671850 "</f>
        <v xml:space="preserve">2170671850 </v>
      </c>
      <c r="G3585" s="20" t="str">
        <f t="shared" si="101"/>
        <v>ON1</v>
      </c>
      <c r="H3585" s="20" t="s">
        <v>20</v>
      </c>
      <c r="I3585" s="20" t="s">
        <v>239</v>
      </c>
      <c r="J3585" s="20" t="str">
        <f>""</f>
        <v/>
      </c>
      <c r="K3585" s="20" t="str">
        <f>"PFES1162674924_0001"</f>
        <v>PFES1162674924_0001</v>
      </c>
      <c r="L3585" s="20">
        <v>1</v>
      </c>
      <c r="M3585" s="20">
        <v>1</v>
      </c>
    </row>
    <row r="3586" spans="1:13">
      <c r="A3586" s="6">
        <v>43521</v>
      </c>
      <c r="B3586" s="7">
        <v>0.52638888888888891</v>
      </c>
      <c r="C3586" s="20" t="str">
        <f>"FES1162672755"</f>
        <v>FES1162672755</v>
      </c>
      <c r="D3586" s="20" t="s">
        <v>18</v>
      </c>
      <c r="E3586" s="20" t="s">
        <v>1157</v>
      </c>
      <c r="F3586" s="20" t="str">
        <f>"2170672755 "</f>
        <v xml:space="preserve">2170672755 </v>
      </c>
      <c r="G3586" s="20" t="str">
        <f t="shared" si="101"/>
        <v>ON1</v>
      </c>
      <c r="H3586" s="20" t="s">
        <v>20</v>
      </c>
      <c r="I3586" s="20" t="s">
        <v>99</v>
      </c>
      <c r="J3586" s="20" t="str">
        <f>""</f>
        <v/>
      </c>
      <c r="K3586" s="20" t="str">
        <f>"PFES1162672755_0001"</f>
        <v>PFES1162672755_0001</v>
      </c>
      <c r="L3586" s="20">
        <v>2</v>
      </c>
      <c r="M3586" s="20">
        <v>4</v>
      </c>
    </row>
    <row r="3587" spans="1:13">
      <c r="A3587" s="6">
        <v>43521</v>
      </c>
      <c r="B3587" s="7">
        <v>0.52638888888888891</v>
      </c>
      <c r="C3587" s="20" t="str">
        <f>"FES1162672755"</f>
        <v>FES1162672755</v>
      </c>
      <c r="D3587" s="20" t="s">
        <v>18</v>
      </c>
      <c r="E3587" s="20" t="s">
        <v>1157</v>
      </c>
      <c r="F3587" s="20" t="str">
        <f>"2170672755 "</f>
        <v xml:space="preserve">2170672755 </v>
      </c>
      <c r="G3587" s="20" t="str">
        <f t="shared" si="101"/>
        <v>ON1</v>
      </c>
      <c r="H3587" s="20" t="s">
        <v>20</v>
      </c>
      <c r="I3587" s="20" t="s">
        <v>99</v>
      </c>
      <c r="J3587" s="20"/>
      <c r="K3587" s="20" t="str">
        <f>"PFES1162672755_0002"</f>
        <v>PFES1162672755_0002</v>
      </c>
      <c r="L3587" s="20">
        <v>2</v>
      </c>
      <c r="M3587" s="20">
        <v>4</v>
      </c>
    </row>
    <row r="3588" spans="1:13">
      <c r="A3588" s="6">
        <v>43521</v>
      </c>
      <c r="B3588" s="7">
        <v>0.52569444444444446</v>
      </c>
      <c r="C3588" s="20" t="str">
        <f>"FES1162674931"</f>
        <v>FES1162674931</v>
      </c>
      <c r="D3588" s="20" t="s">
        <v>18</v>
      </c>
      <c r="E3588" s="20" t="s">
        <v>1158</v>
      </c>
      <c r="F3588" s="20" t="str">
        <f>"2170675981 "</f>
        <v xml:space="preserve">2170675981 </v>
      </c>
      <c r="G3588" s="20" t="str">
        <f t="shared" ref="G3588:G3598" si="102">"ON1"</f>
        <v>ON1</v>
      </c>
      <c r="H3588" s="20" t="s">
        <v>20</v>
      </c>
      <c r="I3588" s="20" t="s">
        <v>43</v>
      </c>
      <c r="J3588" s="20" t="str">
        <f>""</f>
        <v/>
      </c>
      <c r="K3588" s="20" t="str">
        <f>"PFES1162674931_0001"</f>
        <v>PFES1162674931_0001</v>
      </c>
      <c r="L3588" s="20">
        <v>1</v>
      </c>
      <c r="M3588" s="20">
        <v>1</v>
      </c>
    </row>
    <row r="3589" spans="1:13">
      <c r="A3589" s="6">
        <v>43521</v>
      </c>
      <c r="B3589" s="7">
        <v>0.52500000000000002</v>
      </c>
      <c r="C3589" s="20" t="str">
        <f>"FES1162675045"</f>
        <v>FES1162675045</v>
      </c>
      <c r="D3589" s="20" t="s">
        <v>18</v>
      </c>
      <c r="E3589" s="20" t="s">
        <v>530</v>
      </c>
      <c r="F3589" s="20" t="str">
        <f>"2170676029 "</f>
        <v xml:space="preserve">2170676029 </v>
      </c>
      <c r="G3589" s="20" t="str">
        <f t="shared" si="102"/>
        <v>ON1</v>
      </c>
      <c r="H3589" s="20" t="s">
        <v>20</v>
      </c>
      <c r="I3589" s="20" t="s">
        <v>531</v>
      </c>
      <c r="J3589" s="20" t="str">
        <f>""</f>
        <v/>
      </c>
      <c r="K3589" s="20" t="str">
        <f>"PFES1162675045_0001"</f>
        <v>PFES1162675045_0001</v>
      </c>
      <c r="L3589" s="20">
        <v>1</v>
      </c>
      <c r="M3589" s="20">
        <v>1</v>
      </c>
    </row>
    <row r="3590" spans="1:13">
      <c r="A3590" s="6">
        <v>43521</v>
      </c>
      <c r="B3590" s="7">
        <v>0.52430555555555558</v>
      </c>
      <c r="C3590" s="20" t="str">
        <f>"FES1162674864"</f>
        <v>FES1162674864</v>
      </c>
      <c r="D3590" s="20" t="s">
        <v>18</v>
      </c>
      <c r="E3590" s="20" t="s">
        <v>194</v>
      </c>
      <c r="F3590" s="20" t="str">
        <f>"2170673615 "</f>
        <v xml:space="preserve">2170673615 </v>
      </c>
      <c r="G3590" s="20" t="str">
        <f t="shared" si="102"/>
        <v>ON1</v>
      </c>
      <c r="H3590" s="20" t="s">
        <v>20</v>
      </c>
      <c r="I3590" s="20" t="s">
        <v>48</v>
      </c>
      <c r="J3590" s="20" t="str">
        <f>""</f>
        <v/>
      </c>
      <c r="K3590" s="20" t="str">
        <f>"PFES1162674864_0001"</f>
        <v>PFES1162674864_0001</v>
      </c>
      <c r="L3590" s="20">
        <v>1</v>
      </c>
      <c r="M3590" s="20">
        <v>2</v>
      </c>
    </row>
    <row r="3591" spans="1:13">
      <c r="A3591" s="6">
        <v>43521</v>
      </c>
      <c r="B3591" s="7">
        <v>0.5229166666666667</v>
      </c>
      <c r="C3591" s="20" t="str">
        <f>"FES1162674940"</f>
        <v>FES1162674940</v>
      </c>
      <c r="D3591" s="20" t="s">
        <v>18</v>
      </c>
      <c r="E3591" s="20" t="s">
        <v>138</v>
      </c>
      <c r="F3591" s="20" t="str">
        <f>"2170670158 "</f>
        <v xml:space="preserve">2170670158 </v>
      </c>
      <c r="G3591" s="20" t="str">
        <f t="shared" si="102"/>
        <v>ON1</v>
      </c>
      <c r="H3591" s="20" t="s">
        <v>20</v>
      </c>
      <c r="I3591" s="20" t="s">
        <v>139</v>
      </c>
      <c r="J3591" s="20" t="str">
        <f>""</f>
        <v/>
      </c>
      <c r="K3591" s="20" t="str">
        <f>"PFES1162674940_0001"</f>
        <v>PFES1162674940_0001</v>
      </c>
      <c r="L3591" s="20">
        <v>1</v>
      </c>
      <c r="M3591" s="20">
        <v>2</v>
      </c>
    </row>
    <row r="3592" spans="1:13">
      <c r="A3592" s="6">
        <v>43521</v>
      </c>
      <c r="B3592" s="7">
        <v>0.52083333333333337</v>
      </c>
      <c r="C3592" s="20" t="str">
        <f>"FES1162674886"</f>
        <v>FES1162674886</v>
      </c>
      <c r="D3592" s="20" t="s">
        <v>18</v>
      </c>
      <c r="E3592" s="20" t="s">
        <v>1027</v>
      </c>
      <c r="F3592" s="20" t="str">
        <f>"2170675674 "</f>
        <v xml:space="preserve">2170675674 </v>
      </c>
      <c r="G3592" s="20" t="str">
        <f t="shared" si="102"/>
        <v>ON1</v>
      </c>
      <c r="H3592" s="20" t="s">
        <v>20</v>
      </c>
      <c r="I3592" s="20" t="s">
        <v>130</v>
      </c>
      <c r="J3592" s="20" t="str">
        <f>""</f>
        <v/>
      </c>
      <c r="K3592" s="20" t="str">
        <f>"PFES1162674886_0001"</f>
        <v>PFES1162674886_0001</v>
      </c>
      <c r="L3592" s="20">
        <v>2</v>
      </c>
      <c r="M3592" s="20">
        <v>3</v>
      </c>
    </row>
    <row r="3593" spans="1:13">
      <c r="A3593" s="6">
        <v>43521</v>
      </c>
      <c r="B3593" s="7">
        <v>0.52083333333333337</v>
      </c>
      <c r="C3593" s="20" t="str">
        <f>"FES1162674886"</f>
        <v>FES1162674886</v>
      </c>
      <c r="D3593" s="20" t="s">
        <v>18</v>
      </c>
      <c r="E3593" s="20" t="s">
        <v>1027</v>
      </c>
      <c r="F3593" s="20" t="str">
        <f>"2170675674 "</f>
        <v xml:space="preserve">2170675674 </v>
      </c>
      <c r="G3593" s="20" t="str">
        <f t="shared" si="102"/>
        <v>ON1</v>
      </c>
      <c r="H3593" s="20" t="s">
        <v>20</v>
      </c>
      <c r="I3593" s="20" t="s">
        <v>130</v>
      </c>
      <c r="J3593" s="20"/>
      <c r="K3593" s="20" t="str">
        <f>"PFES1162674886_0002"</f>
        <v>PFES1162674886_0002</v>
      </c>
      <c r="L3593" s="20">
        <v>2</v>
      </c>
      <c r="M3593" s="20">
        <v>3</v>
      </c>
    </row>
    <row r="3594" spans="1:13">
      <c r="A3594" s="6">
        <v>43521</v>
      </c>
      <c r="B3594" s="7">
        <v>0.50416666666666665</v>
      </c>
      <c r="C3594" s="20" t="str">
        <f>"FES1162674841"</f>
        <v>FES1162674841</v>
      </c>
      <c r="D3594" s="20" t="s">
        <v>18</v>
      </c>
      <c r="E3594" s="20" t="s">
        <v>132</v>
      </c>
      <c r="F3594" s="20" t="str">
        <f>"2170671161 "</f>
        <v xml:space="preserve">2170671161 </v>
      </c>
      <c r="G3594" s="20" t="str">
        <f t="shared" si="102"/>
        <v>ON1</v>
      </c>
      <c r="H3594" s="20" t="s">
        <v>20</v>
      </c>
      <c r="I3594" s="20" t="s">
        <v>133</v>
      </c>
      <c r="J3594" s="20" t="str">
        <f>""</f>
        <v/>
      </c>
      <c r="K3594" s="20" t="str">
        <f>"PFES1162674841_0001"</f>
        <v>PFES1162674841_0001</v>
      </c>
      <c r="L3594" s="20">
        <v>1</v>
      </c>
      <c r="M3594" s="20">
        <v>1</v>
      </c>
    </row>
    <row r="3595" spans="1:13">
      <c r="A3595" s="6">
        <v>43521</v>
      </c>
      <c r="B3595" s="7">
        <v>0.50347222222222221</v>
      </c>
      <c r="C3595" s="20" t="str">
        <f>"FES1162674862"</f>
        <v>FES1162674862</v>
      </c>
      <c r="D3595" s="20" t="s">
        <v>18</v>
      </c>
      <c r="E3595" s="20" t="s">
        <v>1159</v>
      </c>
      <c r="F3595" s="20" t="str">
        <f>"2170673310 "</f>
        <v xml:space="preserve">2170673310 </v>
      </c>
      <c r="G3595" s="20" t="str">
        <f t="shared" si="102"/>
        <v>ON1</v>
      </c>
      <c r="H3595" s="20" t="s">
        <v>20</v>
      </c>
      <c r="I3595" s="20" t="s">
        <v>39</v>
      </c>
      <c r="J3595" s="20" t="str">
        <f>""</f>
        <v/>
      </c>
      <c r="K3595" s="20" t="str">
        <f>"PFES1162674862_0001"</f>
        <v>PFES1162674862_0001</v>
      </c>
      <c r="L3595" s="20">
        <v>1</v>
      </c>
      <c r="M3595" s="20">
        <v>1</v>
      </c>
    </row>
    <row r="3596" spans="1:13">
      <c r="A3596" s="6">
        <v>43521</v>
      </c>
      <c r="B3596" s="7">
        <v>0.50208333333333333</v>
      </c>
      <c r="C3596" s="20" t="str">
        <f>"FES1162674866"</f>
        <v>FES1162674866</v>
      </c>
      <c r="D3596" s="20" t="s">
        <v>18</v>
      </c>
      <c r="E3596" s="20" t="s">
        <v>1160</v>
      </c>
      <c r="F3596" s="20" t="str">
        <f>"2170674209 "</f>
        <v xml:space="preserve">2170674209 </v>
      </c>
      <c r="G3596" s="20" t="str">
        <f t="shared" si="102"/>
        <v>ON1</v>
      </c>
      <c r="H3596" s="20" t="s">
        <v>20</v>
      </c>
      <c r="I3596" s="20" t="s">
        <v>555</v>
      </c>
      <c r="J3596" s="20" t="str">
        <f>""</f>
        <v/>
      </c>
      <c r="K3596" s="20" t="str">
        <f>"PFES1162674866_0001"</f>
        <v>PFES1162674866_0001</v>
      </c>
      <c r="L3596" s="20">
        <v>1</v>
      </c>
      <c r="M3596" s="20">
        <v>1</v>
      </c>
    </row>
    <row r="3597" spans="1:13">
      <c r="A3597" s="6">
        <v>43521</v>
      </c>
      <c r="B3597" s="7">
        <v>0.50208333333333333</v>
      </c>
      <c r="C3597" s="20" t="str">
        <f>"FES1162674882"</f>
        <v>FES1162674882</v>
      </c>
      <c r="D3597" s="20" t="s">
        <v>18</v>
      </c>
      <c r="E3597" s="20" t="s">
        <v>1161</v>
      </c>
      <c r="F3597" s="20" t="str">
        <f>"217675164 "</f>
        <v xml:space="preserve">217675164 </v>
      </c>
      <c r="G3597" s="20" t="str">
        <f t="shared" si="102"/>
        <v>ON1</v>
      </c>
      <c r="H3597" s="20" t="s">
        <v>20</v>
      </c>
      <c r="I3597" s="20" t="s">
        <v>867</v>
      </c>
      <c r="J3597" s="20" t="str">
        <f>""</f>
        <v/>
      </c>
      <c r="K3597" s="20" t="str">
        <f>"PFES1162674882_0001"</f>
        <v>PFES1162674882_0001</v>
      </c>
      <c r="L3597" s="20">
        <v>1</v>
      </c>
      <c r="M3597" s="20">
        <v>1</v>
      </c>
    </row>
    <row r="3598" spans="1:13">
      <c r="A3598" s="6">
        <v>43521</v>
      </c>
      <c r="B3598" s="7">
        <v>0.49791666666666662</v>
      </c>
      <c r="C3598" s="20" t="str">
        <f>"009935791984"</f>
        <v>009935791984</v>
      </c>
      <c r="D3598" s="20" t="s">
        <v>18</v>
      </c>
      <c r="E3598" s="20" t="s">
        <v>253</v>
      </c>
      <c r="F3598" s="20" t="str">
        <f>"1162674136 "</f>
        <v xml:space="preserve">1162674136 </v>
      </c>
      <c r="G3598" s="20" t="str">
        <f t="shared" si="102"/>
        <v>ON1</v>
      </c>
      <c r="H3598" s="20" t="s">
        <v>20</v>
      </c>
      <c r="I3598" s="20" t="s">
        <v>226</v>
      </c>
      <c r="J3598" s="20" t="str">
        <f>""</f>
        <v/>
      </c>
      <c r="K3598" s="20" t="str">
        <f>"P009935791984_0001"</f>
        <v>P009935791984_0001</v>
      </c>
      <c r="L3598" s="20">
        <v>1</v>
      </c>
      <c r="M3598" s="20">
        <v>1</v>
      </c>
    </row>
    <row r="3599" spans="1:13">
      <c r="A3599" s="6">
        <v>43522</v>
      </c>
      <c r="B3599" s="7">
        <v>0.6958333333333333</v>
      </c>
      <c r="C3599" s="21" t="str">
        <f>"FES1162675450"</f>
        <v>FES1162675450</v>
      </c>
      <c r="D3599" s="21" t="s">
        <v>18</v>
      </c>
      <c r="E3599" s="21" t="s">
        <v>928</v>
      </c>
      <c r="F3599" s="21" t="str">
        <f>"2170676322 "</f>
        <v xml:space="preserve">2170676322 </v>
      </c>
      <c r="G3599" s="21" t="str">
        <f>"ON1"</f>
        <v>ON1</v>
      </c>
      <c r="H3599" s="21" t="s">
        <v>20</v>
      </c>
      <c r="I3599" s="21" t="s">
        <v>679</v>
      </c>
      <c r="J3599" s="21" t="str">
        <f>""</f>
        <v/>
      </c>
      <c r="K3599" s="21" t="str">
        <f>"PFES1162675450_0001"</f>
        <v>PFES1162675450_0001</v>
      </c>
      <c r="L3599" s="21">
        <v>1</v>
      </c>
      <c r="M3599" s="21">
        <v>5</v>
      </c>
    </row>
    <row r="3600" spans="1:13">
      <c r="A3600" s="6">
        <v>43522</v>
      </c>
      <c r="B3600" s="7">
        <v>0.69305555555555554</v>
      </c>
      <c r="C3600" s="21" t="str">
        <f>"FES1162675508"</f>
        <v>FES1162675508</v>
      </c>
      <c r="D3600" s="21" t="s">
        <v>18</v>
      </c>
      <c r="E3600" s="21" t="s">
        <v>780</v>
      </c>
      <c r="F3600" s="21" t="str">
        <f>"2170676355 "</f>
        <v xml:space="preserve">2170676355 </v>
      </c>
      <c r="G3600" s="21" t="str">
        <f>"ON1"</f>
        <v>ON1</v>
      </c>
      <c r="H3600" s="21" t="s">
        <v>20</v>
      </c>
      <c r="I3600" s="21" t="s">
        <v>781</v>
      </c>
      <c r="J3600" s="21" t="str">
        <f>""</f>
        <v/>
      </c>
      <c r="K3600" s="21" t="str">
        <f>"PFES1162675508_0001"</f>
        <v>PFES1162675508_0001</v>
      </c>
      <c r="L3600" s="21">
        <v>1</v>
      </c>
      <c r="M3600" s="21">
        <v>1</v>
      </c>
    </row>
    <row r="3601" spans="1:13">
      <c r="A3601" s="6">
        <v>43522</v>
      </c>
      <c r="B3601" s="7">
        <v>0.69166666666666676</v>
      </c>
      <c r="C3601" s="21" t="str">
        <f>"FES116675421"</f>
        <v>FES116675421</v>
      </c>
      <c r="D3601" s="21" t="s">
        <v>18</v>
      </c>
      <c r="E3601" s="21" t="s">
        <v>313</v>
      </c>
      <c r="F3601" s="21" t="str">
        <f>"2170676284 "</f>
        <v xml:space="preserve">2170676284 </v>
      </c>
      <c r="G3601" s="21" t="str">
        <f>"DBC"</f>
        <v>DBC</v>
      </c>
      <c r="H3601" s="21" t="s">
        <v>20</v>
      </c>
      <c r="I3601" s="21" t="s">
        <v>314</v>
      </c>
      <c r="J3601" s="21" t="str">
        <f>"FRAGILE OIL"</f>
        <v>FRAGILE OIL</v>
      </c>
      <c r="K3601" s="21" t="str">
        <f>"PFES116675421_0001"</f>
        <v>PFES116675421_0001</v>
      </c>
      <c r="L3601" s="21">
        <v>1</v>
      </c>
      <c r="M3601" s="21">
        <v>5</v>
      </c>
    </row>
    <row r="3602" spans="1:13">
      <c r="A3602" s="6">
        <v>43522</v>
      </c>
      <c r="B3602" s="7">
        <v>0.69097222222222221</v>
      </c>
      <c r="C3602" s="21" t="str">
        <f>"FES1162675099"</f>
        <v>FES1162675099</v>
      </c>
      <c r="D3602" s="21" t="s">
        <v>18</v>
      </c>
      <c r="E3602" s="21" t="s">
        <v>150</v>
      </c>
      <c r="F3602" s="21" t="str">
        <f>"2170670846 "</f>
        <v xml:space="preserve">2170670846 </v>
      </c>
      <c r="G3602" s="21" t="str">
        <f t="shared" ref="G3602:G3665" si="103">"ON1"</f>
        <v>ON1</v>
      </c>
      <c r="H3602" s="21" t="s">
        <v>20</v>
      </c>
      <c r="I3602" s="21" t="s">
        <v>137</v>
      </c>
      <c r="J3602" s="21" t="str">
        <f>""</f>
        <v/>
      </c>
      <c r="K3602" s="21" t="str">
        <f>"PFES1162675099_0001"</f>
        <v>PFES1162675099_0001</v>
      </c>
      <c r="L3602" s="21">
        <v>1</v>
      </c>
      <c r="M3602" s="21">
        <v>3</v>
      </c>
    </row>
    <row r="3603" spans="1:13">
      <c r="A3603" s="6">
        <v>43522</v>
      </c>
      <c r="B3603" s="7">
        <v>0.69027777777777777</v>
      </c>
      <c r="C3603" s="21" t="str">
        <f>"FES1162675101"</f>
        <v>FES1162675101</v>
      </c>
      <c r="D3603" s="21" t="s">
        <v>18</v>
      </c>
      <c r="E3603" s="21" t="s">
        <v>360</v>
      </c>
      <c r="F3603" s="21" t="str">
        <f>"2170674122 "</f>
        <v xml:space="preserve">2170674122 </v>
      </c>
      <c r="G3603" s="21" t="str">
        <f t="shared" si="103"/>
        <v>ON1</v>
      </c>
      <c r="H3603" s="21" t="s">
        <v>20</v>
      </c>
      <c r="I3603" s="21" t="s">
        <v>121</v>
      </c>
      <c r="J3603" s="21" t="str">
        <f>""</f>
        <v/>
      </c>
      <c r="K3603" s="21" t="str">
        <f>"PFES1162675101_0001"</f>
        <v>PFES1162675101_0001</v>
      </c>
      <c r="L3603" s="21">
        <v>1</v>
      </c>
      <c r="M3603" s="21">
        <v>13</v>
      </c>
    </row>
    <row r="3604" spans="1:13">
      <c r="A3604" s="6">
        <v>43522</v>
      </c>
      <c r="B3604" s="7">
        <v>0.68958333333333333</v>
      </c>
      <c r="C3604" s="21" t="str">
        <f>"FES1162675524"</f>
        <v>FES1162675524</v>
      </c>
      <c r="D3604" s="21" t="s">
        <v>18</v>
      </c>
      <c r="E3604" s="21" t="s">
        <v>255</v>
      </c>
      <c r="F3604" s="21" t="str">
        <f>"2170676379 "</f>
        <v xml:space="preserve">2170676379 </v>
      </c>
      <c r="G3604" s="21" t="str">
        <f t="shared" si="103"/>
        <v>ON1</v>
      </c>
      <c r="H3604" s="21" t="s">
        <v>20</v>
      </c>
      <c r="I3604" s="21" t="s">
        <v>256</v>
      </c>
      <c r="J3604" s="21" t="str">
        <f>""</f>
        <v/>
      </c>
      <c r="K3604" s="21" t="str">
        <f>"PFES1162675524_0001"</f>
        <v>PFES1162675524_0001</v>
      </c>
      <c r="L3604" s="21">
        <v>1</v>
      </c>
      <c r="M3604" s="21">
        <v>4</v>
      </c>
    </row>
    <row r="3605" spans="1:13">
      <c r="A3605" s="6">
        <v>43522</v>
      </c>
      <c r="B3605" s="7">
        <v>0.68888888888888899</v>
      </c>
      <c r="C3605" s="21" t="str">
        <f>"FES1162675528"</f>
        <v>FES1162675528</v>
      </c>
      <c r="D3605" s="21" t="s">
        <v>18</v>
      </c>
      <c r="E3605" s="21" t="s">
        <v>474</v>
      </c>
      <c r="F3605" s="21" t="str">
        <f>"2170676372 "</f>
        <v xml:space="preserve">2170676372 </v>
      </c>
      <c r="G3605" s="21" t="str">
        <f t="shared" si="103"/>
        <v>ON1</v>
      </c>
      <c r="H3605" s="21" t="s">
        <v>20</v>
      </c>
      <c r="I3605" s="21" t="s">
        <v>475</v>
      </c>
      <c r="J3605" s="21" t="str">
        <f>""</f>
        <v/>
      </c>
      <c r="K3605" s="21" t="str">
        <f>"PFES1162675528_0001"</f>
        <v>PFES1162675528_0001</v>
      </c>
      <c r="L3605" s="21">
        <v>1</v>
      </c>
      <c r="M3605" s="21">
        <v>3</v>
      </c>
    </row>
    <row r="3606" spans="1:13">
      <c r="A3606" s="6">
        <v>43522</v>
      </c>
      <c r="B3606" s="7">
        <v>0.68888888888888899</v>
      </c>
      <c r="C3606" s="21" t="str">
        <f>"FES1162675498"</f>
        <v>FES1162675498</v>
      </c>
      <c r="D3606" s="21" t="s">
        <v>18</v>
      </c>
      <c r="E3606" s="21" t="s">
        <v>297</v>
      </c>
      <c r="F3606" s="21" t="str">
        <f>"2170676338 "</f>
        <v xml:space="preserve">2170676338 </v>
      </c>
      <c r="G3606" s="21" t="str">
        <f t="shared" si="103"/>
        <v>ON1</v>
      </c>
      <c r="H3606" s="21" t="s">
        <v>20</v>
      </c>
      <c r="I3606" s="21" t="s">
        <v>210</v>
      </c>
      <c r="J3606" s="21" t="str">
        <f>""</f>
        <v/>
      </c>
      <c r="K3606" s="21" t="str">
        <f>"PFES1162675498_0001"</f>
        <v>PFES1162675498_0001</v>
      </c>
      <c r="L3606" s="21">
        <v>1</v>
      </c>
      <c r="M3606" s="21">
        <v>1</v>
      </c>
    </row>
    <row r="3607" spans="1:13">
      <c r="A3607" s="6">
        <v>43522</v>
      </c>
      <c r="B3607" s="7">
        <v>0.68888888888888899</v>
      </c>
      <c r="C3607" s="21" t="str">
        <f>"FES1162675523"</f>
        <v>FES1162675523</v>
      </c>
      <c r="D3607" s="21" t="s">
        <v>18</v>
      </c>
      <c r="E3607" s="21" t="s">
        <v>225</v>
      </c>
      <c r="F3607" s="21" t="str">
        <f>"2170676377 "</f>
        <v xml:space="preserve">2170676377 </v>
      </c>
      <c r="G3607" s="21" t="str">
        <f t="shared" si="103"/>
        <v>ON1</v>
      </c>
      <c r="H3607" s="21" t="s">
        <v>20</v>
      </c>
      <c r="I3607" s="21" t="s">
        <v>226</v>
      </c>
      <c r="J3607" s="21" t="str">
        <f>""</f>
        <v/>
      </c>
      <c r="K3607" s="21" t="str">
        <f>"PFES1162675523_0001"</f>
        <v>PFES1162675523_0001</v>
      </c>
      <c r="L3607" s="21">
        <v>1</v>
      </c>
      <c r="M3607" s="21">
        <v>1</v>
      </c>
    </row>
    <row r="3608" spans="1:13">
      <c r="A3608" s="6">
        <v>43522</v>
      </c>
      <c r="B3608" s="7">
        <v>0.68819444444444444</v>
      </c>
      <c r="C3608" s="21" t="str">
        <f>"FES1162675522"</f>
        <v>FES1162675522</v>
      </c>
      <c r="D3608" s="21" t="s">
        <v>18</v>
      </c>
      <c r="E3608" s="21" t="s">
        <v>928</v>
      </c>
      <c r="F3608" s="21" t="str">
        <f>"2170676375 "</f>
        <v xml:space="preserve">2170676375 </v>
      </c>
      <c r="G3608" s="21" t="str">
        <f t="shared" si="103"/>
        <v>ON1</v>
      </c>
      <c r="H3608" s="21" t="s">
        <v>20</v>
      </c>
      <c r="I3608" s="21" t="s">
        <v>679</v>
      </c>
      <c r="J3608" s="21" t="str">
        <f>""</f>
        <v/>
      </c>
      <c r="K3608" s="21" t="str">
        <f>"PFES1162675522_0001"</f>
        <v>PFES1162675522_0001</v>
      </c>
      <c r="L3608" s="21">
        <v>1</v>
      </c>
      <c r="M3608" s="21">
        <v>1</v>
      </c>
    </row>
    <row r="3609" spans="1:13">
      <c r="A3609" s="6">
        <v>43522</v>
      </c>
      <c r="B3609" s="7">
        <v>0.68819444444444444</v>
      </c>
      <c r="C3609" s="21" t="str">
        <f>"FES1162675488"</f>
        <v>FES1162675488</v>
      </c>
      <c r="D3609" s="21" t="s">
        <v>18</v>
      </c>
      <c r="E3609" s="21" t="s">
        <v>328</v>
      </c>
      <c r="F3609" s="21" t="str">
        <f>"2170674526 "</f>
        <v xml:space="preserve">2170674526 </v>
      </c>
      <c r="G3609" s="21" t="str">
        <f t="shared" si="103"/>
        <v>ON1</v>
      </c>
      <c r="H3609" s="21" t="s">
        <v>20</v>
      </c>
      <c r="I3609" s="21" t="s">
        <v>29</v>
      </c>
      <c r="J3609" s="21" t="str">
        <f>""</f>
        <v/>
      </c>
      <c r="K3609" s="21" t="str">
        <f>"PFES1162675488_0001"</f>
        <v>PFES1162675488_0001</v>
      </c>
      <c r="L3609" s="21">
        <v>1</v>
      </c>
      <c r="M3609" s="21">
        <v>5</v>
      </c>
    </row>
    <row r="3610" spans="1:13">
      <c r="A3610" s="6">
        <v>43522</v>
      </c>
      <c r="B3610" s="7">
        <v>0.68819444444444444</v>
      </c>
      <c r="C3610" s="21" t="str">
        <f>"FES1162675507"</f>
        <v>FES1162675507</v>
      </c>
      <c r="D3610" s="21" t="s">
        <v>18</v>
      </c>
      <c r="E3610" s="21" t="s">
        <v>928</v>
      </c>
      <c r="F3610" s="21" t="str">
        <f>"2170676354 "</f>
        <v xml:space="preserve">2170676354 </v>
      </c>
      <c r="G3610" s="21" t="str">
        <f t="shared" si="103"/>
        <v>ON1</v>
      </c>
      <c r="H3610" s="21" t="s">
        <v>20</v>
      </c>
      <c r="I3610" s="21" t="s">
        <v>679</v>
      </c>
      <c r="J3610" s="21" t="str">
        <f>""</f>
        <v/>
      </c>
      <c r="K3610" s="21" t="str">
        <f>"PFES1162675507_0001"</f>
        <v>PFES1162675507_0001</v>
      </c>
      <c r="L3610" s="21">
        <v>1</v>
      </c>
      <c r="M3610" s="21">
        <v>1</v>
      </c>
    </row>
    <row r="3611" spans="1:13">
      <c r="A3611" s="6">
        <v>43522</v>
      </c>
      <c r="B3611" s="7">
        <v>0.6875</v>
      </c>
      <c r="C3611" s="21" t="str">
        <f>"FES1162675517"</f>
        <v>FES1162675517</v>
      </c>
      <c r="D3611" s="21" t="s">
        <v>18</v>
      </c>
      <c r="E3611" s="21" t="s">
        <v>1162</v>
      </c>
      <c r="F3611" s="21" t="str">
        <f>"2170676367 "</f>
        <v xml:space="preserve">2170676367 </v>
      </c>
      <c r="G3611" s="21" t="str">
        <f t="shared" si="103"/>
        <v>ON1</v>
      </c>
      <c r="H3611" s="21" t="s">
        <v>20</v>
      </c>
      <c r="I3611" s="21" t="s">
        <v>1163</v>
      </c>
      <c r="J3611" s="21" t="str">
        <f>""</f>
        <v/>
      </c>
      <c r="K3611" s="21" t="str">
        <f>"PFES1162675517_0001"</f>
        <v>PFES1162675517_0001</v>
      </c>
      <c r="L3611" s="21">
        <v>1</v>
      </c>
      <c r="M3611" s="21">
        <v>1</v>
      </c>
    </row>
    <row r="3612" spans="1:13">
      <c r="A3612" s="6">
        <v>43522</v>
      </c>
      <c r="B3612" s="7">
        <v>0.6875</v>
      </c>
      <c r="C3612" s="21" t="str">
        <f>"FES1162675487"</f>
        <v>FES1162675487</v>
      </c>
      <c r="D3612" s="21" t="s">
        <v>18</v>
      </c>
      <c r="E3612" s="21" t="s">
        <v>1164</v>
      </c>
      <c r="F3612" s="21" t="str">
        <f>"2170674515 "</f>
        <v xml:space="preserve">2170674515 </v>
      </c>
      <c r="G3612" s="21" t="str">
        <f t="shared" si="103"/>
        <v>ON1</v>
      </c>
      <c r="H3612" s="21" t="s">
        <v>20</v>
      </c>
      <c r="I3612" s="21" t="s">
        <v>821</v>
      </c>
      <c r="J3612" s="21" t="str">
        <f>""</f>
        <v/>
      </c>
      <c r="K3612" s="21" t="str">
        <f>"PFES1162675487_0001"</f>
        <v>PFES1162675487_0001</v>
      </c>
      <c r="L3612" s="21">
        <v>1</v>
      </c>
      <c r="M3612" s="21">
        <v>1</v>
      </c>
    </row>
    <row r="3613" spans="1:13">
      <c r="A3613" s="6">
        <v>43522</v>
      </c>
      <c r="B3613" s="7">
        <v>0.6875</v>
      </c>
      <c r="C3613" s="21" t="str">
        <f>"FES1162675531"</f>
        <v>FES1162675531</v>
      </c>
      <c r="D3613" s="21" t="s">
        <v>18</v>
      </c>
      <c r="E3613" s="21" t="s">
        <v>253</v>
      </c>
      <c r="F3613" s="21" t="str">
        <f>"2170676387 "</f>
        <v xml:space="preserve">2170676387 </v>
      </c>
      <c r="G3613" s="21" t="str">
        <f t="shared" si="103"/>
        <v>ON1</v>
      </c>
      <c r="H3613" s="21" t="s">
        <v>20</v>
      </c>
      <c r="I3613" s="21" t="s">
        <v>226</v>
      </c>
      <c r="J3613" s="21" t="str">
        <f>""</f>
        <v/>
      </c>
      <c r="K3613" s="21" t="str">
        <f>"PFES1162675531_0001"</f>
        <v>PFES1162675531_0001</v>
      </c>
      <c r="L3613" s="21">
        <v>1</v>
      </c>
      <c r="M3613" s="21">
        <v>15</v>
      </c>
    </row>
    <row r="3614" spans="1:13">
      <c r="A3614" s="6">
        <v>43522</v>
      </c>
      <c r="B3614" s="7">
        <v>0.68680555555555556</v>
      </c>
      <c r="C3614" s="21" t="str">
        <f>"FES1162675540"</f>
        <v>FES1162675540</v>
      </c>
      <c r="D3614" s="21" t="s">
        <v>18</v>
      </c>
      <c r="E3614" s="21" t="s">
        <v>19</v>
      </c>
      <c r="F3614" s="21" t="str">
        <f>"2170674162 "</f>
        <v xml:space="preserve">2170674162 </v>
      </c>
      <c r="G3614" s="21" t="str">
        <f t="shared" si="103"/>
        <v>ON1</v>
      </c>
      <c r="H3614" s="21" t="s">
        <v>20</v>
      </c>
      <c r="I3614" s="21" t="s">
        <v>21</v>
      </c>
      <c r="J3614" s="21" t="str">
        <f>""</f>
        <v/>
      </c>
      <c r="K3614" s="21" t="str">
        <f>"PFES1162675540_0001"</f>
        <v>PFES1162675540_0001</v>
      </c>
      <c r="L3614" s="21">
        <v>1</v>
      </c>
      <c r="M3614" s="21">
        <v>1</v>
      </c>
    </row>
    <row r="3615" spans="1:13">
      <c r="A3615" s="6">
        <v>43522</v>
      </c>
      <c r="B3615" s="7">
        <v>0.68680555555555556</v>
      </c>
      <c r="C3615" s="21" t="str">
        <f>"FES1162675541"</f>
        <v>FES1162675541</v>
      </c>
      <c r="D3615" s="21" t="s">
        <v>18</v>
      </c>
      <c r="E3615" s="21" t="s">
        <v>581</v>
      </c>
      <c r="F3615" s="21" t="str">
        <f>"217067668740 "</f>
        <v xml:space="preserve">217067668740 </v>
      </c>
      <c r="G3615" s="21" t="str">
        <f t="shared" si="103"/>
        <v>ON1</v>
      </c>
      <c r="H3615" s="21" t="s">
        <v>20</v>
      </c>
      <c r="I3615" s="21" t="s">
        <v>504</v>
      </c>
      <c r="J3615" s="21" t="str">
        <f>""</f>
        <v/>
      </c>
      <c r="K3615" s="21" t="str">
        <f>"PFES1162675541_0001"</f>
        <v>PFES1162675541_0001</v>
      </c>
      <c r="L3615" s="21">
        <v>1</v>
      </c>
      <c r="M3615" s="21">
        <v>1</v>
      </c>
    </row>
    <row r="3616" spans="1:13">
      <c r="A3616" s="6">
        <v>43522</v>
      </c>
      <c r="B3616" s="7">
        <v>0.68680555555555556</v>
      </c>
      <c r="C3616" s="21" t="str">
        <f>"FES1162675547"</f>
        <v>FES1162675547</v>
      </c>
      <c r="D3616" s="21" t="s">
        <v>18</v>
      </c>
      <c r="E3616" s="21" t="s">
        <v>1165</v>
      </c>
      <c r="F3616" s="21" t="str">
        <f>"2170676397 "</f>
        <v xml:space="preserve">2170676397 </v>
      </c>
      <c r="G3616" s="21" t="str">
        <f t="shared" si="103"/>
        <v>ON1</v>
      </c>
      <c r="H3616" s="21" t="s">
        <v>20</v>
      </c>
      <c r="I3616" s="21" t="s">
        <v>1166</v>
      </c>
      <c r="J3616" s="21" t="str">
        <f>""</f>
        <v/>
      </c>
      <c r="K3616" s="21" t="str">
        <f>"PFES1162675547_0001"</f>
        <v>PFES1162675547_0001</v>
      </c>
      <c r="L3616" s="21">
        <v>1</v>
      </c>
      <c r="M3616" s="21">
        <v>1</v>
      </c>
    </row>
    <row r="3617" spans="1:13">
      <c r="A3617" s="6">
        <v>43522</v>
      </c>
      <c r="B3617" s="7">
        <v>0.68611111111111101</v>
      </c>
      <c r="C3617" s="21" t="str">
        <f>"FES1162675513"</f>
        <v>FES1162675513</v>
      </c>
      <c r="D3617" s="21" t="s">
        <v>18</v>
      </c>
      <c r="E3617" s="21" t="s">
        <v>218</v>
      </c>
      <c r="F3617" s="21" t="str">
        <f>"2170676351 "</f>
        <v xml:space="preserve">2170676351 </v>
      </c>
      <c r="G3617" s="21" t="str">
        <f t="shared" si="103"/>
        <v>ON1</v>
      </c>
      <c r="H3617" s="21" t="s">
        <v>20</v>
      </c>
      <c r="I3617" s="21" t="s">
        <v>219</v>
      </c>
      <c r="J3617" s="21" t="str">
        <f>""</f>
        <v/>
      </c>
      <c r="K3617" s="21" t="str">
        <f>"PFES1162675513_0001"</f>
        <v>PFES1162675513_0001</v>
      </c>
      <c r="L3617" s="21">
        <v>1</v>
      </c>
      <c r="M3617" s="21">
        <v>1</v>
      </c>
    </row>
    <row r="3618" spans="1:13">
      <c r="A3618" s="6">
        <v>43522</v>
      </c>
      <c r="B3618" s="7">
        <v>0.68055555555555547</v>
      </c>
      <c r="C3618" s="21" t="str">
        <f>"FES1162675514"</f>
        <v>FES1162675514</v>
      </c>
      <c r="D3618" s="21" t="s">
        <v>18</v>
      </c>
      <c r="E3618" s="21" t="s">
        <v>1030</v>
      </c>
      <c r="F3618" s="21" t="str">
        <f>"2170676363 "</f>
        <v xml:space="preserve">2170676363 </v>
      </c>
      <c r="G3618" s="21" t="str">
        <f t="shared" si="103"/>
        <v>ON1</v>
      </c>
      <c r="H3618" s="21" t="s">
        <v>20</v>
      </c>
      <c r="I3618" s="21" t="s">
        <v>324</v>
      </c>
      <c r="J3618" s="21" t="str">
        <f>""</f>
        <v/>
      </c>
      <c r="K3618" s="21" t="str">
        <f>"PFES1162675514_0001"</f>
        <v>PFES1162675514_0001</v>
      </c>
      <c r="L3618" s="21">
        <v>1</v>
      </c>
      <c r="M3618" s="21">
        <v>1</v>
      </c>
    </row>
    <row r="3619" spans="1:13">
      <c r="A3619" s="6">
        <v>43522</v>
      </c>
      <c r="B3619" s="7">
        <v>0.67986111111111114</v>
      </c>
      <c r="C3619" s="21" t="str">
        <f>"FES1162675519"</f>
        <v>FES1162675519</v>
      </c>
      <c r="D3619" s="21" t="s">
        <v>18</v>
      </c>
      <c r="E3619" s="21" t="s">
        <v>19</v>
      </c>
      <c r="F3619" s="21" t="str">
        <f>"217067639 "</f>
        <v xml:space="preserve">217067639 </v>
      </c>
      <c r="G3619" s="21" t="str">
        <f t="shared" si="103"/>
        <v>ON1</v>
      </c>
      <c r="H3619" s="21" t="s">
        <v>20</v>
      </c>
      <c r="I3619" s="21" t="s">
        <v>21</v>
      </c>
      <c r="J3619" s="21" t="str">
        <f>""</f>
        <v/>
      </c>
      <c r="K3619" s="21" t="str">
        <f>"PFES1162675519_0001"</f>
        <v>PFES1162675519_0001</v>
      </c>
      <c r="L3619" s="21">
        <v>1</v>
      </c>
      <c r="M3619" s="21">
        <v>1</v>
      </c>
    </row>
    <row r="3620" spans="1:13">
      <c r="A3620" s="6">
        <v>43522</v>
      </c>
      <c r="B3620" s="7">
        <v>0.67986111111111114</v>
      </c>
      <c r="C3620" s="21" t="str">
        <f>"FES1162675518"</f>
        <v>FES1162675518</v>
      </c>
      <c r="D3620" s="21" t="s">
        <v>18</v>
      </c>
      <c r="E3620" s="21" t="s">
        <v>907</v>
      </c>
      <c r="F3620" s="21" t="str">
        <f>"2170676368 "</f>
        <v xml:space="preserve">2170676368 </v>
      </c>
      <c r="G3620" s="21" t="str">
        <f t="shared" si="103"/>
        <v>ON1</v>
      </c>
      <c r="H3620" s="21" t="s">
        <v>20</v>
      </c>
      <c r="I3620" s="21" t="s">
        <v>635</v>
      </c>
      <c r="J3620" s="21" t="str">
        <f>""</f>
        <v/>
      </c>
      <c r="K3620" s="21" t="str">
        <f>"PFES1162675518_0001"</f>
        <v>PFES1162675518_0001</v>
      </c>
      <c r="L3620" s="21">
        <v>1</v>
      </c>
      <c r="M3620" s="21">
        <v>1</v>
      </c>
    </row>
    <row r="3621" spans="1:13">
      <c r="A3621" s="6">
        <v>43522</v>
      </c>
      <c r="B3621" s="7">
        <v>0.67986111111111114</v>
      </c>
      <c r="C3621" s="21" t="str">
        <f>"FES1162675095"</f>
        <v>FES1162675095</v>
      </c>
      <c r="D3621" s="21" t="s">
        <v>18</v>
      </c>
      <c r="E3621" s="21" t="s">
        <v>69</v>
      </c>
      <c r="F3621" s="21" t="str">
        <f>"2170671101 "</f>
        <v xml:space="preserve">2170671101 </v>
      </c>
      <c r="G3621" s="21" t="str">
        <f t="shared" si="103"/>
        <v>ON1</v>
      </c>
      <c r="H3621" s="21" t="s">
        <v>20</v>
      </c>
      <c r="I3621" s="21" t="s">
        <v>70</v>
      </c>
      <c r="J3621" s="21" t="str">
        <f>""</f>
        <v/>
      </c>
      <c r="K3621" s="21" t="str">
        <f>"PFES1162675095_0001"</f>
        <v>PFES1162675095_0001</v>
      </c>
      <c r="L3621" s="21">
        <v>1</v>
      </c>
      <c r="M3621" s="21">
        <v>1</v>
      </c>
    </row>
    <row r="3622" spans="1:13">
      <c r="A3622" s="6">
        <v>43522</v>
      </c>
      <c r="B3622" s="7">
        <v>0.6791666666666667</v>
      </c>
      <c r="C3622" s="21" t="str">
        <f>"FES1162675469"</f>
        <v>FES1162675469</v>
      </c>
      <c r="D3622" s="21" t="s">
        <v>18</v>
      </c>
      <c r="E3622" s="21" t="s">
        <v>629</v>
      </c>
      <c r="F3622" s="21" t="str">
        <f>"2170673404 "</f>
        <v xml:space="preserve">2170673404 </v>
      </c>
      <c r="G3622" s="21" t="str">
        <f t="shared" si="103"/>
        <v>ON1</v>
      </c>
      <c r="H3622" s="21" t="s">
        <v>20</v>
      </c>
      <c r="I3622" s="21" t="s">
        <v>420</v>
      </c>
      <c r="J3622" s="21" t="str">
        <f>""</f>
        <v/>
      </c>
      <c r="K3622" s="21" t="str">
        <f>"PFES1162675469_0001"</f>
        <v>PFES1162675469_0001</v>
      </c>
      <c r="L3622" s="21">
        <v>1</v>
      </c>
      <c r="M3622" s="21">
        <v>1</v>
      </c>
    </row>
    <row r="3623" spans="1:13">
      <c r="A3623" s="6">
        <v>43522</v>
      </c>
      <c r="B3623" s="7">
        <v>0.67847222222222225</v>
      </c>
      <c r="C3623" s="21" t="str">
        <f>"FES1162675470"</f>
        <v>FES1162675470</v>
      </c>
      <c r="D3623" s="21" t="s">
        <v>18</v>
      </c>
      <c r="E3623" s="21" t="s">
        <v>629</v>
      </c>
      <c r="F3623" s="21" t="str">
        <f>"2170673407 "</f>
        <v xml:space="preserve">2170673407 </v>
      </c>
      <c r="G3623" s="21" t="str">
        <f t="shared" si="103"/>
        <v>ON1</v>
      </c>
      <c r="H3623" s="21" t="s">
        <v>20</v>
      </c>
      <c r="I3623" s="21" t="s">
        <v>420</v>
      </c>
      <c r="J3623" s="21" t="str">
        <f>""</f>
        <v/>
      </c>
      <c r="K3623" s="21" t="str">
        <f>"PFES1162675470_0001"</f>
        <v>PFES1162675470_0001</v>
      </c>
      <c r="L3623" s="21">
        <v>1</v>
      </c>
      <c r="M3623" s="21">
        <v>1</v>
      </c>
    </row>
    <row r="3624" spans="1:13">
      <c r="A3624" s="6">
        <v>43522</v>
      </c>
      <c r="B3624" s="7">
        <v>0.67847222222222225</v>
      </c>
      <c r="C3624" s="21" t="str">
        <f>"FES1162675495"</f>
        <v>FES1162675495</v>
      </c>
      <c r="D3624" s="21" t="s">
        <v>18</v>
      </c>
      <c r="E3624" s="21" t="s">
        <v>604</v>
      </c>
      <c r="F3624" s="21" t="str">
        <f>"2170676339 "</f>
        <v xml:space="preserve">2170676339 </v>
      </c>
      <c r="G3624" s="21" t="str">
        <f t="shared" si="103"/>
        <v>ON1</v>
      </c>
      <c r="H3624" s="21" t="s">
        <v>20</v>
      </c>
      <c r="I3624" s="21" t="s">
        <v>149</v>
      </c>
      <c r="J3624" s="21" t="str">
        <f>""</f>
        <v/>
      </c>
      <c r="K3624" s="21" t="str">
        <f>"PFES1162675495_0001"</f>
        <v>PFES1162675495_0001</v>
      </c>
      <c r="L3624" s="21">
        <v>1</v>
      </c>
      <c r="M3624" s="21">
        <v>3</v>
      </c>
    </row>
    <row r="3625" spans="1:13">
      <c r="A3625" s="6">
        <v>43522</v>
      </c>
      <c r="B3625" s="7">
        <v>0.67847222222222225</v>
      </c>
      <c r="C3625" s="21" t="str">
        <f>"FES1162675520"</f>
        <v>FES1162675520</v>
      </c>
      <c r="D3625" s="21" t="s">
        <v>18</v>
      </c>
      <c r="E3625" s="21" t="s">
        <v>19</v>
      </c>
      <c r="F3625" s="21" t="str">
        <f>"2170676370 "</f>
        <v xml:space="preserve">2170676370 </v>
      </c>
      <c r="G3625" s="21" t="str">
        <f t="shared" si="103"/>
        <v>ON1</v>
      </c>
      <c r="H3625" s="21" t="s">
        <v>20</v>
      </c>
      <c r="I3625" s="21" t="s">
        <v>21</v>
      </c>
      <c r="J3625" s="21" t="str">
        <f>""</f>
        <v/>
      </c>
      <c r="K3625" s="21" t="str">
        <f>"PFES1162675520_0001"</f>
        <v>PFES1162675520_0001</v>
      </c>
      <c r="L3625" s="21">
        <v>1</v>
      </c>
      <c r="M3625" s="21">
        <v>1</v>
      </c>
    </row>
    <row r="3626" spans="1:13">
      <c r="A3626" s="6">
        <v>43522</v>
      </c>
      <c r="B3626" s="7">
        <v>0.67708333333333337</v>
      </c>
      <c r="C3626" s="21" t="str">
        <f>"FES1162675088"</f>
        <v>FES1162675088</v>
      </c>
      <c r="D3626" s="21" t="s">
        <v>18</v>
      </c>
      <c r="E3626" s="21" t="s">
        <v>178</v>
      </c>
      <c r="F3626" s="21" t="str">
        <f>"2170673217 "</f>
        <v xml:space="preserve">2170673217 </v>
      </c>
      <c r="G3626" s="21" t="str">
        <f t="shared" si="103"/>
        <v>ON1</v>
      </c>
      <c r="H3626" s="21" t="s">
        <v>20</v>
      </c>
      <c r="I3626" s="21" t="s">
        <v>573</v>
      </c>
      <c r="J3626" s="21" t="str">
        <f>""</f>
        <v/>
      </c>
      <c r="K3626" s="21" t="str">
        <f>"PFES1162675088_0001"</f>
        <v>PFES1162675088_0001</v>
      </c>
      <c r="L3626" s="21">
        <v>1</v>
      </c>
      <c r="M3626" s="21">
        <v>5</v>
      </c>
    </row>
    <row r="3627" spans="1:13">
      <c r="A3627" s="6">
        <v>43522</v>
      </c>
      <c r="B3627" s="7">
        <v>0.67708333333333337</v>
      </c>
      <c r="C3627" s="21" t="str">
        <f>"FES1162675098"</f>
        <v>FES1162675098</v>
      </c>
      <c r="D3627" s="21" t="s">
        <v>18</v>
      </c>
      <c r="E3627" s="21" t="s">
        <v>307</v>
      </c>
      <c r="F3627" s="21" t="str">
        <f>"217067669721 "</f>
        <v xml:space="preserve">217067669721 </v>
      </c>
      <c r="G3627" s="21" t="str">
        <f t="shared" si="103"/>
        <v>ON1</v>
      </c>
      <c r="H3627" s="21" t="s">
        <v>20</v>
      </c>
      <c r="I3627" s="21" t="s">
        <v>43</v>
      </c>
      <c r="J3627" s="21" t="str">
        <f>""</f>
        <v/>
      </c>
      <c r="K3627" s="21" t="str">
        <f>"PFES1162675098_0001"</f>
        <v>PFES1162675098_0001</v>
      </c>
      <c r="L3627" s="21">
        <v>1</v>
      </c>
      <c r="M3627" s="21">
        <v>2</v>
      </c>
    </row>
    <row r="3628" spans="1:13">
      <c r="A3628" s="6">
        <v>43522</v>
      </c>
      <c r="B3628" s="7">
        <v>0.67708333333333337</v>
      </c>
      <c r="C3628" s="21" t="str">
        <f>"FES1162675100"</f>
        <v>FES1162675100</v>
      </c>
      <c r="D3628" s="21" t="s">
        <v>18</v>
      </c>
      <c r="E3628" s="21" t="s">
        <v>73</v>
      </c>
      <c r="F3628" s="21" t="str">
        <f>"217067669087 "</f>
        <v xml:space="preserve">217067669087 </v>
      </c>
      <c r="G3628" s="21" t="str">
        <f t="shared" si="103"/>
        <v>ON1</v>
      </c>
      <c r="H3628" s="21" t="s">
        <v>20</v>
      </c>
      <c r="I3628" s="21" t="s">
        <v>61</v>
      </c>
      <c r="J3628" s="21" t="str">
        <f>""</f>
        <v/>
      </c>
      <c r="K3628" s="21" t="str">
        <f>"PFES1162675100_0001"</f>
        <v>PFES1162675100_0001</v>
      </c>
      <c r="L3628" s="21">
        <v>1</v>
      </c>
      <c r="M3628" s="21">
        <v>11</v>
      </c>
    </row>
    <row r="3629" spans="1:13">
      <c r="A3629" s="6">
        <v>43522</v>
      </c>
      <c r="B3629" s="7">
        <v>0.67638888888888893</v>
      </c>
      <c r="C3629" s="21" t="str">
        <f>"FES1162675425"</f>
        <v>FES1162675425</v>
      </c>
      <c r="D3629" s="21" t="s">
        <v>18</v>
      </c>
      <c r="E3629" s="21" t="s">
        <v>623</v>
      </c>
      <c r="F3629" s="21" t="str">
        <f>"2170676292 "</f>
        <v xml:space="preserve">2170676292 </v>
      </c>
      <c r="G3629" s="21" t="str">
        <f t="shared" si="103"/>
        <v>ON1</v>
      </c>
      <c r="H3629" s="21" t="s">
        <v>20</v>
      </c>
      <c r="I3629" s="21" t="s">
        <v>429</v>
      </c>
      <c r="J3629" s="21" t="str">
        <f>""</f>
        <v/>
      </c>
      <c r="K3629" s="21" t="str">
        <f>"PFES1162675425_0001"</f>
        <v>PFES1162675425_0001</v>
      </c>
      <c r="L3629" s="21">
        <v>2</v>
      </c>
      <c r="M3629" s="21">
        <v>11</v>
      </c>
    </row>
    <row r="3630" spans="1:13">
      <c r="A3630" s="6">
        <v>43496</v>
      </c>
      <c r="B3630" s="7">
        <v>0.66249999999999998</v>
      </c>
      <c r="C3630" s="21" t="str">
        <f>"FES1162675425"</f>
        <v>FES1162675425</v>
      </c>
      <c r="D3630" s="21" t="s">
        <v>18</v>
      </c>
      <c r="E3630" s="21" t="s">
        <v>557</v>
      </c>
      <c r="F3630" s="21" t="str">
        <f>"2170671961 "</f>
        <v xml:space="preserve">2170671961 </v>
      </c>
      <c r="G3630" s="21" t="str">
        <f t="shared" si="103"/>
        <v>ON1</v>
      </c>
      <c r="H3630" s="21" t="s">
        <v>20</v>
      </c>
      <c r="I3630" s="21" t="s">
        <v>558</v>
      </c>
      <c r="J3630" s="21" t="str">
        <f>""</f>
        <v/>
      </c>
      <c r="K3630" s="21" t="str">
        <f>"PFES1162675425_0002"</f>
        <v>PFES1162675425_0002</v>
      </c>
      <c r="L3630" s="21">
        <v>1</v>
      </c>
      <c r="M3630" s="21">
        <v>1</v>
      </c>
    </row>
    <row r="3631" spans="1:13">
      <c r="A3631" s="6">
        <v>43522</v>
      </c>
      <c r="B3631" s="7">
        <v>0.67222222222222217</v>
      </c>
      <c r="C3631" s="21" t="str">
        <f>"FES1162675460"</f>
        <v>FES1162675460</v>
      </c>
      <c r="D3631" s="21" t="s">
        <v>18</v>
      </c>
      <c r="E3631" s="21" t="s">
        <v>295</v>
      </c>
      <c r="F3631" s="21" t="str">
        <f>"217096333 "</f>
        <v xml:space="preserve">217096333 </v>
      </c>
      <c r="G3631" s="21" t="str">
        <f t="shared" si="103"/>
        <v>ON1</v>
      </c>
      <c r="H3631" s="21" t="s">
        <v>20</v>
      </c>
      <c r="I3631" s="21" t="s">
        <v>53</v>
      </c>
      <c r="J3631" s="21" t="str">
        <f>""</f>
        <v/>
      </c>
      <c r="K3631" s="21" t="str">
        <f>"PFES1162675460_0001"</f>
        <v>PFES1162675460_0001</v>
      </c>
      <c r="L3631" s="21">
        <v>1</v>
      </c>
      <c r="M3631" s="21">
        <v>1</v>
      </c>
    </row>
    <row r="3632" spans="1:13">
      <c r="A3632" s="6">
        <v>43522</v>
      </c>
      <c r="B3632" s="7">
        <v>0.67222222222222217</v>
      </c>
      <c r="C3632" s="21" t="str">
        <f>"FES1162675489"</f>
        <v>FES1162675489</v>
      </c>
      <c r="D3632" s="21" t="s">
        <v>18</v>
      </c>
      <c r="E3632" s="21" t="s">
        <v>1167</v>
      </c>
      <c r="F3632" s="21" t="str">
        <f>"2170674546 "</f>
        <v xml:space="preserve">2170674546 </v>
      </c>
      <c r="G3632" s="21" t="str">
        <f t="shared" si="103"/>
        <v>ON1</v>
      </c>
      <c r="H3632" s="21" t="s">
        <v>20</v>
      </c>
      <c r="I3632" s="21" t="s">
        <v>276</v>
      </c>
      <c r="J3632" s="21" t="str">
        <f>""</f>
        <v/>
      </c>
      <c r="K3632" s="21" t="str">
        <f>"PFES1162675489_0001"</f>
        <v>PFES1162675489_0001</v>
      </c>
      <c r="L3632" s="21">
        <v>1</v>
      </c>
      <c r="M3632" s="21">
        <v>1</v>
      </c>
    </row>
    <row r="3633" spans="1:13">
      <c r="A3633" s="6">
        <v>43522</v>
      </c>
      <c r="B3633" s="7">
        <v>0.67152777777777783</v>
      </c>
      <c r="C3633" s="21" t="str">
        <f>"FES1162675448"</f>
        <v>FES1162675448</v>
      </c>
      <c r="D3633" s="21" t="s">
        <v>18</v>
      </c>
      <c r="E3633" s="21" t="s">
        <v>928</v>
      </c>
      <c r="F3633" s="21" t="str">
        <f>"2170676320 "</f>
        <v xml:space="preserve">2170676320 </v>
      </c>
      <c r="G3633" s="21" t="str">
        <f t="shared" si="103"/>
        <v>ON1</v>
      </c>
      <c r="H3633" s="21" t="s">
        <v>20</v>
      </c>
      <c r="I3633" s="21" t="s">
        <v>679</v>
      </c>
      <c r="J3633" s="21" t="str">
        <f>""</f>
        <v/>
      </c>
      <c r="K3633" s="21" t="str">
        <f>"PFES1162675448_0001"</f>
        <v>PFES1162675448_0001</v>
      </c>
      <c r="L3633" s="21">
        <v>1</v>
      </c>
      <c r="M3633" s="21">
        <v>1</v>
      </c>
    </row>
    <row r="3634" spans="1:13">
      <c r="A3634" s="6">
        <v>43522</v>
      </c>
      <c r="B3634" s="7">
        <v>0.67152777777777783</v>
      </c>
      <c r="C3634" s="21" t="str">
        <f>"FES1162675492"</f>
        <v>FES1162675492</v>
      </c>
      <c r="D3634" s="21" t="s">
        <v>18</v>
      </c>
      <c r="E3634" s="21" t="s">
        <v>301</v>
      </c>
      <c r="F3634" s="21" t="str">
        <f>"2170675092 "</f>
        <v xml:space="preserve">2170675092 </v>
      </c>
      <c r="G3634" s="21" t="str">
        <f t="shared" si="103"/>
        <v>ON1</v>
      </c>
      <c r="H3634" s="21" t="s">
        <v>20</v>
      </c>
      <c r="I3634" s="21" t="s">
        <v>302</v>
      </c>
      <c r="J3634" s="21" t="str">
        <f>""</f>
        <v/>
      </c>
      <c r="K3634" s="21" t="str">
        <f>"PFES1162675492_0001"</f>
        <v>PFES1162675492_0001</v>
      </c>
      <c r="L3634" s="21">
        <v>1</v>
      </c>
      <c r="M3634" s="21">
        <v>1</v>
      </c>
    </row>
    <row r="3635" spans="1:13">
      <c r="A3635" s="6">
        <v>43522</v>
      </c>
      <c r="B3635" s="7">
        <v>0.67152777777777783</v>
      </c>
      <c r="C3635" s="21" t="str">
        <f>"FES1162675436"</f>
        <v>FES1162675436</v>
      </c>
      <c r="D3635" s="21" t="s">
        <v>18</v>
      </c>
      <c r="E3635" s="21" t="s">
        <v>1168</v>
      </c>
      <c r="F3635" s="21" t="str">
        <f>"2170676304 "</f>
        <v xml:space="preserve">2170676304 </v>
      </c>
      <c r="G3635" s="21" t="str">
        <f t="shared" si="103"/>
        <v>ON1</v>
      </c>
      <c r="H3635" s="21" t="s">
        <v>20</v>
      </c>
      <c r="I3635" s="21" t="s">
        <v>1169</v>
      </c>
      <c r="J3635" s="21" t="str">
        <f>""</f>
        <v/>
      </c>
      <c r="K3635" s="21" t="str">
        <f>"PFES1162675436_0001"</f>
        <v>PFES1162675436_0001</v>
      </c>
      <c r="L3635" s="21">
        <v>1</v>
      </c>
      <c r="M3635" s="21">
        <v>1</v>
      </c>
    </row>
    <row r="3636" spans="1:13">
      <c r="A3636" s="6">
        <v>43522</v>
      </c>
      <c r="B3636" s="7">
        <v>0.67013888888888884</v>
      </c>
      <c r="C3636" s="21" t="str">
        <f>"FES1162675481"</f>
        <v>FES1162675481</v>
      </c>
      <c r="D3636" s="21" t="s">
        <v>18</v>
      </c>
      <c r="E3636" s="21" t="s">
        <v>52</v>
      </c>
      <c r="F3636" s="21" t="str">
        <f>"217067349 "</f>
        <v xml:space="preserve">217067349 </v>
      </c>
      <c r="G3636" s="21" t="str">
        <f t="shared" si="103"/>
        <v>ON1</v>
      </c>
      <c r="H3636" s="21" t="s">
        <v>20</v>
      </c>
      <c r="I3636" s="21" t="s">
        <v>53</v>
      </c>
      <c r="J3636" s="21" t="str">
        <f>""</f>
        <v/>
      </c>
      <c r="K3636" s="21" t="str">
        <f>"PFES1162675481_0001"</f>
        <v>PFES1162675481_0001</v>
      </c>
      <c r="L3636" s="21">
        <v>1</v>
      </c>
      <c r="M3636" s="21">
        <v>1</v>
      </c>
    </row>
    <row r="3637" spans="1:13">
      <c r="A3637" s="6">
        <v>43522</v>
      </c>
      <c r="B3637" s="7">
        <v>0.67013888888888884</v>
      </c>
      <c r="C3637" s="21" t="str">
        <f>"FES1162675496"</f>
        <v>FES1162675496</v>
      </c>
      <c r="D3637" s="21" t="s">
        <v>18</v>
      </c>
      <c r="E3637" s="21" t="s">
        <v>1096</v>
      </c>
      <c r="F3637" s="21" t="str">
        <f>"2170676340 "</f>
        <v xml:space="preserve">2170676340 </v>
      </c>
      <c r="G3637" s="21" t="str">
        <f t="shared" si="103"/>
        <v>ON1</v>
      </c>
      <c r="H3637" s="21" t="s">
        <v>20</v>
      </c>
      <c r="I3637" s="21" t="s">
        <v>686</v>
      </c>
      <c r="J3637" s="21" t="str">
        <f>""</f>
        <v/>
      </c>
      <c r="K3637" s="21" t="str">
        <f>"PFES1162675496_0001"</f>
        <v>PFES1162675496_0001</v>
      </c>
      <c r="L3637" s="21">
        <v>1</v>
      </c>
      <c r="M3637" s="21">
        <v>1</v>
      </c>
    </row>
    <row r="3638" spans="1:13">
      <c r="A3638" s="6">
        <v>43522</v>
      </c>
      <c r="B3638" s="7">
        <v>0.6694444444444444</v>
      </c>
      <c r="C3638" s="21" t="str">
        <f>"FES1162675484"</f>
        <v>FES1162675484</v>
      </c>
      <c r="D3638" s="21" t="s">
        <v>18</v>
      </c>
      <c r="E3638" s="21" t="s">
        <v>1020</v>
      </c>
      <c r="F3638" s="21" t="str">
        <f>"21706767447 "</f>
        <v xml:space="preserve">21706767447 </v>
      </c>
      <c r="G3638" s="21" t="str">
        <f t="shared" si="103"/>
        <v>ON1</v>
      </c>
      <c r="H3638" s="21" t="s">
        <v>20</v>
      </c>
      <c r="I3638" s="21" t="s">
        <v>561</v>
      </c>
      <c r="J3638" s="21" t="str">
        <f>""</f>
        <v/>
      </c>
      <c r="K3638" s="21" t="str">
        <f>"PFES1162675484_0001"</f>
        <v>PFES1162675484_0001</v>
      </c>
      <c r="L3638" s="21">
        <v>1</v>
      </c>
      <c r="M3638" s="21">
        <v>1</v>
      </c>
    </row>
    <row r="3639" spans="1:13">
      <c r="A3639" s="6">
        <v>43522</v>
      </c>
      <c r="B3639" s="7">
        <v>0.6694444444444444</v>
      </c>
      <c r="C3639" s="21" t="str">
        <f>"FES1162675501"</f>
        <v>FES1162675501</v>
      </c>
      <c r="D3639" s="21" t="s">
        <v>18</v>
      </c>
      <c r="E3639" s="21" t="s">
        <v>1170</v>
      </c>
      <c r="F3639" s="21" t="str">
        <f>"2170676345 "</f>
        <v xml:space="preserve">2170676345 </v>
      </c>
      <c r="G3639" s="21" t="str">
        <f t="shared" si="103"/>
        <v>ON1</v>
      </c>
      <c r="H3639" s="21" t="s">
        <v>20</v>
      </c>
      <c r="I3639" s="21" t="s">
        <v>256</v>
      </c>
      <c r="J3639" s="21" t="str">
        <f>""</f>
        <v/>
      </c>
      <c r="K3639" s="21" t="str">
        <f>"PFES1162675501_0001"</f>
        <v>PFES1162675501_0001</v>
      </c>
      <c r="L3639" s="21">
        <v>1</v>
      </c>
      <c r="M3639" s="21">
        <v>6</v>
      </c>
    </row>
    <row r="3640" spans="1:13">
      <c r="A3640" s="6">
        <v>43522</v>
      </c>
      <c r="B3640" s="7">
        <v>0.66875000000000007</v>
      </c>
      <c r="C3640" s="21" t="str">
        <f>"FES1162675458"</f>
        <v>FES1162675458</v>
      </c>
      <c r="D3640" s="21" t="s">
        <v>18</v>
      </c>
      <c r="E3640" s="21" t="s">
        <v>928</v>
      </c>
      <c r="F3640" s="21" t="str">
        <f>"2170676329 "</f>
        <v xml:space="preserve">2170676329 </v>
      </c>
      <c r="G3640" s="21" t="str">
        <f t="shared" si="103"/>
        <v>ON1</v>
      </c>
      <c r="H3640" s="21" t="s">
        <v>20</v>
      </c>
      <c r="I3640" s="21" t="s">
        <v>679</v>
      </c>
      <c r="J3640" s="21" t="str">
        <f>""</f>
        <v/>
      </c>
      <c r="K3640" s="21" t="str">
        <f>"PFES1162675458_0001"</f>
        <v>PFES1162675458_0001</v>
      </c>
      <c r="L3640" s="21">
        <v>1</v>
      </c>
      <c r="M3640" s="21">
        <v>3</v>
      </c>
    </row>
    <row r="3641" spans="1:13">
      <c r="A3641" s="6">
        <v>43522</v>
      </c>
      <c r="B3641" s="7">
        <v>0.66805555555555562</v>
      </c>
      <c r="C3641" s="21" t="str">
        <f>"FES1162675420"</f>
        <v>FES1162675420</v>
      </c>
      <c r="D3641" s="21" t="s">
        <v>18</v>
      </c>
      <c r="E3641" s="21" t="s">
        <v>218</v>
      </c>
      <c r="F3641" s="21" t="str">
        <f>"2170676280 "</f>
        <v xml:space="preserve">2170676280 </v>
      </c>
      <c r="G3641" s="21" t="str">
        <f t="shared" si="103"/>
        <v>ON1</v>
      </c>
      <c r="H3641" s="21" t="s">
        <v>20</v>
      </c>
      <c r="I3641" s="21" t="s">
        <v>219</v>
      </c>
      <c r="J3641" s="21" t="str">
        <f>""</f>
        <v/>
      </c>
      <c r="K3641" s="21" t="str">
        <f>"PFES1162675420_0001"</f>
        <v>PFES1162675420_0001</v>
      </c>
      <c r="L3641" s="21">
        <v>1</v>
      </c>
      <c r="M3641" s="21">
        <v>1</v>
      </c>
    </row>
    <row r="3642" spans="1:13">
      <c r="A3642" s="6">
        <v>43522</v>
      </c>
      <c r="B3642" s="7">
        <v>0.66805555555555562</v>
      </c>
      <c r="C3642" s="21" t="str">
        <f>"FES1162675497"</f>
        <v>FES1162675497</v>
      </c>
      <c r="D3642" s="21" t="s">
        <v>18</v>
      </c>
      <c r="E3642" s="21" t="s">
        <v>850</v>
      </c>
      <c r="F3642" s="21" t="str">
        <f>"2170676319 "</f>
        <v xml:space="preserve">2170676319 </v>
      </c>
      <c r="G3642" s="21" t="str">
        <f t="shared" si="103"/>
        <v>ON1</v>
      </c>
      <c r="H3642" s="21" t="s">
        <v>20</v>
      </c>
      <c r="I3642" s="21" t="s">
        <v>276</v>
      </c>
      <c r="J3642" s="21" t="str">
        <f>""</f>
        <v/>
      </c>
      <c r="K3642" s="21" t="str">
        <f>"PFES1162675497_0001"</f>
        <v>PFES1162675497_0001</v>
      </c>
      <c r="L3642" s="21">
        <v>1</v>
      </c>
      <c r="M3642" s="21">
        <v>3</v>
      </c>
    </row>
    <row r="3643" spans="1:13">
      <c r="A3643" s="6">
        <v>43522</v>
      </c>
      <c r="B3643" s="7">
        <v>0.66736111111111107</v>
      </c>
      <c r="C3643" s="21" t="str">
        <f>"FES1162675324"</f>
        <v>FES1162675324</v>
      </c>
      <c r="D3643" s="21" t="s">
        <v>18</v>
      </c>
      <c r="E3643" s="21" t="s">
        <v>328</v>
      </c>
      <c r="F3643" s="21" t="str">
        <f>"2170674526 "</f>
        <v xml:space="preserve">2170674526 </v>
      </c>
      <c r="G3643" s="21" t="str">
        <f t="shared" si="103"/>
        <v>ON1</v>
      </c>
      <c r="H3643" s="21" t="s">
        <v>20</v>
      </c>
      <c r="I3643" s="21" t="s">
        <v>29</v>
      </c>
      <c r="J3643" s="21" t="str">
        <f>""</f>
        <v/>
      </c>
      <c r="K3643" s="21" t="str">
        <f>"PFES1162675324_0001"</f>
        <v>PFES1162675324_0001</v>
      </c>
      <c r="L3643" s="21">
        <v>1</v>
      </c>
      <c r="M3643" s="21">
        <v>4</v>
      </c>
    </row>
    <row r="3644" spans="1:13">
      <c r="A3644" s="6">
        <v>43522</v>
      </c>
      <c r="B3644" s="7">
        <v>0.66666666666666663</v>
      </c>
      <c r="C3644" s="21" t="str">
        <f>"FES1162675367"</f>
        <v>FES1162675367</v>
      </c>
      <c r="D3644" s="21" t="s">
        <v>18</v>
      </c>
      <c r="E3644" s="21" t="s">
        <v>1171</v>
      </c>
      <c r="F3644" s="21" t="str">
        <f>"2170673883 "</f>
        <v xml:space="preserve">2170673883 </v>
      </c>
      <c r="G3644" s="21" t="str">
        <f t="shared" si="103"/>
        <v>ON1</v>
      </c>
      <c r="H3644" s="21" t="s">
        <v>20</v>
      </c>
      <c r="I3644" s="21" t="s">
        <v>653</v>
      </c>
      <c r="J3644" s="21" t="str">
        <f>""</f>
        <v/>
      </c>
      <c r="K3644" s="21" t="str">
        <f>"PFES1162675367_0001"</f>
        <v>PFES1162675367_0001</v>
      </c>
      <c r="L3644" s="21">
        <v>1</v>
      </c>
      <c r="M3644" s="21">
        <v>9</v>
      </c>
    </row>
    <row r="3645" spans="1:13">
      <c r="A3645" s="6">
        <v>43522</v>
      </c>
      <c r="B3645" s="7">
        <v>0.66597222222222219</v>
      </c>
      <c r="C3645" s="21" t="str">
        <f>"FES1162675195"</f>
        <v>FES1162675195</v>
      </c>
      <c r="D3645" s="21" t="s">
        <v>18</v>
      </c>
      <c r="E3645" s="21" t="s">
        <v>466</v>
      </c>
      <c r="F3645" s="21" t="str">
        <f>"2170676151 "</f>
        <v xml:space="preserve">2170676151 </v>
      </c>
      <c r="G3645" s="21" t="str">
        <f t="shared" si="103"/>
        <v>ON1</v>
      </c>
      <c r="H3645" s="21" t="s">
        <v>20</v>
      </c>
      <c r="I3645" s="21" t="s">
        <v>117</v>
      </c>
      <c r="J3645" s="21" t="str">
        <f>""</f>
        <v/>
      </c>
      <c r="K3645" s="21" t="str">
        <f>"PFES1162675195_0001"</f>
        <v>PFES1162675195_0001</v>
      </c>
      <c r="L3645" s="21">
        <v>1</v>
      </c>
      <c r="M3645" s="21">
        <v>2</v>
      </c>
    </row>
    <row r="3646" spans="1:13">
      <c r="A3646" s="6">
        <v>43522</v>
      </c>
      <c r="B3646" s="7">
        <v>0.6645833333333333</v>
      </c>
      <c r="C3646" s="21" t="str">
        <f>"FES1162674817"</f>
        <v>FES1162674817</v>
      </c>
      <c r="D3646" s="21" t="s">
        <v>18</v>
      </c>
      <c r="E3646" s="21" t="s">
        <v>253</v>
      </c>
      <c r="F3646" s="21" t="str">
        <f>"2170673169 "</f>
        <v xml:space="preserve">2170673169 </v>
      </c>
      <c r="G3646" s="21" t="str">
        <f t="shared" si="103"/>
        <v>ON1</v>
      </c>
      <c r="H3646" s="21" t="s">
        <v>20</v>
      </c>
      <c r="I3646" s="21" t="s">
        <v>226</v>
      </c>
      <c r="J3646" s="21" t="str">
        <f>""</f>
        <v/>
      </c>
      <c r="K3646" s="21" t="str">
        <f>"PFES1162674817_0001"</f>
        <v>PFES1162674817_0001</v>
      </c>
      <c r="L3646" s="21">
        <v>1</v>
      </c>
      <c r="M3646" s="21">
        <v>9</v>
      </c>
    </row>
    <row r="3647" spans="1:13">
      <c r="A3647" s="6">
        <v>43522</v>
      </c>
      <c r="B3647" s="7">
        <v>0.66319444444444442</v>
      </c>
      <c r="C3647" s="21" t="str">
        <f>"FES1162675499"</f>
        <v>FES1162675499</v>
      </c>
      <c r="D3647" s="21" t="s">
        <v>18</v>
      </c>
      <c r="E3647" s="21" t="s">
        <v>1124</v>
      </c>
      <c r="F3647" s="21" t="str">
        <f>"2170676343 "</f>
        <v xml:space="preserve">2170676343 </v>
      </c>
      <c r="G3647" s="21" t="str">
        <f t="shared" si="103"/>
        <v>ON1</v>
      </c>
      <c r="H3647" s="21" t="s">
        <v>20</v>
      </c>
      <c r="I3647" s="21" t="s">
        <v>856</v>
      </c>
      <c r="J3647" s="21" t="str">
        <f>""</f>
        <v/>
      </c>
      <c r="K3647" s="21" t="str">
        <f>"PFES1162675499_0001"</f>
        <v>PFES1162675499_0001</v>
      </c>
      <c r="L3647" s="21">
        <v>3</v>
      </c>
      <c r="M3647" s="21">
        <v>18</v>
      </c>
    </row>
    <row r="3648" spans="1:13">
      <c r="A3648" s="6">
        <v>43496</v>
      </c>
      <c r="B3648" s="7">
        <v>0.62777777777777777</v>
      </c>
      <c r="C3648" s="21" t="str">
        <f>"FES1162675499"</f>
        <v>FES1162675499</v>
      </c>
      <c r="D3648" s="21" t="s">
        <v>18</v>
      </c>
      <c r="E3648" s="21" t="s">
        <v>30</v>
      </c>
      <c r="F3648" s="21" t="str">
        <f>"2170672020 "</f>
        <v xml:space="preserve">2170672020 </v>
      </c>
      <c r="G3648" s="21" t="str">
        <f t="shared" si="103"/>
        <v>ON1</v>
      </c>
      <c r="H3648" s="21" t="s">
        <v>20</v>
      </c>
      <c r="I3648" s="21" t="s">
        <v>31</v>
      </c>
      <c r="J3648" s="21" t="str">
        <f>""</f>
        <v/>
      </c>
      <c r="K3648" s="21" t="str">
        <f>"PFES1162675499_0002"</f>
        <v>PFES1162675499_0002</v>
      </c>
      <c r="L3648" s="21">
        <v>1</v>
      </c>
      <c r="M3648" s="21">
        <v>1</v>
      </c>
    </row>
    <row r="3649" spans="1:13">
      <c r="A3649" s="6">
        <v>43496</v>
      </c>
      <c r="B3649" s="7">
        <v>0.62708333333333333</v>
      </c>
      <c r="C3649" s="21" t="str">
        <f>"FES1162675499"</f>
        <v>FES1162675499</v>
      </c>
      <c r="D3649" s="21" t="s">
        <v>18</v>
      </c>
      <c r="E3649" s="21" t="s">
        <v>62</v>
      </c>
      <c r="F3649" s="21" t="str">
        <f>"2170671991 "</f>
        <v xml:space="preserve">2170671991 </v>
      </c>
      <c r="G3649" s="21" t="str">
        <f t="shared" si="103"/>
        <v>ON1</v>
      </c>
      <c r="H3649" s="21" t="s">
        <v>20</v>
      </c>
      <c r="I3649" s="21" t="s">
        <v>63</v>
      </c>
      <c r="J3649" s="21" t="str">
        <f>""</f>
        <v/>
      </c>
      <c r="K3649" s="21" t="str">
        <f>"PFES1162675499_0003"</f>
        <v>PFES1162675499_0003</v>
      </c>
      <c r="L3649" s="21">
        <v>1</v>
      </c>
      <c r="M3649" s="21">
        <v>1</v>
      </c>
    </row>
    <row r="3650" spans="1:13">
      <c r="A3650" s="6">
        <v>43522</v>
      </c>
      <c r="B3650" s="7">
        <v>0.66249999999999998</v>
      </c>
      <c r="C3650" s="21" t="str">
        <f>"FES1162675453"</f>
        <v>FES1162675453</v>
      </c>
      <c r="D3650" s="21" t="s">
        <v>18</v>
      </c>
      <c r="E3650" s="21" t="s">
        <v>604</v>
      </c>
      <c r="F3650" s="21" t="str">
        <f>"2170676331 "</f>
        <v xml:space="preserve">2170676331 </v>
      </c>
      <c r="G3650" s="21" t="str">
        <f t="shared" si="103"/>
        <v>ON1</v>
      </c>
      <c r="H3650" s="21" t="s">
        <v>20</v>
      </c>
      <c r="I3650" s="21" t="s">
        <v>149</v>
      </c>
      <c r="J3650" s="21" t="str">
        <f>""</f>
        <v/>
      </c>
      <c r="K3650" s="21" t="str">
        <f>"PFES1162675453_0001"</f>
        <v>PFES1162675453_0001</v>
      </c>
      <c r="L3650" s="21">
        <v>1</v>
      </c>
      <c r="M3650" s="21">
        <v>1</v>
      </c>
    </row>
    <row r="3651" spans="1:13">
      <c r="A3651" s="6">
        <v>43522</v>
      </c>
      <c r="B3651" s="7">
        <v>0.66180555555555554</v>
      </c>
      <c r="C3651" s="21" t="str">
        <f>"FES1162675446"</f>
        <v>FES1162675446</v>
      </c>
      <c r="D3651" s="21" t="s">
        <v>18</v>
      </c>
      <c r="E3651" s="21" t="s">
        <v>120</v>
      </c>
      <c r="F3651" s="21" t="str">
        <f>"2170676314 "</f>
        <v xml:space="preserve">2170676314 </v>
      </c>
      <c r="G3651" s="21" t="str">
        <f t="shared" si="103"/>
        <v>ON1</v>
      </c>
      <c r="H3651" s="21" t="s">
        <v>20</v>
      </c>
      <c r="I3651" s="21" t="s">
        <v>121</v>
      </c>
      <c r="J3651" s="21" t="str">
        <f>""</f>
        <v/>
      </c>
      <c r="K3651" s="21" t="str">
        <f>"PFES1162675446_0001"</f>
        <v>PFES1162675446_0001</v>
      </c>
      <c r="L3651" s="21">
        <v>1</v>
      </c>
      <c r="M3651" s="21">
        <v>1</v>
      </c>
    </row>
    <row r="3652" spans="1:13">
      <c r="A3652" s="6">
        <v>43522</v>
      </c>
      <c r="B3652" s="7">
        <v>0.66180555555555554</v>
      </c>
      <c r="C3652" s="21" t="str">
        <f>"FES1162674039"</f>
        <v>FES1162674039</v>
      </c>
      <c r="D3652" s="21" t="s">
        <v>18</v>
      </c>
      <c r="E3652" s="21" t="s">
        <v>550</v>
      </c>
      <c r="F3652" s="21" t="str">
        <f>"2170675116 "</f>
        <v xml:space="preserve">2170675116 </v>
      </c>
      <c r="G3652" s="21" t="str">
        <f t="shared" si="103"/>
        <v>ON1</v>
      </c>
      <c r="H3652" s="21" t="s">
        <v>20</v>
      </c>
      <c r="I3652" s="21" t="s">
        <v>213</v>
      </c>
      <c r="J3652" s="21" t="str">
        <f>""</f>
        <v/>
      </c>
      <c r="K3652" s="21" t="str">
        <f>"PFES1162674039_0001"</f>
        <v>PFES1162674039_0001</v>
      </c>
      <c r="L3652" s="21">
        <v>1</v>
      </c>
      <c r="M3652" s="21">
        <v>1</v>
      </c>
    </row>
    <row r="3653" spans="1:13">
      <c r="A3653" s="6">
        <v>43522</v>
      </c>
      <c r="B3653" s="7">
        <v>0.66180555555555554</v>
      </c>
      <c r="C3653" s="21" t="str">
        <f>"FES1162675505"</f>
        <v>FES1162675505</v>
      </c>
      <c r="D3653" s="21" t="s">
        <v>18</v>
      </c>
      <c r="E3653" s="21" t="s">
        <v>702</v>
      </c>
      <c r="F3653" s="21" t="str">
        <f>"2170676357 "</f>
        <v xml:space="preserve">2170676357 </v>
      </c>
      <c r="G3653" s="21" t="str">
        <f t="shared" si="103"/>
        <v>ON1</v>
      </c>
      <c r="H3653" s="21" t="s">
        <v>20</v>
      </c>
      <c r="I3653" s="21" t="s">
        <v>703</v>
      </c>
      <c r="J3653" s="21" t="str">
        <f>""</f>
        <v/>
      </c>
      <c r="K3653" s="21" t="str">
        <f>"PFES1162675505_0001"</f>
        <v>PFES1162675505_0001</v>
      </c>
      <c r="L3653" s="21">
        <v>1</v>
      </c>
      <c r="M3653" s="21">
        <v>4</v>
      </c>
    </row>
    <row r="3654" spans="1:13">
      <c r="A3654" s="6">
        <v>43522</v>
      </c>
      <c r="B3654" s="7">
        <v>0.66180555555555554</v>
      </c>
      <c r="C3654" s="21" t="str">
        <f>"FES1162675399"</f>
        <v>FES1162675399</v>
      </c>
      <c r="D3654" s="21" t="s">
        <v>18</v>
      </c>
      <c r="E3654" s="21" t="s">
        <v>1172</v>
      </c>
      <c r="F3654" s="21" t="str">
        <f>"2170672121 "</f>
        <v xml:space="preserve">2170672121 </v>
      </c>
      <c r="G3654" s="21" t="str">
        <f t="shared" si="103"/>
        <v>ON1</v>
      </c>
      <c r="H3654" s="21" t="s">
        <v>20</v>
      </c>
      <c r="I3654" s="21" t="s">
        <v>70</v>
      </c>
      <c r="J3654" s="21" t="str">
        <f>""</f>
        <v/>
      </c>
      <c r="K3654" s="21" t="str">
        <f>"PFES1162675399_0001"</f>
        <v>PFES1162675399_0001</v>
      </c>
      <c r="L3654" s="21">
        <v>1</v>
      </c>
      <c r="M3654" s="21">
        <v>1</v>
      </c>
    </row>
    <row r="3655" spans="1:13">
      <c r="A3655" s="6">
        <v>43522</v>
      </c>
      <c r="B3655" s="7">
        <v>0.66111111111111109</v>
      </c>
      <c r="C3655" s="21" t="str">
        <f>"FES1162675455"</f>
        <v>FES1162675455</v>
      </c>
      <c r="D3655" s="21" t="s">
        <v>18</v>
      </c>
      <c r="E3655" s="21" t="s">
        <v>195</v>
      </c>
      <c r="F3655" s="21" t="str">
        <f>"2170676324 "</f>
        <v xml:space="preserve">2170676324 </v>
      </c>
      <c r="G3655" s="21" t="str">
        <f t="shared" si="103"/>
        <v>ON1</v>
      </c>
      <c r="H3655" s="21" t="s">
        <v>20</v>
      </c>
      <c r="I3655" s="21" t="s">
        <v>96</v>
      </c>
      <c r="J3655" s="21" t="str">
        <f>""</f>
        <v/>
      </c>
      <c r="K3655" s="21" t="str">
        <f>"PFES1162675455_0001"</f>
        <v>PFES1162675455_0001</v>
      </c>
      <c r="L3655" s="21">
        <v>1</v>
      </c>
      <c r="M3655" s="21">
        <v>1</v>
      </c>
    </row>
    <row r="3656" spans="1:13">
      <c r="A3656" s="6">
        <v>43522</v>
      </c>
      <c r="B3656" s="7">
        <v>0.66111111111111109</v>
      </c>
      <c r="C3656" s="21" t="str">
        <f>"FES1162675457"</f>
        <v>FES1162675457</v>
      </c>
      <c r="D3656" s="21" t="s">
        <v>18</v>
      </c>
      <c r="E3656" s="21" t="s">
        <v>69</v>
      </c>
      <c r="F3656" s="21" t="str">
        <f>"2170676328 "</f>
        <v xml:space="preserve">2170676328 </v>
      </c>
      <c r="G3656" s="21" t="str">
        <f t="shared" si="103"/>
        <v>ON1</v>
      </c>
      <c r="H3656" s="21" t="s">
        <v>20</v>
      </c>
      <c r="I3656" s="21" t="s">
        <v>70</v>
      </c>
      <c r="J3656" s="21" t="str">
        <f>""</f>
        <v/>
      </c>
      <c r="K3656" s="21" t="str">
        <f>"PFES1162675457_0001"</f>
        <v>PFES1162675457_0001</v>
      </c>
      <c r="L3656" s="21">
        <v>1</v>
      </c>
      <c r="M3656" s="21">
        <v>1</v>
      </c>
    </row>
    <row r="3657" spans="1:13">
      <c r="A3657" s="6">
        <v>43522</v>
      </c>
      <c r="B3657" s="7">
        <v>0.66111111111111109</v>
      </c>
      <c r="C3657" s="21" t="str">
        <f>"FES1162675459"</f>
        <v>FES1162675459</v>
      </c>
      <c r="D3657" s="21" t="s">
        <v>18</v>
      </c>
      <c r="E3657" s="21" t="s">
        <v>360</v>
      </c>
      <c r="F3657" s="21" t="str">
        <f>"2170676332 "</f>
        <v xml:space="preserve">2170676332 </v>
      </c>
      <c r="G3657" s="21" t="str">
        <f t="shared" si="103"/>
        <v>ON1</v>
      </c>
      <c r="H3657" s="21" t="s">
        <v>20</v>
      </c>
      <c r="I3657" s="21" t="s">
        <v>121</v>
      </c>
      <c r="J3657" s="21" t="str">
        <f>""</f>
        <v/>
      </c>
      <c r="K3657" s="21" t="str">
        <f>"PFES1162675459_0001"</f>
        <v>PFES1162675459_0001</v>
      </c>
      <c r="L3657" s="21">
        <v>1</v>
      </c>
      <c r="M3657" s="21">
        <v>1</v>
      </c>
    </row>
    <row r="3658" spans="1:13">
      <c r="A3658" s="6">
        <v>43522</v>
      </c>
      <c r="B3658" s="7">
        <v>0.66111111111111109</v>
      </c>
      <c r="C3658" s="21" t="str">
        <f>"FES1162675510"</f>
        <v>FES1162675510</v>
      </c>
      <c r="D3658" s="21" t="s">
        <v>18</v>
      </c>
      <c r="E3658" s="21" t="s">
        <v>129</v>
      </c>
      <c r="F3658" s="21" t="str">
        <f>"2170672324 "</f>
        <v xml:space="preserve">2170672324 </v>
      </c>
      <c r="G3658" s="21" t="str">
        <f t="shared" si="103"/>
        <v>ON1</v>
      </c>
      <c r="H3658" s="21" t="s">
        <v>20</v>
      </c>
      <c r="I3658" s="21" t="s">
        <v>130</v>
      </c>
      <c r="J3658" s="21" t="str">
        <f>""</f>
        <v/>
      </c>
      <c r="K3658" s="21" t="str">
        <f>"PFES1162675510_0001"</f>
        <v>PFES1162675510_0001</v>
      </c>
      <c r="L3658" s="21">
        <v>1</v>
      </c>
      <c r="M3658" s="21">
        <v>1</v>
      </c>
    </row>
    <row r="3659" spans="1:13">
      <c r="A3659" s="6">
        <v>43522</v>
      </c>
      <c r="B3659" s="7">
        <v>0.66041666666666665</v>
      </c>
      <c r="C3659" s="21" t="str">
        <f>"FES1162675427"</f>
        <v>FES1162675427</v>
      </c>
      <c r="D3659" s="21" t="s">
        <v>18</v>
      </c>
      <c r="E3659" s="21" t="s">
        <v>601</v>
      </c>
      <c r="F3659" s="21" t="str">
        <f>"2170676296 "</f>
        <v xml:space="preserve">2170676296 </v>
      </c>
      <c r="G3659" s="21" t="str">
        <f t="shared" si="103"/>
        <v>ON1</v>
      </c>
      <c r="H3659" s="21" t="s">
        <v>20</v>
      </c>
      <c r="I3659" s="21" t="s">
        <v>602</v>
      </c>
      <c r="J3659" s="21" t="str">
        <f>""</f>
        <v/>
      </c>
      <c r="K3659" s="21" t="str">
        <f>"PFES1162675427_0001"</f>
        <v>PFES1162675427_0001</v>
      </c>
      <c r="L3659" s="21">
        <v>1</v>
      </c>
      <c r="M3659" s="21">
        <v>1</v>
      </c>
    </row>
    <row r="3660" spans="1:13">
      <c r="A3660" s="6">
        <v>43522</v>
      </c>
      <c r="B3660" s="7">
        <v>0.66041666666666665</v>
      </c>
      <c r="C3660" s="21" t="str">
        <f>"FES1162675480"</f>
        <v>FES1162675480</v>
      </c>
      <c r="D3660" s="21" t="s">
        <v>18</v>
      </c>
      <c r="E3660" s="21" t="s">
        <v>924</v>
      </c>
      <c r="F3660" s="21" t="str">
        <f>"2170674377 "</f>
        <v xml:space="preserve">2170674377 </v>
      </c>
      <c r="G3660" s="21" t="str">
        <f t="shared" si="103"/>
        <v>ON1</v>
      </c>
      <c r="H3660" s="21" t="s">
        <v>20</v>
      </c>
      <c r="I3660" s="21" t="s">
        <v>441</v>
      </c>
      <c r="J3660" s="21" t="str">
        <f>""</f>
        <v/>
      </c>
      <c r="K3660" s="21" t="str">
        <f>"PFES1162675480_0001"</f>
        <v>PFES1162675480_0001</v>
      </c>
      <c r="L3660" s="21">
        <v>1</v>
      </c>
      <c r="M3660" s="21">
        <v>1</v>
      </c>
    </row>
    <row r="3661" spans="1:13">
      <c r="A3661" s="6">
        <v>43522</v>
      </c>
      <c r="B3661" s="7">
        <v>0.66041666666666665</v>
      </c>
      <c r="C3661" s="21" t="str">
        <f>"FES1162675462"</f>
        <v>FES1162675462</v>
      </c>
      <c r="D3661" s="21" t="s">
        <v>18</v>
      </c>
      <c r="E3661" s="21" t="s">
        <v>885</v>
      </c>
      <c r="F3661" s="21" t="str">
        <f>"2170675609 "</f>
        <v xml:space="preserve">2170675609 </v>
      </c>
      <c r="G3661" s="21" t="str">
        <f t="shared" si="103"/>
        <v>ON1</v>
      </c>
      <c r="H3661" s="21" t="s">
        <v>20</v>
      </c>
      <c r="I3661" s="21" t="s">
        <v>886</v>
      </c>
      <c r="J3661" s="21" t="str">
        <f>""</f>
        <v/>
      </c>
      <c r="K3661" s="21" t="str">
        <f>"PFES1162675462_0001"</f>
        <v>PFES1162675462_0001</v>
      </c>
      <c r="L3661" s="21">
        <v>2</v>
      </c>
      <c r="M3661" s="21">
        <v>4</v>
      </c>
    </row>
    <row r="3662" spans="1:13">
      <c r="A3662" s="6">
        <v>43496</v>
      </c>
      <c r="B3662" s="7">
        <v>0.61458333333333337</v>
      </c>
      <c r="C3662" s="21" t="str">
        <f>"FES1162675462"</f>
        <v>FES1162675462</v>
      </c>
      <c r="D3662" s="21" t="s">
        <v>18</v>
      </c>
      <c r="E3662" s="21" t="s">
        <v>186</v>
      </c>
      <c r="F3662" s="21" t="str">
        <f>"2170671988 "</f>
        <v xml:space="preserve">2170671988 </v>
      </c>
      <c r="G3662" s="21" t="str">
        <f t="shared" si="103"/>
        <v>ON1</v>
      </c>
      <c r="H3662" s="21" t="s">
        <v>20</v>
      </c>
      <c r="I3662" s="21" t="s">
        <v>48</v>
      </c>
      <c r="J3662" s="21" t="str">
        <f>""</f>
        <v/>
      </c>
      <c r="K3662" s="21" t="str">
        <f>"PFES1162675462_0002"</f>
        <v>PFES1162675462_0002</v>
      </c>
      <c r="L3662" s="21">
        <v>1</v>
      </c>
      <c r="M3662" s="21">
        <v>1</v>
      </c>
    </row>
    <row r="3663" spans="1:13">
      <c r="A3663" s="6">
        <v>43522</v>
      </c>
      <c r="B3663" s="7">
        <v>0.65972222222222221</v>
      </c>
      <c r="C3663" s="21" t="str">
        <f>"FES1162675476"</f>
        <v>FES1162675476</v>
      </c>
      <c r="D3663" s="21" t="s">
        <v>18</v>
      </c>
      <c r="E3663" s="21" t="s">
        <v>618</v>
      </c>
      <c r="F3663" s="21" t="str">
        <f>"2170674288 "</f>
        <v xml:space="preserve">2170674288 </v>
      </c>
      <c r="G3663" s="21" t="str">
        <f t="shared" si="103"/>
        <v>ON1</v>
      </c>
      <c r="H3663" s="21" t="s">
        <v>20</v>
      </c>
      <c r="I3663" s="21" t="s">
        <v>429</v>
      </c>
      <c r="J3663" s="21" t="str">
        <f>""</f>
        <v/>
      </c>
      <c r="K3663" s="21" t="str">
        <f>"PFES1162675476_0001"</f>
        <v>PFES1162675476_0001</v>
      </c>
      <c r="L3663" s="21">
        <v>1</v>
      </c>
      <c r="M3663" s="21">
        <v>1</v>
      </c>
    </row>
    <row r="3664" spans="1:13">
      <c r="A3664" s="6">
        <v>43522</v>
      </c>
      <c r="B3664" s="7">
        <v>0.65972222222222221</v>
      </c>
      <c r="C3664" s="21" t="str">
        <f>"FES1162675477"</f>
        <v>FES1162675477</v>
      </c>
      <c r="D3664" s="21" t="s">
        <v>18</v>
      </c>
      <c r="E3664" s="21" t="s">
        <v>620</v>
      </c>
      <c r="F3664" s="21" t="str">
        <f>"2170674293 "</f>
        <v xml:space="preserve">2170674293 </v>
      </c>
      <c r="G3664" s="21" t="str">
        <f t="shared" si="103"/>
        <v>ON1</v>
      </c>
      <c r="H3664" s="21" t="s">
        <v>20</v>
      </c>
      <c r="I3664" s="21" t="s">
        <v>573</v>
      </c>
      <c r="J3664" s="21" t="str">
        <f>""</f>
        <v/>
      </c>
      <c r="K3664" s="21" t="str">
        <f>"PFES1162675477_0001"</f>
        <v>PFES1162675477_0001</v>
      </c>
      <c r="L3664" s="21">
        <v>1</v>
      </c>
      <c r="M3664" s="21">
        <v>1</v>
      </c>
    </row>
    <row r="3665" spans="1:13">
      <c r="A3665" s="6">
        <v>43522</v>
      </c>
      <c r="B3665" s="7">
        <v>0.65972222222222221</v>
      </c>
      <c r="C3665" s="21" t="str">
        <f>"FES1162675184"</f>
        <v>FES1162675184</v>
      </c>
      <c r="D3665" s="21" t="s">
        <v>18</v>
      </c>
      <c r="E3665" s="21" t="s">
        <v>734</v>
      </c>
      <c r="F3665" s="21" t="str">
        <f>"2170675945 "</f>
        <v xml:space="preserve">2170675945 </v>
      </c>
      <c r="G3665" s="21" t="str">
        <f t="shared" si="103"/>
        <v>ON1</v>
      </c>
      <c r="H3665" s="21" t="s">
        <v>20</v>
      </c>
      <c r="I3665" s="21" t="s">
        <v>29</v>
      </c>
      <c r="J3665" s="21" t="str">
        <f>""</f>
        <v/>
      </c>
      <c r="K3665" s="21" t="str">
        <f>"PFES1162675184_0001"</f>
        <v>PFES1162675184_0001</v>
      </c>
      <c r="L3665" s="21">
        <v>1</v>
      </c>
      <c r="M3665" s="21">
        <v>4</v>
      </c>
    </row>
    <row r="3666" spans="1:13">
      <c r="A3666" s="6">
        <v>43522</v>
      </c>
      <c r="B3666" s="7">
        <v>0.65972222222222221</v>
      </c>
      <c r="C3666" s="21" t="str">
        <f>"FES1162675435"</f>
        <v>FES1162675435</v>
      </c>
      <c r="D3666" s="21" t="s">
        <v>18</v>
      </c>
      <c r="E3666" s="21" t="s">
        <v>169</v>
      </c>
      <c r="F3666" s="21" t="str">
        <f>"217066302 "</f>
        <v xml:space="preserve">217066302 </v>
      </c>
      <c r="G3666" s="21" t="str">
        <f t="shared" ref="G3666:G3676" si="104">"ON1"</f>
        <v>ON1</v>
      </c>
      <c r="H3666" s="21" t="s">
        <v>20</v>
      </c>
      <c r="I3666" s="21" t="s">
        <v>87</v>
      </c>
      <c r="J3666" s="21" t="str">
        <f>""</f>
        <v/>
      </c>
      <c r="K3666" s="21" t="str">
        <f>"PFES1162675435_0001"</f>
        <v>PFES1162675435_0001</v>
      </c>
      <c r="L3666" s="21">
        <v>1</v>
      </c>
      <c r="M3666" s="21">
        <v>1</v>
      </c>
    </row>
    <row r="3667" spans="1:13">
      <c r="A3667" s="6">
        <v>43522</v>
      </c>
      <c r="B3667" s="7">
        <v>0.65902777777777777</v>
      </c>
      <c r="C3667" s="21" t="str">
        <f>"FES1162675509"</f>
        <v>FES1162675509</v>
      </c>
      <c r="D3667" s="21" t="s">
        <v>18</v>
      </c>
      <c r="E3667" s="21" t="s">
        <v>817</v>
      </c>
      <c r="F3667" s="21" t="str">
        <f>"2170676356 "</f>
        <v xml:space="preserve">2170676356 </v>
      </c>
      <c r="G3667" s="21" t="str">
        <f t="shared" si="104"/>
        <v>ON1</v>
      </c>
      <c r="H3667" s="21" t="s">
        <v>20</v>
      </c>
      <c r="I3667" s="21" t="s">
        <v>584</v>
      </c>
      <c r="J3667" s="21" t="str">
        <f>""</f>
        <v/>
      </c>
      <c r="K3667" s="21" t="str">
        <f>"PFES1162675509_0001"</f>
        <v>PFES1162675509_0001</v>
      </c>
      <c r="L3667" s="21">
        <v>1</v>
      </c>
      <c r="M3667" s="21">
        <v>1</v>
      </c>
    </row>
    <row r="3668" spans="1:13">
      <c r="A3668" s="6">
        <v>43522</v>
      </c>
      <c r="B3668" s="7">
        <v>0.65902777777777777</v>
      </c>
      <c r="C3668" s="21" t="str">
        <f>"FES1162675440"</f>
        <v>FES1162675440</v>
      </c>
      <c r="D3668" s="21" t="s">
        <v>18</v>
      </c>
      <c r="E3668" s="21" t="s">
        <v>179</v>
      </c>
      <c r="F3668" s="21" t="str">
        <f>"2170676307 "</f>
        <v xml:space="preserve">2170676307 </v>
      </c>
      <c r="G3668" s="21" t="str">
        <f t="shared" si="104"/>
        <v>ON1</v>
      </c>
      <c r="H3668" s="21" t="s">
        <v>20</v>
      </c>
      <c r="I3668" s="21" t="s">
        <v>59</v>
      </c>
      <c r="J3668" s="21" t="str">
        <f>""</f>
        <v/>
      </c>
      <c r="K3668" s="21" t="str">
        <f>"PFES1162675440_0001"</f>
        <v>PFES1162675440_0001</v>
      </c>
      <c r="L3668" s="21">
        <v>1</v>
      </c>
      <c r="M3668" s="21">
        <v>1</v>
      </c>
    </row>
    <row r="3669" spans="1:13">
      <c r="A3669" s="6">
        <v>43522</v>
      </c>
      <c r="B3669" s="7">
        <v>0.65833333333333333</v>
      </c>
      <c r="C3669" s="21" t="str">
        <f>"FES1162674838"</f>
        <v>FES1162674838</v>
      </c>
      <c r="D3669" s="21" t="s">
        <v>18</v>
      </c>
      <c r="E3669" s="21" t="s">
        <v>624</v>
      </c>
      <c r="F3669" s="21" t="str">
        <f>"2170670397 "</f>
        <v xml:space="preserve">2170670397 </v>
      </c>
      <c r="G3669" s="21" t="str">
        <f t="shared" si="104"/>
        <v>ON1</v>
      </c>
      <c r="H3669" s="21" t="s">
        <v>20</v>
      </c>
      <c r="I3669" s="21" t="s">
        <v>29</v>
      </c>
      <c r="J3669" s="21" t="str">
        <f>""</f>
        <v/>
      </c>
      <c r="K3669" s="21" t="str">
        <f>"PFES1162674838_0001"</f>
        <v>PFES1162674838_0001</v>
      </c>
      <c r="L3669" s="21">
        <v>1</v>
      </c>
      <c r="M3669" s="21">
        <v>18</v>
      </c>
    </row>
    <row r="3670" spans="1:13">
      <c r="A3670" s="6">
        <v>43522</v>
      </c>
      <c r="B3670" s="7">
        <v>0.65833333333333333</v>
      </c>
      <c r="C3670" s="21" t="str">
        <f>"FES1162675464"</f>
        <v>FES1162675464</v>
      </c>
      <c r="D3670" s="21" t="s">
        <v>18</v>
      </c>
      <c r="E3670" s="21" t="s">
        <v>1040</v>
      </c>
      <c r="F3670" s="21" t="str">
        <f>"2170671806 "</f>
        <v xml:space="preserve">2170671806 </v>
      </c>
      <c r="G3670" s="21" t="str">
        <f t="shared" si="104"/>
        <v>ON1</v>
      </c>
      <c r="H3670" s="21" t="s">
        <v>20</v>
      </c>
      <c r="I3670" s="21" t="s">
        <v>1041</v>
      </c>
      <c r="J3670" s="21" t="str">
        <f>""</f>
        <v/>
      </c>
      <c r="K3670" s="21" t="str">
        <f>"PFES1162675464_0001"</f>
        <v>PFES1162675464_0001</v>
      </c>
      <c r="L3670" s="21">
        <v>1</v>
      </c>
      <c r="M3670" s="21">
        <v>1</v>
      </c>
    </row>
    <row r="3671" spans="1:13">
      <c r="A3671" s="6">
        <v>43522</v>
      </c>
      <c r="B3671" s="7">
        <v>0.65833333333333333</v>
      </c>
      <c r="C3671" s="21" t="str">
        <f>"FES1162675504"</f>
        <v>FES1162675504</v>
      </c>
      <c r="D3671" s="21" t="s">
        <v>18</v>
      </c>
      <c r="E3671" s="21" t="s">
        <v>634</v>
      </c>
      <c r="F3671" s="21" t="str">
        <f>"2170676348 "</f>
        <v xml:space="preserve">2170676348 </v>
      </c>
      <c r="G3671" s="21" t="str">
        <f t="shared" si="104"/>
        <v>ON1</v>
      </c>
      <c r="H3671" s="21" t="s">
        <v>20</v>
      </c>
      <c r="I3671" s="21" t="s">
        <v>635</v>
      </c>
      <c r="J3671" s="21" t="str">
        <f>""</f>
        <v/>
      </c>
      <c r="K3671" s="21" t="str">
        <f>"PFES1162675504_0001"</f>
        <v>PFES1162675504_0001</v>
      </c>
      <c r="L3671" s="21">
        <v>1</v>
      </c>
      <c r="M3671" s="21">
        <v>1</v>
      </c>
    </row>
    <row r="3672" spans="1:13">
      <c r="A3672" s="6">
        <v>43522</v>
      </c>
      <c r="B3672" s="7">
        <v>0.65833333333333333</v>
      </c>
      <c r="C3672" s="21" t="str">
        <f>"FES1162675512"</f>
        <v>FES1162675512</v>
      </c>
      <c r="D3672" s="21" t="s">
        <v>18</v>
      </c>
      <c r="E3672" s="21" t="s">
        <v>159</v>
      </c>
      <c r="F3672" s="21" t="str">
        <f>"2170676362 "</f>
        <v xml:space="preserve">2170676362 </v>
      </c>
      <c r="G3672" s="21" t="str">
        <f t="shared" si="104"/>
        <v>ON1</v>
      </c>
      <c r="H3672" s="21" t="s">
        <v>20</v>
      </c>
      <c r="I3672" s="21" t="s">
        <v>137</v>
      </c>
      <c r="J3672" s="21" t="str">
        <f>""</f>
        <v/>
      </c>
      <c r="K3672" s="21" t="str">
        <f>"PFES1162675512_0001"</f>
        <v>PFES1162675512_0001</v>
      </c>
      <c r="L3672" s="21">
        <v>1</v>
      </c>
      <c r="M3672" s="21">
        <v>1</v>
      </c>
    </row>
    <row r="3673" spans="1:13">
      <c r="A3673" s="6">
        <v>43522</v>
      </c>
      <c r="B3673" s="7">
        <v>0.65763888888888888</v>
      </c>
      <c r="C3673" s="21" t="str">
        <f>"FES1162675515"</f>
        <v>FES1162675515</v>
      </c>
      <c r="D3673" s="21" t="s">
        <v>18</v>
      </c>
      <c r="E3673" s="21" t="s">
        <v>514</v>
      </c>
      <c r="F3673" s="21" t="str">
        <f>"2170676366 "</f>
        <v xml:space="preserve">2170676366 </v>
      </c>
      <c r="G3673" s="21" t="str">
        <f t="shared" si="104"/>
        <v>ON1</v>
      </c>
      <c r="H3673" s="21" t="s">
        <v>20</v>
      </c>
      <c r="I3673" s="21" t="s">
        <v>515</v>
      </c>
      <c r="J3673" s="21" t="str">
        <f>""</f>
        <v/>
      </c>
      <c r="K3673" s="21" t="str">
        <f>"PFES1162675515_0001"</f>
        <v>PFES1162675515_0001</v>
      </c>
      <c r="L3673" s="21">
        <v>1</v>
      </c>
      <c r="M3673" s="21">
        <v>1</v>
      </c>
    </row>
    <row r="3674" spans="1:13">
      <c r="A3674" s="6">
        <v>43522</v>
      </c>
      <c r="B3674" s="7">
        <v>0.65763888888888888</v>
      </c>
      <c r="C3674" s="21" t="str">
        <f>"FES1162675473"</f>
        <v>FES1162675473</v>
      </c>
      <c r="D3674" s="21" t="s">
        <v>18</v>
      </c>
      <c r="E3674" s="21" t="s">
        <v>178</v>
      </c>
      <c r="F3674" s="21" t="str">
        <f>"2170674272 "</f>
        <v xml:space="preserve">2170674272 </v>
      </c>
      <c r="G3674" s="21" t="str">
        <f t="shared" si="104"/>
        <v>ON1</v>
      </c>
      <c r="H3674" s="21" t="s">
        <v>20</v>
      </c>
      <c r="I3674" s="21" t="s">
        <v>390</v>
      </c>
      <c r="J3674" s="21" t="str">
        <f>""</f>
        <v/>
      </c>
      <c r="K3674" s="21" t="str">
        <f>"PFES1162675473_0001"</f>
        <v>PFES1162675473_0001</v>
      </c>
      <c r="L3674" s="21">
        <v>1</v>
      </c>
      <c r="M3674" s="21">
        <v>1</v>
      </c>
    </row>
    <row r="3675" spans="1:13">
      <c r="A3675" s="6">
        <v>43522</v>
      </c>
      <c r="B3675" s="7">
        <v>0.65694444444444444</v>
      </c>
      <c r="C3675" s="21" t="str">
        <f>"FES1162675301"</f>
        <v>FES1162675301</v>
      </c>
      <c r="D3675" s="21" t="s">
        <v>18</v>
      </c>
      <c r="E3675" s="21" t="s">
        <v>181</v>
      </c>
      <c r="F3675" s="21" t="str">
        <f>"2170674051 "</f>
        <v xml:space="preserve">2170674051 </v>
      </c>
      <c r="G3675" s="21" t="str">
        <f t="shared" si="104"/>
        <v>ON1</v>
      </c>
      <c r="H3675" s="21" t="s">
        <v>20</v>
      </c>
      <c r="I3675" s="21" t="s">
        <v>182</v>
      </c>
      <c r="J3675" s="21" t="str">
        <f>""</f>
        <v/>
      </c>
      <c r="K3675" s="21" t="str">
        <f>"PFES1162675301_0001"</f>
        <v>PFES1162675301_0001</v>
      </c>
      <c r="L3675" s="21">
        <v>2</v>
      </c>
      <c r="M3675" s="21">
        <v>8</v>
      </c>
    </row>
    <row r="3676" spans="1:13">
      <c r="A3676" s="6">
        <v>43522</v>
      </c>
      <c r="B3676" s="7">
        <v>0.65694444444444444</v>
      </c>
      <c r="C3676" s="21" t="str">
        <f>"FES1162675301"</f>
        <v>FES1162675301</v>
      </c>
      <c r="D3676" s="21" t="s">
        <v>18</v>
      </c>
      <c r="E3676" s="21" t="s">
        <v>181</v>
      </c>
      <c r="F3676" s="21" t="str">
        <f>"2170674051 "</f>
        <v xml:space="preserve">2170674051 </v>
      </c>
      <c r="G3676" s="21" t="str">
        <f t="shared" si="104"/>
        <v>ON1</v>
      </c>
      <c r="H3676" s="21" t="s">
        <v>20</v>
      </c>
      <c r="I3676" s="21" t="s">
        <v>182</v>
      </c>
      <c r="J3676" s="21"/>
      <c r="K3676" s="21" t="str">
        <f>"PFES1162675301_0002"</f>
        <v>PFES1162675301_0002</v>
      </c>
      <c r="L3676" s="21">
        <v>2</v>
      </c>
      <c r="M3676" s="21">
        <v>8</v>
      </c>
    </row>
    <row r="3677" spans="1:13">
      <c r="A3677" s="6">
        <v>43522</v>
      </c>
      <c r="B3677" s="7">
        <v>0.65694444444444444</v>
      </c>
      <c r="C3677" s="21" t="str">
        <f>"FES1162674944"</f>
        <v>FES1162674944</v>
      </c>
      <c r="D3677" s="21" t="s">
        <v>18</v>
      </c>
      <c r="E3677" s="21" t="s">
        <v>757</v>
      </c>
      <c r="F3677" s="21" t="str">
        <f>"2170672271 "</f>
        <v xml:space="preserve">2170672271 </v>
      </c>
      <c r="G3677" s="21" t="str">
        <f>"ON1"</f>
        <v>ON1</v>
      </c>
      <c r="H3677" s="21" t="s">
        <v>20</v>
      </c>
      <c r="I3677" s="21" t="s">
        <v>61</v>
      </c>
      <c r="J3677" s="21" t="str">
        <f>""</f>
        <v/>
      </c>
      <c r="K3677" s="21" t="str">
        <f>"PFES1162674944_0001"</f>
        <v>PFES1162674944_0001</v>
      </c>
      <c r="L3677" s="21">
        <v>1</v>
      </c>
      <c r="M3677" s="21">
        <v>1</v>
      </c>
    </row>
    <row r="3678" spans="1:13">
      <c r="A3678" s="6">
        <v>43522</v>
      </c>
      <c r="B3678" s="7">
        <v>0.65694444444444444</v>
      </c>
      <c r="C3678" s="21" t="str">
        <f>"FES1162675475"</f>
        <v>FES1162675475</v>
      </c>
      <c r="D3678" s="21" t="s">
        <v>18</v>
      </c>
      <c r="E3678" s="21" t="s">
        <v>959</v>
      </c>
      <c r="F3678" s="21" t="str">
        <f>"2170674286 "</f>
        <v xml:space="preserve">2170674286 </v>
      </c>
      <c r="G3678" s="21" t="str">
        <f>"ON1"</f>
        <v>ON1</v>
      </c>
      <c r="H3678" s="21" t="s">
        <v>20</v>
      </c>
      <c r="I3678" s="21" t="s">
        <v>473</v>
      </c>
      <c r="J3678" s="21" t="str">
        <f>""</f>
        <v/>
      </c>
      <c r="K3678" s="21" t="str">
        <f>"PFES1162675475_0001"</f>
        <v>PFES1162675475_0001</v>
      </c>
      <c r="L3678" s="21">
        <v>1</v>
      </c>
      <c r="M3678" s="21">
        <v>1</v>
      </c>
    </row>
    <row r="3679" spans="1:13">
      <c r="A3679" s="6">
        <v>43522</v>
      </c>
      <c r="B3679" s="7">
        <v>0.65625</v>
      </c>
      <c r="C3679" s="21" t="str">
        <f>"FES1162675474"</f>
        <v>FES1162675474</v>
      </c>
      <c r="D3679" s="21" t="s">
        <v>18</v>
      </c>
      <c r="E3679" s="21" t="s">
        <v>709</v>
      </c>
      <c r="F3679" s="21" t="str">
        <f>"2170674275 "</f>
        <v xml:space="preserve">2170674275 </v>
      </c>
      <c r="G3679" s="21" t="str">
        <f>"ON1"</f>
        <v>ON1</v>
      </c>
      <c r="H3679" s="21" t="s">
        <v>20</v>
      </c>
      <c r="I3679" s="21" t="s">
        <v>43</v>
      </c>
      <c r="J3679" s="21" t="str">
        <f>""</f>
        <v/>
      </c>
      <c r="K3679" s="21" t="str">
        <f>"PFES1162675474_0001"</f>
        <v>PFES1162675474_0001</v>
      </c>
      <c r="L3679" s="21">
        <v>1</v>
      </c>
      <c r="M3679" s="21">
        <v>4</v>
      </c>
    </row>
    <row r="3680" spans="1:13">
      <c r="A3680" s="6">
        <v>43522</v>
      </c>
      <c r="B3680" s="7">
        <v>0.65625</v>
      </c>
      <c r="C3680" s="21" t="str">
        <f>"FES1162675467"</f>
        <v>FES1162675467</v>
      </c>
      <c r="D3680" s="21" t="s">
        <v>18</v>
      </c>
      <c r="E3680" s="21" t="s">
        <v>438</v>
      </c>
      <c r="F3680" s="21" t="str">
        <f>"2170672867 "</f>
        <v xml:space="preserve">2170672867 </v>
      </c>
      <c r="G3680" s="21" t="str">
        <f>"ON1"</f>
        <v>ON1</v>
      </c>
      <c r="H3680" s="21" t="s">
        <v>20</v>
      </c>
      <c r="I3680" s="21" t="s">
        <v>390</v>
      </c>
      <c r="J3680" s="21" t="str">
        <f>""</f>
        <v/>
      </c>
      <c r="K3680" s="21" t="str">
        <f>"PFES1162675467_0001"</f>
        <v>PFES1162675467_0001</v>
      </c>
      <c r="L3680" s="21">
        <v>1</v>
      </c>
      <c r="M3680" s="21">
        <v>9</v>
      </c>
    </row>
    <row r="3681" spans="1:13">
      <c r="A3681" s="6">
        <v>43522</v>
      </c>
      <c r="B3681" s="7">
        <v>0.65555555555555556</v>
      </c>
      <c r="C3681" s="21" t="str">
        <f>"FES1162675463"</f>
        <v>FES1162675463</v>
      </c>
      <c r="D3681" s="21" t="s">
        <v>18</v>
      </c>
      <c r="E3681" s="21" t="s">
        <v>58</v>
      </c>
      <c r="F3681" s="21" t="str">
        <f>"2170675157 "</f>
        <v xml:space="preserve">2170675157 </v>
      </c>
      <c r="G3681" s="21" t="str">
        <f>"DBC"</f>
        <v>DBC</v>
      </c>
      <c r="H3681" s="21" t="s">
        <v>20</v>
      </c>
      <c r="I3681" s="21" t="s">
        <v>59</v>
      </c>
      <c r="J3681" s="21" t="str">
        <f>""</f>
        <v/>
      </c>
      <c r="K3681" s="21" t="str">
        <f>"PFES1162675463_0001"</f>
        <v>PFES1162675463_0001</v>
      </c>
      <c r="L3681" s="21">
        <v>1</v>
      </c>
      <c r="M3681" s="21">
        <v>21</v>
      </c>
    </row>
    <row r="3682" spans="1:13">
      <c r="A3682" s="6">
        <v>43522</v>
      </c>
      <c r="B3682" s="7">
        <v>0.65486111111111112</v>
      </c>
      <c r="C3682" s="21" t="str">
        <f>"FES1162675493"</f>
        <v>FES1162675493</v>
      </c>
      <c r="D3682" s="21" t="s">
        <v>18</v>
      </c>
      <c r="E3682" s="21" t="s">
        <v>299</v>
      </c>
      <c r="F3682" s="21" t="str">
        <f>"2170675953 "</f>
        <v xml:space="preserve">2170675953 </v>
      </c>
      <c r="G3682" s="21" t="str">
        <f t="shared" ref="G3682:G3745" si="105">"ON1"</f>
        <v>ON1</v>
      </c>
      <c r="H3682" s="21" t="s">
        <v>20</v>
      </c>
      <c r="I3682" s="21" t="s">
        <v>43</v>
      </c>
      <c r="J3682" s="21" t="str">
        <f>""</f>
        <v/>
      </c>
      <c r="K3682" s="21" t="str">
        <f>"PFES1162675493_0001"</f>
        <v>PFES1162675493_0001</v>
      </c>
      <c r="L3682" s="21">
        <v>1</v>
      </c>
      <c r="M3682" s="21">
        <v>6</v>
      </c>
    </row>
    <row r="3683" spans="1:13">
      <c r="A3683" s="6">
        <v>43522</v>
      </c>
      <c r="B3683" s="7">
        <v>0.65486111111111112</v>
      </c>
      <c r="C3683" s="21" t="str">
        <f>"FES1162675500"</f>
        <v>FES1162675500</v>
      </c>
      <c r="D3683" s="21" t="s">
        <v>18</v>
      </c>
      <c r="E3683" s="21" t="s">
        <v>462</v>
      </c>
      <c r="F3683" s="21" t="str">
        <f>"2170676344 "</f>
        <v xml:space="preserve">2170676344 </v>
      </c>
      <c r="G3683" s="21" t="str">
        <f t="shared" si="105"/>
        <v>ON1</v>
      </c>
      <c r="H3683" s="21" t="s">
        <v>20</v>
      </c>
      <c r="I3683" s="21" t="s">
        <v>463</v>
      </c>
      <c r="J3683" s="21" t="str">
        <f>""</f>
        <v/>
      </c>
      <c r="K3683" s="21" t="str">
        <f>"PFES1162675500_0001"</f>
        <v>PFES1162675500_0001</v>
      </c>
      <c r="L3683" s="21">
        <v>1</v>
      </c>
      <c r="M3683" s="21">
        <v>2</v>
      </c>
    </row>
    <row r="3684" spans="1:13">
      <c r="A3684" s="6">
        <v>43522</v>
      </c>
      <c r="B3684" s="7">
        <v>0.65486111111111112</v>
      </c>
      <c r="C3684" s="21" t="str">
        <f>"FES1162675361"</f>
        <v>FES1162675361</v>
      </c>
      <c r="D3684" s="21" t="s">
        <v>18</v>
      </c>
      <c r="E3684" s="21" t="s">
        <v>673</v>
      </c>
      <c r="F3684" s="21" t="str">
        <f>"217067378 "</f>
        <v xml:space="preserve">217067378 </v>
      </c>
      <c r="G3684" s="21" t="str">
        <f t="shared" si="105"/>
        <v>ON1</v>
      </c>
      <c r="H3684" s="21" t="s">
        <v>20</v>
      </c>
      <c r="I3684" s="21" t="s">
        <v>674</v>
      </c>
      <c r="J3684" s="21" t="str">
        <f>""</f>
        <v/>
      </c>
      <c r="K3684" s="21" t="str">
        <f>"PFES1162675361_0001"</f>
        <v>PFES1162675361_0001</v>
      </c>
      <c r="L3684" s="21">
        <v>1</v>
      </c>
      <c r="M3684" s="21">
        <v>2</v>
      </c>
    </row>
    <row r="3685" spans="1:13">
      <c r="A3685" s="6">
        <v>43522</v>
      </c>
      <c r="B3685" s="7">
        <v>0.65416666666666667</v>
      </c>
      <c r="C3685" s="21" t="str">
        <f>"FES1162675478"</f>
        <v>FES1162675478</v>
      </c>
      <c r="D3685" s="21" t="s">
        <v>18</v>
      </c>
      <c r="E3685" s="21" t="s">
        <v>144</v>
      </c>
      <c r="F3685" s="21" t="str">
        <f>"2170674300 "</f>
        <v xml:space="preserve">2170674300 </v>
      </c>
      <c r="G3685" s="21" t="str">
        <f t="shared" si="105"/>
        <v>ON1</v>
      </c>
      <c r="H3685" s="21" t="s">
        <v>20</v>
      </c>
      <c r="I3685" s="21" t="s">
        <v>145</v>
      </c>
      <c r="J3685" s="21" t="str">
        <f>""</f>
        <v/>
      </c>
      <c r="K3685" s="21" t="str">
        <f>"PFES1162675478_0001"</f>
        <v>PFES1162675478_0001</v>
      </c>
      <c r="L3685" s="21">
        <v>1</v>
      </c>
      <c r="M3685" s="21">
        <v>9</v>
      </c>
    </row>
    <row r="3686" spans="1:13">
      <c r="A3686" s="6">
        <v>43522</v>
      </c>
      <c r="B3686" s="7">
        <v>0.65416666666666667</v>
      </c>
      <c r="C3686" s="21" t="str">
        <f>"FES1162675503"</f>
        <v>FES1162675503</v>
      </c>
      <c r="D3686" s="21" t="s">
        <v>18</v>
      </c>
      <c r="E3686" s="21" t="s">
        <v>438</v>
      </c>
      <c r="F3686" s="21" t="str">
        <f>"2170676347 "</f>
        <v xml:space="preserve">2170676347 </v>
      </c>
      <c r="G3686" s="21" t="str">
        <f t="shared" si="105"/>
        <v>ON1</v>
      </c>
      <c r="H3686" s="21" t="s">
        <v>20</v>
      </c>
      <c r="I3686" s="21" t="s">
        <v>390</v>
      </c>
      <c r="J3686" s="21" t="str">
        <f>""</f>
        <v/>
      </c>
      <c r="K3686" s="21" t="str">
        <f>"PFES1162675503_0001"</f>
        <v>PFES1162675503_0001</v>
      </c>
      <c r="L3686" s="21">
        <v>1</v>
      </c>
      <c r="M3686" s="21">
        <v>6</v>
      </c>
    </row>
    <row r="3687" spans="1:13">
      <c r="A3687" s="6">
        <v>43522</v>
      </c>
      <c r="B3687" s="7">
        <v>0.65416666666666667</v>
      </c>
      <c r="C3687" s="21" t="str">
        <f>"FES1162675479"</f>
        <v>FES1162675479</v>
      </c>
      <c r="D3687" s="21" t="s">
        <v>18</v>
      </c>
      <c r="E3687" s="21" t="s">
        <v>19</v>
      </c>
      <c r="F3687" s="21" t="str">
        <f>"2170674317 "</f>
        <v xml:space="preserve">2170674317 </v>
      </c>
      <c r="G3687" s="21" t="str">
        <f t="shared" si="105"/>
        <v>ON1</v>
      </c>
      <c r="H3687" s="21" t="s">
        <v>20</v>
      </c>
      <c r="I3687" s="21" t="s">
        <v>21</v>
      </c>
      <c r="J3687" s="21" t="str">
        <f>""</f>
        <v/>
      </c>
      <c r="K3687" s="21" t="str">
        <f>"PFES1162675479_0001"</f>
        <v>PFES1162675479_0001</v>
      </c>
      <c r="L3687" s="21">
        <v>1</v>
      </c>
      <c r="M3687" s="21">
        <v>8</v>
      </c>
    </row>
    <row r="3688" spans="1:13">
      <c r="A3688" s="6">
        <v>43522</v>
      </c>
      <c r="B3688" s="7">
        <v>0.65</v>
      </c>
      <c r="C3688" s="21" t="str">
        <f>"FES1162675369"</f>
        <v>FES1162675369</v>
      </c>
      <c r="D3688" s="21" t="s">
        <v>18</v>
      </c>
      <c r="E3688" s="21" t="s">
        <v>73</v>
      </c>
      <c r="F3688" s="21" t="str">
        <f>"2170673921 "</f>
        <v xml:space="preserve">2170673921 </v>
      </c>
      <c r="G3688" s="21" t="str">
        <f t="shared" si="105"/>
        <v>ON1</v>
      </c>
      <c r="H3688" s="21" t="s">
        <v>20</v>
      </c>
      <c r="I3688" s="21" t="s">
        <v>61</v>
      </c>
      <c r="J3688" s="21" t="str">
        <f>""</f>
        <v/>
      </c>
      <c r="K3688" s="21" t="str">
        <f>"PFES1162675369_0001"</f>
        <v>PFES1162675369_0001</v>
      </c>
      <c r="L3688" s="21">
        <v>1</v>
      </c>
      <c r="M3688" s="21">
        <v>1</v>
      </c>
    </row>
    <row r="3689" spans="1:13">
      <c r="A3689" s="6">
        <v>43522</v>
      </c>
      <c r="B3689" s="7">
        <v>0.64930555555555558</v>
      </c>
      <c r="C3689" s="21" t="str">
        <f>"FES1162675354"</f>
        <v>FES1162675354</v>
      </c>
      <c r="D3689" s="21" t="s">
        <v>18</v>
      </c>
      <c r="E3689" s="21" t="s">
        <v>522</v>
      </c>
      <c r="F3689" s="21" t="str">
        <f>"2170673419 "</f>
        <v xml:space="preserve">2170673419 </v>
      </c>
      <c r="G3689" s="21" t="str">
        <f t="shared" si="105"/>
        <v>ON1</v>
      </c>
      <c r="H3689" s="21" t="s">
        <v>20</v>
      </c>
      <c r="I3689" s="21" t="s">
        <v>388</v>
      </c>
      <c r="J3689" s="21" t="str">
        <f>""</f>
        <v/>
      </c>
      <c r="K3689" s="21" t="str">
        <f>"PFES1162675354_0001"</f>
        <v>PFES1162675354_0001</v>
      </c>
      <c r="L3689" s="21">
        <v>1</v>
      </c>
      <c r="M3689" s="21">
        <v>3</v>
      </c>
    </row>
    <row r="3690" spans="1:13">
      <c r="A3690" s="6">
        <v>43522</v>
      </c>
      <c r="B3690" s="7">
        <v>0.6479166666666667</v>
      </c>
      <c r="C3690" s="21" t="str">
        <f>"FES1162675325"</f>
        <v>FES1162675325</v>
      </c>
      <c r="D3690" s="21" t="s">
        <v>18</v>
      </c>
      <c r="E3690" s="21" t="s">
        <v>225</v>
      </c>
      <c r="F3690" s="21" t="str">
        <f>"2170674531 "</f>
        <v xml:space="preserve">2170674531 </v>
      </c>
      <c r="G3690" s="21" t="str">
        <f t="shared" si="105"/>
        <v>ON1</v>
      </c>
      <c r="H3690" s="21" t="s">
        <v>20</v>
      </c>
      <c r="I3690" s="21" t="s">
        <v>226</v>
      </c>
      <c r="J3690" s="21" t="str">
        <f>""</f>
        <v/>
      </c>
      <c r="K3690" s="21" t="str">
        <f>"PFES1162675325_0001"</f>
        <v>PFES1162675325_0001</v>
      </c>
      <c r="L3690" s="21">
        <v>1</v>
      </c>
      <c r="M3690" s="21">
        <v>2</v>
      </c>
    </row>
    <row r="3691" spans="1:13">
      <c r="A3691" s="6">
        <v>43522</v>
      </c>
      <c r="B3691" s="7">
        <v>0.64722222222222225</v>
      </c>
      <c r="C3691" s="21" t="str">
        <f>"FES1162675300"</f>
        <v>FES1162675300</v>
      </c>
      <c r="D3691" s="21" t="s">
        <v>18</v>
      </c>
      <c r="E3691" s="21" t="s">
        <v>321</v>
      </c>
      <c r="F3691" s="21" t="str">
        <f>"2170674038 "</f>
        <v xml:space="preserve">2170674038 </v>
      </c>
      <c r="G3691" s="21" t="str">
        <f t="shared" si="105"/>
        <v>ON1</v>
      </c>
      <c r="H3691" s="21" t="s">
        <v>20</v>
      </c>
      <c r="I3691" s="21" t="s">
        <v>322</v>
      </c>
      <c r="J3691" s="21" t="str">
        <f>""</f>
        <v/>
      </c>
      <c r="K3691" s="21" t="str">
        <f>"PFES1162675300_0001"</f>
        <v>PFES1162675300_0001</v>
      </c>
      <c r="L3691" s="21">
        <v>1</v>
      </c>
      <c r="M3691" s="21">
        <v>3</v>
      </c>
    </row>
    <row r="3692" spans="1:13">
      <c r="A3692" s="6">
        <v>43522</v>
      </c>
      <c r="B3692" s="7">
        <v>0.64583333333333337</v>
      </c>
      <c r="C3692" s="21" t="str">
        <f>"FES1162675345"</f>
        <v>FES1162675345</v>
      </c>
      <c r="D3692" s="21" t="s">
        <v>18</v>
      </c>
      <c r="E3692" s="21" t="s">
        <v>198</v>
      </c>
      <c r="F3692" s="21" t="str">
        <f>"2170675274 "</f>
        <v xml:space="preserve">2170675274 </v>
      </c>
      <c r="G3692" s="21" t="str">
        <f t="shared" si="105"/>
        <v>ON1</v>
      </c>
      <c r="H3692" s="21" t="s">
        <v>20</v>
      </c>
      <c r="I3692" s="21" t="s">
        <v>199</v>
      </c>
      <c r="J3692" s="21" t="str">
        <f>""</f>
        <v/>
      </c>
      <c r="K3692" s="21" t="str">
        <f>"PFES1162675345_0001"</f>
        <v>PFES1162675345_0001</v>
      </c>
      <c r="L3692" s="21">
        <v>1</v>
      </c>
      <c r="M3692" s="21">
        <v>4</v>
      </c>
    </row>
    <row r="3693" spans="1:13">
      <c r="A3693" s="6">
        <v>43522</v>
      </c>
      <c r="B3693" s="7">
        <v>0.64513888888888882</v>
      </c>
      <c r="C3693" s="21" t="str">
        <f>"FES1162675338"</f>
        <v>FES1162675338</v>
      </c>
      <c r="D3693" s="21" t="s">
        <v>18</v>
      </c>
      <c r="E3693" s="21" t="s">
        <v>1021</v>
      </c>
      <c r="F3693" s="21" t="str">
        <f>"2170674741 "</f>
        <v xml:space="preserve">2170674741 </v>
      </c>
      <c r="G3693" s="21" t="str">
        <f t="shared" si="105"/>
        <v>ON1</v>
      </c>
      <c r="H3693" s="21" t="s">
        <v>20</v>
      </c>
      <c r="I3693" s="21" t="s">
        <v>679</v>
      </c>
      <c r="J3693" s="21" t="str">
        <f>""</f>
        <v/>
      </c>
      <c r="K3693" s="21" t="str">
        <f>"PFES1162675338_0001"</f>
        <v>PFES1162675338_0001</v>
      </c>
      <c r="L3693" s="21">
        <v>1</v>
      </c>
      <c r="M3693" s="21">
        <v>2</v>
      </c>
    </row>
    <row r="3694" spans="1:13">
      <c r="A3694" s="6">
        <v>43522</v>
      </c>
      <c r="B3694" s="7">
        <v>0.64374999999999993</v>
      </c>
      <c r="C3694" s="21" t="str">
        <f>"FES1162675465"</f>
        <v>FES1162675465</v>
      </c>
      <c r="D3694" s="21" t="s">
        <v>18</v>
      </c>
      <c r="E3694" s="21" t="s">
        <v>398</v>
      </c>
      <c r="F3694" s="21" t="str">
        <f>"2170671887 "</f>
        <v xml:space="preserve">2170671887 </v>
      </c>
      <c r="G3694" s="21" t="str">
        <f t="shared" si="105"/>
        <v>ON1</v>
      </c>
      <c r="H3694" s="21" t="s">
        <v>20</v>
      </c>
      <c r="I3694" s="21" t="s">
        <v>226</v>
      </c>
      <c r="J3694" s="21" t="str">
        <f>""</f>
        <v/>
      </c>
      <c r="K3694" s="21" t="str">
        <f>"PFES1162675465_0001"</f>
        <v>PFES1162675465_0001</v>
      </c>
      <c r="L3694" s="21">
        <v>1</v>
      </c>
      <c r="M3694" s="21">
        <v>5</v>
      </c>
    </row>
    <row r="3695" spans="1:13">
      <c r="A3695" s="6">
        <v>43522</v>
      </c>
      <c r="B3695" s="7">
        <v>0.64236111111111105</v>
      </c>
      <c r="C3695" s="21" t="str">
        <f>"FES1162675343"</f>
        <v>FES1162675343</v>
      </c>
      <c r="D3695" s="21" t="s">
        <v>18</v>
      </c>
      <c r="E3695" s="21" t="s">
        <v>301</v>
      </c>
      <c r="F3695" s="21" t="str">
        <f>"2170675092 "</f>
        <v xml:space="preserve">2170675092 </v>
      </c>
      <c r="G3695" s="21" t="str">
        <f t="shared" si="105"/>
        <v>ON1</v>
      </c>
      <c r="H3695" s="21" t="s">
        <v>20</v>
      </c>
      <c r="I3695" s="21" t="s">
        <v>302</v>
      </c>
      <c r="J3695" s="21" t="str">
        <f>""</f>
        <v/>
      </c>
      <c r="K3695" s="21" t="str">
        <f>"PFES1162675343_0001"</f>
        <v>PFES1162675343_0001</v>
      </c>
      <c r="L3695" s="21">
        <v>1</v>
      </c>
      <c r="M3695" s="21">
        <v>3</v>
      </c>
    </row>
    <row r="3696" spans="1:13">
      <c r="A3696" s="6">
        <v>43522</v>
      </c>
      <c r="B3696" s="7">
        <v>0.64097222222222217</v>
      </c>
      <c r="C3696" s="21" t="str">
        <f>"FES1162675431"</f>
        <v>FES1162675431</v>
      </c>
      <c r="D3696" s="21" t="s">
        <v>18</v>
      </c>
      <c r="E3696" s="21" t="s">
        <v>1173</v>
      </c>
      <c r="F3696" s="21" t="str">
        <f>"2170675023 "</f>
        <v xml:space="preserve">2170675023 </v>
      </c>
      <c r="G3696" s="21" t="str">
        <f t="shared" si="105"/>
        <v>ON1</v>
      </c>
      <c r="H3696" s="21" t="s">
        <v>20</v>
      </c>
      <c r="I3696" s="21" t="s">
        <v>167</v>
      </c>
      <c r="J3696" s="21" t="str">
        <f>""</f>
        <v/>
      </c>
      <c r="K3696" s="21" t="str">
        <f>"PFES1162675431_0001"</f>
        <v>PFES1162675431_0001</v>
      </c>
      <c r="L3696" s="21">
        <v>1</v>
      </c>
      <c r="M3696" s="21">
        <v>18</v>
      </c>
    </row>
    <row r="3697" spans="1:13">
      <c r="A3697" s="6">
        <v>43522</v>
      </c>
      <c r="B3697" s="7">
        <v>0.63958333333333328</v>
      </c>
      <c r="C3697" s="21" t="str">
        <f>"FES1162675270"</f>
        <v>FES1162675270</v>
      </c>
      <c r="D3697" s="21" t="s">
        <v>18</v>
      </c>
      <c r="E3697" s="21" t="s">
        <v>482</v>
      </c>
      <c r="F3697" s="21" t="str">
        <f>"2170676205 "</f>
        <v xml:space="preserve">2170676205 </v>
      </c>
      <c r="G3697" s="21" t="str">
        <f t="shared" si="105"/>
        <v>ON1</v>
      </c>
      <c r="H3697" s="21" t="s">
        <v>20</v>
      </c>
      <c r="I3697" s="21" t="s">
        <v>272</v>
      </c>
      <c r="J3697" s="21" t="str">
        <f>""</f>
        <v/>
      </c>
      <c r="K3697" s="21" t="str">
        <f>"PFES1162675270_0001"</f>
        <v>PFES1162675270_0001</v>
      </c>
      <c r="L3697" s="21">
        <v>1</v>
      </c>
      <c r="M3697" s="21">
        <v>4</v>
      </c>
    </row>
    <row r="3698" spans="1:13">
      <c r="A3698" s="6">
        <v>43522</v>
      </c>
      <c r="B3698" s="7">
        <v>0.6381944444444444</v>
      </c>
      <c r="C3698" s="21" t="str">
        <f>"FES1162675299"</f>
        <v>FES1162675299</v>
      </c>
      <c r="D3698" s="21" t="s">
        <v>18</v>
      </c>
      <c r="E3698" s="21" t="s">
        <v>129</v>
      </c>
      <c r="F3698" s="21" t="str">
        <f>"2170674036 "</f>
        <v xml:space="preserve">2170674036 </v>
      </c>
      <c r="G3698" s="21" t="str">
        <f t="shared" si="105"/>
        <v>ON1</v>
      </c>
      <c r="H3698" s="21" t="s">
        <v>20</v>
      </c>
      <c r="I3698" s="21" t="s">
        <v>130</v>
      </c>
      <c r="J3698" s="21" t="str">
        <f>""</f>
        <v/>
      </c>
      <c r="K3698" s="21" t="str">
        <f>"PFES1162675299_0001"</f>
        <v>PFES1162675299_0001</v>
      </c>
      <c r="L3698" s="21">
        <v>1</v>
      </c>
      <c r="M3698" s="21">
        <v>5</v>
      </c>
    </row>
    <row r="3699" spans="1:13">
      <c r="A3699" s="6">
        <v>43522</v>
      </c>
      <c r="B3699" s="7">
        <v>0.63750000000000007</v>
      </c>
      <c r="C3699" s="21" t="str">
        <f>"FES1162675207"</f>
        <v>FES1162675207</v>
      </c>
      <c r="D3699" s="21" t="s">
        <v>18</v>
      </c>
      <c r="E3699" s="21" t="s">
        <v>380</v>
      </c>
      <c r="F3699" s="21" t="str">
        <f>"2170675843 "</f>
        <v xml:space="preserve">2170675843 </v>
      </c>
      <c r="G3699" s="21" t="str">
        <f t="shared" si="105"/>
        <v>ON1</v>
      </c>
      <c r="H3699" s="21" t="s">
        <v>20</v>
      </c>
      <c r="I3699" s="21" t="s">
        <v>213</v>
      </c>
      <c r="J3699" s="21" t="str">
        <f>""</f>
        <v/>
      </c>
      <c r="K3699" s="21" t="str">
        <f>"PFES1162675207_0001"</f>
        <v>PFES1162675207_0001</v>
      </c>
      <c r="L3699" s="21">
        <v>1</v>
      </c>
      <c r="M3699" s="21">
        <v>12</v>
      </c>
    </row>
    <row r="3700" spans="1:13">
      <c r="A3700" s="6">
        <v>43522</v>
      </c>
      <c r="B3700" s="7">
        <v>0.63541666666666663</v>
      </c>
      <c r="C3700" s="21" t="str">
        <f>"FES1162675396"</f>
        <v>FES1162675396</v>
      </c>
      <c r="D3700" s="21" t="s">
        <v>18</v>
      </c>
      <c r="E3700" s="21" t="s">
        <v>669</v>
      </c>
      <c r="F3700" s="21" t="str">
        <f>"2170676253 "</f>
        <v xml:space="preserve">2170676253 </v>
      </c>
      <c r="G3700" s="21" t="str">
        <f t="shared" si="105"/>
        <v>ON1</v>
      </c>
      <c r="H3700" s="21" t="s">
        <v>20</v>
      </c>
      <c r="I3700" s="21" t="s">
        <v>89</v>
      </c>
      <c r="J3700" s="21" t="str">
        <f>""</f>
        <v/>
      </c>
      <c r="K3700" s="21" t="str">
        <f>"PFES1162675396_0001"</f>
        <v>PFES1162675396_0001</v>
      </c>
      <c r="L3700" s="21">
        <v>1</v>
      </c>
      <c r="M3700" s="21">
        <v>3</v>
      </c>
    </row>
    <row r="3701" spans="1:13">
      <c r="A3701" s="6">
        <v>43522</v>
      </c>
      <c r="B3701" s="7">
        <v>0.63541666666666663</v>
      </c>
      <c r="C3701" s="21" t="str">
        <f>"FES1162675411"</f>
        <v>FES1162675411</v>
      </c>
      <c r="D3701" s="21" t="s">
        <v>18</v>
      </c>
      <c r="E3701" s="21" t="s">
        <v>1071</v>
      </c>
      <c r="F3701" s="21" t="str">
        <f>"2170676271 "</f>
        <v xml:space="preserve">2170676271 </v>
      </c>
      <c r="G3701" s="21" t="str">
        <f t="shared" si="105"/>
        <v>ON1</v>
      </c>
      <c r="H3701" s="21" t="s">
        <v>20</v>
      </c>
      <c r="I3701" s="21" t="s">
        <v>139</v>
      </c>
      <c r="J3701" s="21" t="str">
        <f>""</f>
        <v/>
      </c>
      <c r="K3701" s="21" t="str">
        <f>"PFES1162675411_0001"</f>
        <v>PFES1162675411_0001</v>
      </c>
      <c r="L3701" s="21">
        <v>1</v>
      </c>
      <c r="M3701" s="21">
        <v>1</v>
      </c>
    </row>
    <row r="3702" spans="1:13">
      <c r="A3702" s="6">
        <v>43522</v>
      </c>
      <c r="B3702" s="7">
        <v>0.63472222222222219</v>
      </c>
      <c r="C3702" s="21" t="str">
        <f>"FES1162675389"</f>
        <v>FES1162675389</v>
      </c>
      <c r="D3702" s="21" t="s">
        <v>18</v>
      </c>
      <c r="E3702" s="21" t="s">
        <v>220</v>
      </c>
      <c r="F3702" s="21" t="str">
        <f>"2170676244 "</f>
        <v xml:space="preserve">2170676244 </v>
      </c>
      <c r="G3702" s="21" t="str">
        <f t="shared" si="105"/>
        <v>ON1</v>
      </c>
      <c r="H3702" s="21" t="s">
        <v>20</v>
      </c>
      <c r="I3702" s="21" t="s">
        <v>221</v>
      </c>
      <c r="J3702" s="21" t="str">
        <f>""</f>
        <v/>
      </c>
      <c r="K3702" s="21" t="str">
        <f>"PFES1162675389_0001"</f>
        <v>PFES1162675389_0001</v>
      </c>
      <c r="L3702" s="21">
        <v>1</v>
      </c>
      <c r="M3702" s="21">
        <v>1</v>
      </c>
    </row>
    <row r="3703" spans="1:13">
      <c r="A3703" s="6">
        <v>43522</v>
      </c>
      <c r="B3703" s="7">
        <v>0.63472222222222219</v>
      </c>
      <c r="C3703" s="21" t="str">
        <f>"FES1162675313"</f>
        <v>FES1162675313</v>
      </c>
      <c r="D3703" s="21" t="s">
        <v>18</v>
      </c>
      <c r="E3703" s="21" t="s">
        <v>891</v>
      </c>
      <c r="F3703" s="21" t="str">
        <f>"2170674230 "</f>
        <v xml:space="preserve">2170674230 </v>
      </c>
      <c r="G3703" s="21" t="str">
        <f t="shared" si="105"/>
        <v>ON1</v>
      </c>
      <c r="H3703" s="21" t="s">
        <v>20</v>
      </c>
      <c r="I3703" s="21" t="s">
        <v>408</v>
      </c>
      <c r="J3703" s="21" t="str">
        <f>""</f>
        <v/>
      </c>
      <c r="K3703" s="21" t="str">
        <f>"PFES1162675313_0001"</f>
        <v>PFES1162675313_0001</v>
      </c>
      <c r="L3703" s="21">
        <v>1</v>
      </c>
      <c r="M3703" s="21">
        <v>3</v>
      </c>
    </row>
    <row r="3704" spans="1:13">
      <c r="A3704" s="6">
        <v>43522</v>
      </c>
      <c r="B3704" s="7">
        <v>0.63472222222222219</v>
      </c>
      <c r="C3704" s="21" t="str">
        <f>"FES1162675441"</f>
        <v>FES1162675441</v>
      </c>
      <c r="D3704" s="21" t="s">
        <v>18</v>
      </c>
      <c r="E3704" s="21" t="s">
        <v>97</v>
      </c>
      <c r="F3704" s="21" t="str">
        <f>"2170676308 "</f>
        <v xml:space="preserve">2170676308 </v>
      </c>
      <c r="G3704" s="21" t="str">
        <f t="shared" si="105"/>
        <v>ON1</v>
      </c>
      <c r="H3704" s="21" t="s">
        <v>20</v>
      </c>
      <c r="I3704" s="21" t="s">
        <v>70</v>
      </c>
      <c r="J3704" s="21" t="str">
        <f>""</f>
        <v/>
      </c>
      <c r="K3704" s="21" t="str">
        <f>"PFES1162675441_0001"</f>
        <v>PFES1162675441_0001</v>
      </c>
      <c r="L3704" s="21">
        <v>1</v>
      </c>
      <c r="M3704" s="21">
        <v>1</v>
      </c>
    </row>
    <row r="3705" spans="1:13">
      <c r="A3705" s="6">
        <v>43522</v>
      </c>
      <c r="B3705" s="7">
        <v>0.63472222222222219</v>
      </c>
      <c r="C3705" s="21" t="str">
        <f>"FES1162675418"</f>
        <v>FES1162675418</v>
      </c>
      <c r="D3705" s="21" t="s">
        <v>18</v>
      </c>
      <c r="E3705" s="21" t="s">
        <v>136</v>
      </c>
      <c r="F3705" s="21" t="str">
        <f>"2170676277 "</f>
        <v xml:space="preserve">2170676277 </v>
      </c>
      <c r="G3705" s="21" t="str">
        <f t="shared" si="105"/>
        <v>ON1</v>
      </c>
      <c r="H3705" s="21" t="s">
        <v>20</v>
      </c>
      <c r="I3705" s="21" t="s">
        <v>137</v>
      </c>
      <c r="J3705" s="21" t="str">
        <f>""</f>
        <v/>
      </c>
      <c r="K3705" s="21" t="str">
        <f>"PFES1162675418_0001"</f>
        <v>PFES1162675418_0001</v>
      </c>
      <c r="L3705" s="21">
        <v>1</v>
      </c>
      <c r="M3705" s="21">
        <v>1</v>
      </c>
    </row>
    <row r="3706" spans="1:13">
      <c r="A3706" s="6">
        <v>43522</v>
      </c>
      <c r="B3706" s="7">
        <v>0.63402777777777775</v>
      </c>
      <c r="C3706" s="21" t="str">
        <f>"FES1162674502"</f>
        <v>FES1162674502</v>
      </c>
      <c r="D3706" s="21" t="s">
        <v>18</v>
      </c>
      <c r="E3706" s="21" t="s">
        <v>1174</v>
      </c>
      <c r="F3706" s="21" t="str">
        <f>"2170675491 "</f>
        <v xml:space="preserve">2170675491 </v>
      </c>
      <c r="G3706" s="21" t="str">
        <f t="shared" si="105"/>
        <v>ON1</v>
      </c>
      <c r="H3706" s="21" t="s">
        <v>20</v>
      </c>
      <c r="I3706" s="21" t="s">
        <v>353</v>
      </c>
      <c r="J3706" s="21" t="str">
        <f>""</f>
        <v/>
      </c>
      <c r="K3706" s="21" t="str">
        <f>"PFES1162674502_0001"</f>
        <v>PFES1162674502_0001</v>
      </c>
      <c r="L3706" s="21">
        <v>1</v>
      </c>
      <c r="M3706" s="21">
        <v>1</v>
      </c>
    </row>
    <row r="3707" spans="1:13">
      <c r="A3707" s="6">
        <v>43522</v>
      </c>
      <c r="B3707" s="7">
        <v>0.63402777777777775</v>
      </c>
      <c r="C3707" s="21" t="str">
        <f>"FES1162675417"</f>
        <v>FES1162675417</v>
      </c>
      <c r="D3707" s="21" t="s">
        <v>18</v>
      </c>
      <c r="E3707" s="21" t="s">
        <v>386</v>
      </c>
      <c r="F3707" s="21" t="str">
        <f>"2170676276 "</f>
        <v xml:space="preserve">2170676276 </v>
      </c>
      <c r="G3707" s="21" t="str">
        <f t="shared" si="105"/>
        <v>ON1</v>
      </c>
      <c r="H3707" s="21" t="s">
        <v>20</v>
      </c>
      <c r="I3707" s="21" t="s">
        <v>41</v>
      </c>
      <c r="J3707" s="21" t="str">
        <f>""</f>
        <v/>
      </c>
      <c r="K3707" s="21" t="str">
        <f>"PFES1162675417_0001"</f>
        <v>PFES1162675417_0001</v>
      </c>
      <c r="L3707" s="21">
        <v>1</v>
      </c>
      <c r="M3707" s="21">
        <v>1</v>
      </c>
    </row>
    <row r="3708" spans="1:13">
      <c r="A3708" s="6">
        <v>43522</v>
      </c>
      <c r="B3708" s="7">
        <v>0.63402777777777775</v>
      </c>
      <c r="C3708" s="21" t="str">
        <f>"FES1162675430"</f>
        <v>FES1162675430</v>
      </c>
      <c r="D3708" s="21" t="s">
        <v>18</v>
      </c>
      <c r="E3708" s="21" t="s">
        <v>235</v>
      </c>
      <c r="F3708" s="21" t="str">
        <f>"217064982 "</f>
        <v xml:space="preserve">217064982 </v>
      </c>
      <c r="G3708" s="21" t="str">
        <f t="shared" si="105"/>
        <v>ON1</v>
      </c>
      <c r="H3708" s="21" t="s">
        <v>20</v>
      </c>
      <c r="I3708" s="21" t="s">
        <v>143</v>
      </c>
      <c r="J3708" s="21" t="str">
        <f>""</f>
        <v/>
      </c>
      <c r="K3708" s="21" t="str">
        <f>"PFES1162675430_0001"</f>
        <v>PFES1162675430_0001</v>
      </c>
      <c r="L3708" s="21">
        <v>1</v>
      </c>
      <c r="M3708" s="21">
        <v>1</v>
      </c>
    </row>
    <row r="3709" spans="1:13">
      <c r="A3709" s="6">
        <v>43522</v>
      </c>
      <c r="B3709" s="7">
        <v>0.6333333333333333</v>
      </c>
      <c r="C3709" s="21" t="str">
        <f>"FES1162675374"</f>
        <v>FES1162675374</v>
      </c>
      <c r="D3709" s="21" t="s">
        <v>18</v>
      </c>
      <c r="E3709" s="21" t="s">
        <v>1175</v>
      </c>
      <c r="F3709" s="21" t="str">
        <f>"2170674569 "</f>
        <v xml:space="preserve">2170674569 </v>
      </c>
      <c r="G3709" s="21" t="str">
        <f t="shared" si="105"/>
        <v>ON1</v>
      </c>
      <c r="H3709" s="21" t="s">
        <v>20</v>
      </c>
      <c r="I3709" s="21" t="s">
        <v>1176</v>
      </c>
      <c r="J3709" s="21" t="str">
        <f>""</f>
        <v/>
      </c>
      <c r="K3709" s="21" t="str">
        <f>"PFES1162675374_0001"</f>
        <v>PFES1162675374_0001</v>
      </c>
      <c r="L3709" s="21">
        <v>1</v>
      </c>
      <c r="M3709" s="21">
        <v>3</v>
      </c>
    </row>
    <row r="3710" spans="1:13">
      <c r="A3710" s="6">
        <v>43522</v>
      </c>
      <c r="B3710" s="7">
        <v>0.6333333333333333</v>
      </c>
      <c r="C3710" s="21" t="str">
        <f>"FES1162675452"</f>
        <v>FES1162675452</v>
      </c>
      <c r="D3710" s="21" t="s">
        <v>18</v>
      </c>
      <c r="E3710" s="21" t="s">
        <v>462</v>
      </c>
      <c r="F3710" s="21" t="str">
        <f>"2170676235 "</f>
        <v xml:space="preserve">2170676235 </v>
      </c>
      <c r="G3710" s="21" t="str">
        <f t="shared" si="105"/>
        <v>ON1</v>
      </c>
      <c r="H3710" s="21" t="s">
        <v>20</v>
      </c>
      <c r="I3710" s="21" t="s">
        <v>463</v>
      </c>
      <c r="J3710" s="21" t="str">
        <f>""</f>
        <v/>
      </c>
      <c r="K3710" s="21" t="str">
        <f>"PFES1162675452_0001"</f>
        <v>PFES1162675452_0001</v>
      </c>
      <c r="L3710" s="21">
        <v>1</v>
      </c>
      <c r="M3710" s="21">
        <v>1</v>
      </c>
    </row>
    <row r="3711" spans="1:13">
      <c r="A3711" s="6">
        <v>43522</v>
      </c>
      <c r="B3711" s="7">
        <v>0.6333333333333333</v>
      </c>
      <c r="C3711" s="21" t="str">
        <f>"FES1162669803"</f>
        <v>FES1162669803</v>
      </c>
      <c r="D3711" s="21" t="s">
        <v>18</v>
      </c>
      <c r="E3711" s="21" t="s">
        <v>1174</v>
      </c>
      <c r="F3711" s="21" t="str">
        <f>"21706760654 "</f>
        <v xml:space="preserve">21706760654 </v>
      </c>
      <c r="G3711" s="21" t="str">
        <f t="shared" si="105"/>
        <v>ON1</v>
      </c>
      <c r="H3711" s="21" t="s">
        <v>20</v>
      </c>
      <c r="I3711" s="21" t="s">
        <v>353</v>
      </c>
      <c r="J3711" s="21" t="str">
        <f>""</f>
        <v/>
      </c>
      <c r="K3711" s="21" t="str">
        <f>"PFES1162669803_0001"</f>
        <v>PFES1162669803_0001</v>
      </c>
      <c r="L3711" s="21">
        <v>1</v>
      </c>
      <c r="M3711" s="21">
        <v>1</v>
      </c>
    </row>
    <row r="3712" spans="1:13">
      <c r="A3712" s="6">
        <v>43522</v>
      </c>
      <c r="B3712" s="7">
        <v>0.63263888888888886</v>
      </c>
      <c r="C3712" s="21" t="str">
        <f>"FES1162675443"</f>
        <v>FES1162675443</v>
      </c>
      <c r="D3712" s="21" t="s">
        <v>18</v>
      </c>
      <c r="E3712" s="21" t="s">
        <v>462</v>
      </c>
      <c r="F3712" s="21" t="str">
        <f>"21706763113 "</f>
        <v xml:space="preserve">21706763113 </v>
      </c>
      <c r="G3712" s="21" t="str">
        <f t="shared" si="105"/>
        <v>ON1</v>
      </c>
      <c r="H3712" s="21" t="s">
        <v>20</v>
      </c>
      <c r="I3712" s="21" t="s">
        <v>463</v>
      </c>
      <c r="J3712" s="21" t="str">
        <f>""</f>
        <v/>
      </c>
      <c r="K3712" s="21" t="str">
        <f>"PFES1162675443_0001"</f>
        <v>PFES1162675443_0001</v>
      </c>
      <c r="L3712" s="21">
        <v>1</v>
      </c>
      <c r="M3712" s="21">
        <v>1</v>
      </c>
    </row>
    <row r="3713" spans="1:13">
      <c r="A3713" s="6">
        <v>43522</v>
      </c>
      <c r="B3713" s="7">
        <v>0.63263888888888886</v>
      </c>
      <c r="C3713" s="21" t="str">
        <f>"FES1162675377"</f>
        <v>FES1162675377</v>
      </c>
      <c r="D3713" s="21" t="s">
        <v>18</v>
      </c>
      <c r="E3713" s="21" t="s">
        <v>92</v>
      </c>
      <c r="F3713" s="21" t="str">
        <f>"2170674894 "</f>
        <v xml:space="preserve">2170674894 </v>
      </c>
      <c r="G3713" s="21" t="str">
        <f t="shared" si="105"/>
        <v>ON1</v>
      </c>
      <c r="H3713" s="21" t="s">
        <v>20</v>
      </c>
      <c r="I3713" s="21" t="s">
        <v>93</v>
      </c>
      <c r="J3713" s="21" t="str">
        <f>""</f>
        <v/>
      </c>
      <c r="K3713" s="21" t="str">
        <f>"PFES1162675377_0001"</f>
        <v>PFES1162675377_0001</v>
      </c>
      <c r="L3713" s="21">
        <v>1</v>
      </c>
      <c r="M3713" s="21">
        <v>2</v>
      </c>
    </row>
    <row r="3714" spans="1:13">
      <c r="A3714" s="6">
        <v>43522</v>
      </c>
      <c r="B3714" s="7">
        <v>0.63194444444444442</v>
      </c>
      <c r="C3714" s="21" t="str">
        <f>"FES1162675344"</f>
        <v>FES1162675344</v>
      </c>
      <c r="D3714" s="21" t="s">
        <v>18</v>
      </c>
      <c r="E3714" s="21" t="s">
        <v>967</v>
      </c>
      <c r="F3714" s="21" t="str">
        <f>"2170675236 "</f>
        <v xml:space="preserve">2170675236 </v>
      </c>
      <c r="G3714" s="21" t="str">
        <f t="shared" si="105"/>
        <v>ON1</v>
      </c>
      <c r="H3714" s="21" t="s">
        <v>20</v>
      </c>
      <c r="I3714" s="21" t="s">
        <v>117</v>
      </c>
      <c r="J3714" s="21" t="str">
        <f>""</f>
        <v/>
      </c>
      <c r="K3714" s="21" t="str">
        <f>"PFES1162675344_0001"</f>
        <v>PFES1162675344_0001</v>
      </c>
      <c r="L3714" s="21">
        <v>1</v>
      </c>
      <c r="M3714" s="21">
        <v>1</v>
      </c>
    </row>
    <row r="3715" spans="1:13">
      <c r="A3715" s="6">
        <v>43522</v>
      </c>
      <c r="B3715" s="7">
        <v>0.63194444444444442</v>
      </c>
      <c r="C3715" s="21" t="str">
        <f>"FES1162675231"</f>
        <v>FES1162675231</v>
      </c>
      <c r="D3715" s="21" t="s">
        <v>18</v>
      </c>
      <c r="E3715" s="21" t="s">
        <v>116</v>
      </c>
      <c r="F3715" s="21" t="str">
        <f>"2170674691 "</f>
        <v xml:space="preserve">2170674691 </v>
      </c>
      <c r="G3715" s="21" t="str">
        <f t="shared" si="105"/>
        <v>ON1</v>
      </c>
      <c r="H3715" s="21" t="s">
        <v>20</v>
      </c>
      <c r="I3715" s="21" t="s">
        <v>117</v>
      </c>
      <c r="J3715" s="21" t="str">
        <f>""</f>
        <v/>
      </c>
      <c r="K3715" s="21" t="str">
        <f>"PFES1162675231_0001"</f>
        <v>PFES1162675231_0001</v>
      </c>
      <c r="L3715" s="21">
        <v>1</v>
      </c>
      <c r="M3715" s="21">
        <v>4</v>
      </c>
    </row>
    <row r="3716" spans="1:13">
      <c r="A3716" s="6">
        <v>43522</v>
      </c>
      <c r="B3716" s="7">
        <v>0.63124999999999998</v>
      </c>
      <c r="C3716" s="21" t="str">
        <f>"FES1162675329"</f>
        <v>FES1162675329</v>
      </c>
      <c r="D3716" s="21" t="s">
        <v>18</v>
      </c>
      <c r="E3716" s="21" t="s">
        <v>706</v>
      </c>
      <c r="F3716" s="21" t="str">
        <f>"2170674662 "</f>
        <v xml:space="preserve">2170674662 </v>
      </c>
      <c r="G3716" s="21" t="str">
        <f t="shared" si="105"/>
        <v>ON1</v>
      </c>
      <c r="H3716" s="21" t="s">
        <v>20</v>
      </c>
      <c r="I3716" s="21" t="s">
        <v>1177</v>
      </c>
      <c r="J3716" s="21" t="str">
        <f>""</f>
        <v/>
      </c>
      <c r="K3716" s="21" t="str">
        <f>"PFES1162675329_0001"</f>
        <v>PFES1162675329_0001</v>
      </c>
      <c r="L3716" s="21">
        <v>1</v>
      </c>
      <c r="M3716" s="21">
        <v>1</v>
      </c>
    </row>
    <row r="3717" spans="1:13">
      <c r="A3717" s="6">
        <v>43522</v>
      </c>
      <c r="B3717" s="7">
        <v>0.63124999999999998</v>
      </c>
      <c r="C3717" s="21" t="str">
        <f>"FES1162675215"</f>
        <v>FES1162675215</v>
      </c>
      <c r="D3717" s="21" t="s">
        <v>18</v>
      </c>
      <c r="E3717" s="21" t="s">
        <v>625</v>
      </c>
      <c r="F3717" s="21" t="str">
        <f>"2170676176 "</f>
        <v xml:space="preserve">2170676176 </v>
      </c>
      <c r="G3717" s="21" t="str">
        <f t="shared" si="105"/>
        <v>ON1</v>
      </c>
      <c r="H3717" s="21" t="s">
        <v>20</v>
      </c>
      <c r="I3717" s="21" t="s">
        <v>29</v>
      </c>
      <c r="J3717" s="21" t="str">
        <f>""</f>
        <v/>
      </c>
      <c r="K3717" s="21" t="str">
        <f>"PFES1162675215_0001"</f>
        <v>PFES1162675215_0001</v>
      </c>
      <c r="L3717" s="21">
        <v>1</v>
      </c>
      <c r="M3717" s="21">
        <v>1</v>
      </c>
    </row>
    <row r="3718" spans="1:13">
      <c r="A3718" s="6">
        <v>43522</v>
      </c>
      <c r="B3718" s="7">
        <v>0.63055555555555554</v>
      </c>
      <c r="C3718" s="21" t="str">
        <f>"FES1162675294"</f>
        <v>FES1162675294</v>
      </c>
      <c r="D3718" s="21" t="s">
        <v>18</v>
      </c>
      <c r="E3718" s="21" t="s">
        <v>251</v>
      </c>
      <c r="F3718" s="21" t="str">
        <f>"2170672362 "</f>
        <v xml:space="preserve">2170672362 </v>
      </c>
      <c r="G3718" s="21" t="str">
        <f t="shared" si="105"/>
        <v>ON1</v>
      </c>
      <c r="H3718" s="21" t="s">
        <v>20</v>
      </c>
      <c r="I3718" s="21" t="s">
        <v>252</v>
      </c>
      <c r="J3718" s="21" t="str">
        <f>""</f>
        <v/>
      </c>
      <c r="K3718" s="21" t="str">
        <f>"PFES1162675294_0001"</f>
        <v>PFES1162675294_0001</v>
      </c>
      <c r="L3718" s="21">
        <v>1</v>
      </c>
      <c r="M3718" s="21">
        <v>1</v>
      </c>
    </row>
    <row r="3719" spans="1:13">
      <c r="A3719" s="6">
        <v>43522</v>
      </c>
      <c r="B3719" s="7">
        <v>0.63055555555555554</v>
      </c>
      <c r="C3719" s="21" t="str">
        <f>"FES1162675415"</f>
        <v>FES1162675415</v>
      </c>
      <c r="D3719" s="21" t="s">
        <v>18</v>
      </c>
      <c r="E3719" s="21" t="s">
        <v>530</v>
      </c>
      <c r="F3719" s="21" t="str">
        <f>"2170676274 "</f>
        <v xml:space="preserve">2170676274 </v>
      </c>
      <c r="G3719" s="21" t="str">
        <f t="shared" si="105"/>
        <v>ON1</v>
      </c>
      <c r="H3719" s="21" t="s">
        <v>20</v>
      </c>
      <c r="I3719" s="21" t="s">
        <v>531</v>
      </c>
      <c r="J3719" s="21" t="str">
        <f>""</f>
        <v/>
      </c>
      <c r="K3719" s="21" t="str">
        <f>"PFES1162675415_0001"</f>
        <v>PFES1162675415_0001</v>
      </c>
      <c r="L3719" s="21">
        <v>1</v>
      </c>
      <c r="M3719" s="21">
        <v>1</v>
      </c>
    </row>
    <row r="3720" spans="1:13">
      <c r="A3720" s="6">
        <v>43522</v>
      </c>
      <c r="B3720" s="7">
        <v>0.63055555555555554</v>
      </c>
      <c r="C3720" s="21" t="str">
        <f>"FES1162675416"</f>
        <v>FES1162675416</v>
      </c>
      <c r="D3720" s="21" t="s">
        <v>18</v>
      </c>
      <c r="E3720" s="21" t="s">
        <v>160</v>
      </c>
      <c r="F3720" s="21" t="str">
        <f>"2170676275 "</f>
        <v xml:space="preserve">2170676275 </v>
      </c>
      <c r="G3720" s="21" t="str">
        <f t="shared" si="105"/>
        <v>ON1</v>
      </c>
      <c r="H3720" s="21" t="s">
        <v>20</v>
      </c>
      <c r="I3720" s="21" t="s">
        <v>161</v>
      </c>
      <c r="J3720" s="21" t="str">
        <f>""</f>
        <v/>
      </c>
      <c r="K3720" s="21" t="str">
        <f>"PFES1162675416_0001"</f>
        <v>PFES1162675416_0001</v>
      </c>
      <c r="L3720" s="21">
        <v>1</v>
      </c>
      <c r="M3720" s="21">
        <v>1</v>
      </c>
    </row>
    <row r="3721" spans="1:13">
      <c r="A3721" s="6">
        <v>43522</v>
      </c>
      <c r="B3721" s="7">
        <v>0.63055555555555554</v>
      </c>
      <c r="C3721" s="21" t="str">
        <f>"FES1162675486"</f>
        <v>FES1162675486</v>
      </c>
      <c r="D3721" s="21" t="s">
        <v>18</v>
      </c>
      <c r="E3721" s="21" t="s">
        <v>672</v>
      </c>
      <c r="F3721" s="21" t="str">
        <f>"2170674470 "</f>
        <v xml:space="preserve">2170674470 </v>
      </c>
      <c r="G3721" s="21" t="str">
        <f t="shared" si="105"/>
        <v>ON1</v>
      </c>
      <c r="H3721" s="21" t="s">
        <v>20</v>
      </c>
      <c r="I3721" s="21" t="s">
        <v>31</v>
      </c>
      <c r="J3721" s="21" t="str">
        <f>""</f>
        <v/>
      </c>
      <c r="K3721" s="21" t="str">
        <f>"PFES1162675486_0001"</f>
        <v>PFES1162675486_0001</v>
      </c>
      <c r="L3721" s="21">
        <v>1</v>
      </c>
      <c r="M3721" s="21">
        <v>1</v>
      </c>
    </row>
    <row r="3722" spans="1:13">
      <c r="A3722" s="6">
        <v>43522</v>
      </c>
      <c r="B3722" s="7">
        <v>0.63055555555555554</v>
      </c>
      <c r="C3722" s="21" t="str">
        <f>"FES1162675303"</f>
        <v>FES1162675303</v>
      </c>
      <c r="D3722" s="21" t="s">
        <v>18</v>
      </c>
      <c r="E3722" s="21" t="s">
        <v>1178</v>
      </c>
      <c r="F3722" s="21" t="str">
        <f>"2170674106 "</f>
        <v xml:space="preserve">2170674106 </v>
      </c>
      <c r="G3722" s="21" t="str">
        <f t="shared" si="105"/>
        <v>ON1</v>
      </c>
      <c r="H3722" s="21" t="s">
        <v>20</v>
      </c>
      <c r="I3722" s="21" t="s">
        <v>1179</v>
      </c>
      <c r="J3722" s="21" t="str">
        <f>""</f>
        <v/>
      </c>
      <c r="K3722" s="21" t="str">
        <f>"PFES1162675303_0001"</f>
        <v>PFES1162675303_0001</v>
      </c>
      <c r="L3722" s="21">
        <v>1</v>
      </c>
      <c r="M3722" s="21">
        <v>2</v>
      </c>
    </row>
    <row r="3723" spans="1:13">
      <c r="A3723" s="6">
        <v>43522</v>
      </c>
      <c r="B3723" s="7">
        <v>0.62986111111111109</v>
      </c>
      <c r="C3723" s="21" t="str">
        <f>"FES1162675297"</f>
        <v>FES1162675297</v>
      </c>
      <c r="D3723" s="21" t="s">
        <v>18</v>
      </c>
      <c r="E3723" s="21" t="s">
        <v>889</v>
      </c>
      <c r="F3723" s="21" t="str">
        <f>"2170674015 "</f>
        <v xml:space="preserve">2170674015 </v>
      </c>
      <c r="G3723" s="21" t="str">
        <f t="shared" si="105"/>
        <v>ON1</v>
      </c>
      <c r="H3723" s="21" t="s">
        <v>20</v>
      </c>
      <c r="I3723" s="21" t="s">
        <v>890</v>
      </c>
      <c r="J3723" s="21" t="str">
        <f>""</f>
        <v/>
      </c>
      <c r="K3723" s="21" t="str">
        <f>"PFES1162675297_0001"</f>
        <v>PFES1162675297_0001</v>
      </c>
      <c r="L3723" s="21">
        <v>1</v>
      </c>
      <c r="M3723" s="21">
        <v>1</v>
      </c>
    </row>
    <row r="3724" spans="1:13">
      <c r="A3724" s="6">
        <v>43522</v>
      </c>
      <c r="B3724" s="7">
        <v>0.62986111111111109</v>
      </c>
      <c r="C3724" s="21" t="str">
        <f>"FES1162675494"</f>
        <v>FES1162675494</v>
      </c>
      <c r="D3724" s="21" t="s">
        <v>18</v>
      </c>
      <c r="E3724" s="21" t="s">
        <v>530</v>
      </c>
      <c r="F3724" s="21" t="str">
        <f>"2170676337 "</f>
        <v xml:space="preserve">2170676337 </v>
      </c>
      <c r="G3724" s="21" t="str">
        <f t="shared" si="105"/>
        <v>ON1</v>
      </c>
      <c r="H3724" s="21" t="s">
        <v>20</v>
      </c>
      <c r="I3724" s="21" t="s">
        <v>531</v>
      </c>
      <c r="J3724" s="21" t="str">
        <f>""</f>
        <v/>
      </c>
      <c r="K3724" s="21" t="str">
        <f>"PFES1162675494_0001"</f>
        <v>PFES1162675494_0001</v>
      </c>
      <c r="L3724" s="21">
        <v>1</v>
      </c>
      <c r="M3724" s="21">
        <v>1</v>
      </c>
    </row>
    <row r="3725" spans="1:13">
      <c r="A3725" s="6">
        <v>43522</v>
      </c>
      <c r="B3725" s="7">
        <v>0.62986111111111109</v>
      </c>
      <c r="C3725" s="21" t="str">
        <f>"FES1162675422"</f>
        <v>FES1162675422</v>
      </c>
      <c r="D3725" s="21" t="s">
        <v>18</v>
      </c>
      <c r="E3725" s="21" t="s">
        <v>19</v>
      </c>
      <c r="F3725" s="21" t="str">
        <f>"2170676258 "</f>
        <v xml:space="preserve">2170676258 </v>
      </c>
      <c r="G3725" s="21" t="str">
        <f t="shared" si="105"/>
        <v>ON1</v>
      </c>
      <c r="H3725" s="21" t="s">
        <v>20</v>
      </c>
      <c r="I3725" s="21" t="s">
        <v>21</v>
      </c>
      <c r="J3725" s="21" t="str">
        <f>""</f>
        <v/>
      </c>
      <c r="K3725" s="21" t="str">
        <f>"PFES1162675422_0001"</f>
        <v>PFES1162675422_0001</v>
      </c>
      <c r="L3725" s="21">
        <v>1</v>
      </c>
      <c r="M3725" s="21">
        <v>1</v>
      </c>
    </row>
    <row r="3726" spans="1:13">
      <c r="A3726" s="6">
        <v>43522</v>
      </c>
      <c r="B3726" s="7">
        <v>0.62916666666666665</v>
      </c>
      <c r="C3726" s="21" t="str">
        <f>"FES1162674501"</f>
        <v>FES1162674501</v>
      </c>
      <c r="D3726" s="21" t="s">
        <v>18</v>
      </c>
      <c r="E3726" s="21" t="s">
        <v>1174</v>
      </c>
      <c r="F3726" s="21" t="str">
        <f>"2170675480 "</f>
        <v xml:space="preserve">2170675480 </v>
      </c>
      <c r="G3726" s="21" t="str">
        <f t="shared" si="105"/>
        <v>ON1</v>
      </c>
      <c r="H3726" s="21" t="s">
        <v>20</v>
      </c>
      <c r="I3726" s="21" t="s">
        <v>353</v>
      </c>
      <c r="J3726" s="21" t="str">
        <f>""</f>
        <v/>
      </c>
      <c r="K3726" s="21" t="str">
        <f>"PFES1162674501_0001"</f>
        <v>PFES1162674501_0001</v>
      </c>
      <c r="L3726" s="21">
        <v>1</v>
      </c>
      <c r="M3726" s="21">
        <v>4</v>
      </c>
    </row>
    <row r="3727" spans="1:13">
      <c r="A3727" s="6">
        <v>43522</v>
      </c>
      <c r="B3727" s="7">
        <v>0.62916666666666665</v>
      </c>
      <c r="C3727" s="21" t="str">
        <f>"FES1162675403"</f>
        <v>FES1162675403</v>
      </c>
      <c r="D3727" s="21" t="s">
        <v>18</v>
      </c>
      <c r="E3727" s="21" t="s">
        <v>524</v>
      </c>
      <c r="F3727" s="21" t="str">
        <f>"2170676265 "</f>
        <v xml:space="preserve">2170676265 </v>
      </c>
      <c r="G3727" s="21" t="str">
        <f t="shared" si="105"/>
        <v>ON1</v>
      </c>
      <c r="H3727" s="21" t="s">
        <v>20</v>
      </c>
      <c r="I3727" s="21" t="s">
        <v>525</v>
      </c>
      <c r="J3727" s="21" t="str">
        <f>""</f>
        <v/>
      </c>
      <c r="K3727" s="21" t="str">
        <f>"PFES1162675403_0001"</f>
        <v>PFES1162675403_0001</v>
      </c>
      <c r="L3727" s="21">
        <v>1</v>
      </c>
      <c r="M3727" s="21">
        <v>1</v>
      </c>
    </row>
    <row r="3728" spans="1:13">
      <c r="A3728" s="6">
        <v>43522</v>
      </c>
      <c r="B3728" s="7">
        <v>0.62916666666666665</v>
      </c>
      <c r="C3728" s="21" t="str">
        <f>"FES1162675394"</f>
        <v>FES1162675394</v>
      </c>
      <c r="D3728" s="21" t="s">
        <v>18</v>
      </c>
      <c r="E3728" s="21" t="s">
        <v>311</v>
      </c>
      <c r="F3728" s="21" t="str">
        <f>"2170676250 "</f>
        <v xml:space="preserve">2170676250 </v>
      </c>
      <c r="G3728" s="21" t="str">
        <f t="shared" si="105"/>
        <v>ON1</v>
      </c>
      <c r="H3728" s="21" t="s">
        <v>20</v>
      </c>
      <c r="I3728" s="21" t="s">
        <v>333</v>
      </c>
      <c r="J3728" s="21" t="str">
        <f>""</f>
        <v/>
      </c>
      <c r="K3728" s="21" t="str">
        <f>"PFES1162675394_0001"</f>
        <v>PFES1162675394_0001</v>
      </c>
      <c r="L3728" s="21">
        <v>1</v>
      </c>
      <c r="M3728" s="21">
        <v>1</v>
      </c>
    </row>
    <row r="3729" spans="1:13">
      <c r="A3729" s="6">
        <v>43522</v>
      </c>
      <c r="B3729" s="7">
        <v>0.62847222222222221</v>
      </c>
      <c r="C3729" s="21" t="str">
        <f>"FES1162675360"</f>
        <v>FES1162675360</v>
      </c>
      <c r="D3729" s="21" t="s">
        <v>18</v>
      </c>
      <c r="E3729" s="21" t="s">
        <v>537</v>
      </c>
      <c r="F3729" s="21" t="str">
        <f>"2170673676 "</f>
        <v xml:space="preserve">2170673676 </v>
      </c>
      <c r="G3729" s="21" t="str">
        <f t="shared" si="105"/>
        <v>ON1</v>
      </c>
      <c r="H3729" s="21" t="s">
        <v>20</v>
      </c>
      <c r="I3729" s="21" t="s">
        <v>93</v>
      </c>
      <c r="J3729" s="21" t="str">
        <f>""</f>
        <v/>
      </c>
      <c r="K3729" s="21" t="str">
        <f>"PFES1162675360_0001"</f>
        <v>PFES1162675360_0001</v>
      </c>
      <c r="L3729" s="21">
        <v>1</v>
      </c>
      <c r="M3729" s="21">
        <v>1</v>
      </c>
    </row>
    <row r="3730" spans="1:13">
      <c r="A3730" s="6">
        <v>43522</v>
      </c>
      <c r="B3730" s="7">
        <v>0.62777777777777777</v>
      </c>
      <c r="C3730" s="21" t="str">
        <f>"FES1162675490"</f>
        <v>FES1162675490</v>
      </c>
      <c r="D3730" s="21" t="s">
        <v>18</v>
      </c>
      <c r="E3730" s="21" t="s">
        <v>287</v>
      </c>
      <c r="F3730" s="21" t="str">
        <f>"2170674692 "</f>
        <v xml:space="preserve">2170674692 </v>
      </c>
      <c r="G3730" s="21" t="str">
        <f t="shared" si="105"/>
        <v>ON1</v>
      </c>
      <c r="H3730" s="21" t="s">
        <v>20</v>
      </c>
      <c r="I3730" s="21" t="s">
        <v>288</v>
      </c>
      <c r="J3730" s="21" t="str">
        <f>""</f>
        <v/>
      </c>
      <c r="K3730" s="21" t="str">
        <f>"PFES1162675490_0001"</f>
        <v>PFES1162675490_0001</v>
      </c>
      <c r="L3730" s="21">
        <v>1</v>
      </c>
      <c r="M3730" s="21">
        <v>1</v>
      </c>
    </row>
    <row r="3731" spans="1:13">
      <c r="A3731" s="6">
        <v>43522</v>
      </c>
      <c r="B3731" s="7">
        <v>0.62708333333333333</v>
      </c>
      <c r="C3731" s="21" t="str">
        <f>"FES1162675404"</f>
        <v>FES1162675404</v>
      </c>
      <c r="D3731" s="21" t="s">
        <v>18</v>
      </c>
      <c r="E3731" s="21" t="s">
        <v>180</v>
      </c>
      <c r="F3731" s="21" t="str">
        <f>"2170676266 "</f>
        <v xml:space="preserve">2170676266 </v>
      </c>
      <c r="G3731" s="21" t="str">
        <f t="shared" si="105"/>
        <v>ON1</v>
      </c>
      <c r="H3731" s="21" t="s">
        <v>20</v>
      </c>
      <c r="I3731" s="21" t="s">
        <v>93</v>
      </c>
      <c r="J3731" s="21" t="str">
        <f>""</f>
        <v/>
      </c>
      <c r="K3731" s="21" t="str">
        <f>"PFES1162675404_0001"</f>
        <v>PFES1162675404_0001</v>
      </c>
      <c r="L3731" s="21">
        <v>1</v>
      </c>
      <c r="M3731" s="21">
        <v>2</v>
      </c>
    </row>
    <row r="3732" spans="1:13">
      <c r="A3732" s="6">
        <v>43522</v>
      </c>
      <c r="B3732" s="7">
        <v>0.62708333333333333</v>
      </c>
      <c r="C3732" s="21" t="str">
        <f>"FES1162675485"</f>
        <v>FES1162675485</v>
      </c>
      <c r="D3732" s="21" t="s">
        <v>18</v>
      </c>
      <c r="E3732" s="21" t="s">
        <v>195</v>
      </c>
      <c r="F3732" s="21" t="str">
        <f>"2170674463 "</f>
        <v xml:space="preserve">2170674463 </v>
      </c>
      <c r="G3732" s="21" t="str">
        <f t="shared" si="105"/>
        <v>ON1</v>
      </c>
      <c r="H3732" s="21" t="s">
        <v>20</v>
      </c>
      <c r="I3732" s="21" t="s">
        <v>96</v>
      </c>
      <c r="J3732" s="21" t="str">
        <f>""</f>
        <v/>
      </c>
      <c r="K3732" s="21" t="str">
        <f>"PFES1162675485_0001"</f>
        <v>PFES1162675485_0001</v>
      </c>
      <c r="L3732" s="21">
        <v>1</v>
      </c>
      <c r="M3732" s="21">
        <v>1</v>
      </c>
    </row>
    <row r="3733" spans="1:13">
      <c r="A3733" s="6">
        <v>43522</v>
      </c>
      <c r="B3733" s="7">
        <v>0.62708333333333333</v>
      </c>
      <c r="C3733" s="21" t="str">
        <f>"FES1162675376"</f>
        <v>FES1162675376</v>
      </c>
      <c r="D3733" s="21" t="s">
        <v>18</v>
      </c>
      <c r="E3733" s="21" t="s">
        <v>1167</v>
      </c>
      <c r="F3733" s="21" t="str">
        <f>"2170674810 "</f>
        <v xml:space="preserve">2170674810 </v>
      </c>
      <c r="G3733" s="21" t="str">
        <f t="shared" si="105"/>
        <v>ON1</v>
      </c>
      <c r="H3733" s="21" t="s">
        <v>20</v>
      </c>
      <c r="I3733" s="21" t="s">
        <v>276</v>
      </c>
      <c r="J3733" s="21" t="str">
        <f>""</f>
        <v/>
      </c>
      <c r="K3733" s="21" t="str">
        <f>"PFES1162675376_0001"</f>
        <v>PFES1162675376_0001</v>
      </c>
      <c r="L3733" s="21">
        <v>1</v>
      </c>
      <c r="M3733" s="21">
        <v>1</v>
      </c>
    </row>
    <row r="3734" spans="1:13">
      <c r="A3734" s="6">
        <v>43522</v>
      </c>
      <c r="B3734" s="7">
        <v>0.62638888888888888</v>
      </c>
      <c r="C3734" s="21" t="str">
        <f>"FES1162675351"</f>
        <v>FES1162675351</v>
      </c>
      <c r="D3734" s="21" t="s">
        <v>18</v>
      </c>
      <c r="E3734" s="21" t="s">
        <v>623</v>
      </c>
      <c r="F3734" s="21" t="str">
        <f>"2170673060 "</f>
        <v xml:space="preserve">2170673060 </v>
      </c>
      <c r="G3734" s="21" t="str">
        <f t="shared" si="105"/>
        <v>ON1</v>
      </c>
      <c r="H3734" s="21" t="s">
        <v>20</v>
      </c>
      <c r="I3734" s="21" t="s">
        <v>429</v>
      </c>
      <c r="J3734" s="21" t="str">
        <f>""</f>
        <v/>
      </c>
      <c r="K3734" s="21" t="str">
        <f>"PFES1162675351_0001"</f>
        <v>PFES1162675351_0001</v>
      </c>
      <c r="L3734" s="21">
        <v>1</v>
      </c>
      <c r="M3734" s="21">
        <v>2</v>
      </c>
    </row>
    <row r="3735" spans="1:13">
      <c r="A3735" s="6">
        <v>43522</v>
      </c>
      <c r="B3735" s="7">
        <v>0.62638888888888888</v>
      </c>
      <c r="C3735" s="21" t="str">
        <f>"FES1162675375"</f>
        <v>FES1162675375</v>
      </c>
      <c r="D3735" s="21" t="s">
        <v>18</v>
      </c>
      <c r="E3735" s="21" t="s">
        <v>78</v>
      </c>
      <c r="F3735" s="21" t="str">
        <f>"21706745854 "</f>
        <v xml:space="preserve">21706745854 </v>
      </c>
      <c r="G3735" s="21" t="str">
        <f t="shared" si="105"/>
        <v>ON1</v>
      </c>
      <c r="H3735" s="21" t="s">
        <v>20</v>
      </c>
      <c r="I3735" s="21" t="s">
        <v>79</v>
      </c>
      <c r="J3735" s="21" t="str">
        <f>""</f>
        <v/>
      </c>
      <c r="K3735" s="21" t="str">
        <f>"PFES1162675375_0001"</f>
        <v>PFES1162675375_0001</v>
      </c>
      <c r="L3735" s="21">
        <v>1</v>
      </c>
      <c r="M3735" s="21">
        <v>1</v>
      </c>
    </row>
    <row r="3736" spans="1:13">
      <c r="A3736" s="6">
        <v>43522</v>
      </c>
      <c r="B3736" s="7">
        <v>0.62638888888888888</v>
      </c>
      <c r="C3736" s="21" t="str">
        <f>"FES1162675250"</f>
        <v>FES1162675250</v>
      </c>
      <c r="D3736" s="21" t="s">
        <v>18</v>
      </c>
      <c r="E3736" s="21" t="s">
        <v>395</v>
      </c>
      <c r="F3736" s="21" t="str">
        <f>"2170675720 "</f>
        <v xml:space="preserve">2170675720 </v>
      </c>
      <c r="G3736" s="21" t="str">
        <f t="shared" si="105"/>
        <v>ON1</v>
      </c>
      <c r="H3736" s="21" t="s">
        <v>20</v>
      </c>
      <c r="I3736" s="21" t="s">
        <v>396</v>
      </c>
      <c r="J3736" s="21" t="str">
        <f>""</f>
        <v/>
      </c>
      <c r="K3736" s="21" t="str">
        <f>"PFES1162675250_0001"</f>
        <v>PFES1162675250_0001</v>
      </c>
      <c r="L3736" s="21">
        <v>1</v>
      </c>
      <c r="M3736" s="21">
        <v>1</v>
      </c>
    </row>
    <row r="3737" spans="1:13">
      <c r="A3737" s="6">
        <v>43522</v>
      </c>
      <c r="B3737" s="7">
        <v>0.62638888888888888</v>
      </c>
      <c r="C3737" s="21" t="str">
        <f>"FES1162675214"</f>
        <v>FES1162675214</v>
      </c>
      <c r="D3737" s="21" t="s">
        <v>18</v>
      </c>
      <c r="E3737" s="21" t="s">
        <v>625</v>
      </c>
      <c r="F3737" s="21" t="str">
        <f>"2170376174 "</f>
        <v xml:space="preserve">2170376174 </v>
      </c>
      <c r="G3737" s="21" t="str">
        <f t="shared" si="105"/>
        <v>ON1</v>
      </c>
      <c r="H3737" s="21" t="s">
        <v>20</v>
      </c>
      <c r="I3737" s="21" t="s">
        <v>29</v>
      </c>
      <c r="J3737" s="21" t="str">
        <f>""</f>
        <v/>
      </c>
      <c r="K3737" s="21" t="str">
        <f>"PFES1162675214_0001"</f>
        <v>PFES1162675214_0001</v>
      </c>
      <c r="L3737" s="21">
        <v>1</v>
      </c>
      <c r="M3737" s="21">
        <v>1</v>
      </c>
    </row>
    <row r="3738" spans="1:13">
      <c r="A3738" s="6">
        <v>43522</v>
      </c>
      <c r="B3738" s="7">
        <v>0.62569444444444444</v>
      </c>
      <c r="C3738" s="21" t="str">
        <f>"FES1162753370"</f>
        <v>FES1162753370</v>
      </c>
      <c r="D3738" s="21" t="s">
        <v>18</v>
      </c>
      <c r="E3738" s="21" t="s">
        <v>623</v>
      </c>
      <c r="F3738" s="21" t="str">
        <f>"2170673950 "</f>
        <v xml:space="preserve">2170673950 </v>
      </c>
      <c r="G3738" s="21" t="str">
        <f t="shared" si="105"/>
        <v>ON1</v>
      </c>
      <c r="H3738" s="21" t="s">
        <v>20</v>
      </c>
      <c r="I3738" s="21" t="s">
        <v>429</v>
      </c>
      <c r="J3738" s="21" t="str">
        <f>""</f>
        <v/>
      </c>
      <c r="K3738" s="21" t="str">
        <f>"PFES1162753370_0001"</f>
        <v>PFES1162753370_0001</v>
      </c>
      <c r="L3738" s="21">
        <v>1</v>
      </c>
      <c r="M3738" s="21">
        <v>4</v>
      </c>
    </row>
    <row r="3739" spans="1:13">
      <c r="A3739" s="6">
        <v>43522</v>
      </c>
      <c r="B3739" s="7">
        <v>0.62569444444444444</v>
      </c>
      <c r="C3739" s="21" t="str">
        <f>"FES1162675198"</f>
        <v>FES1162675198</v>
      </c>
      <c r="D3739" s="21" t="s">
        <v>18</v>
      </c>
      <c r="E3739" s="21" t="s">
        <v>1180</v>
      </c>
      <c r="F3739" s="21" t="str">
        <f>"2170676162 "</f>
        <v xml:space="preserve">2170676162 </v>
      </c>
      <c r="G3739" s="21" t="str">
        <f t="shared" si="105"/>
        <v>ON1</v>
      </c>
      <c r="H3739" s="21" t="s">
        <v>20</v>
      </c>
      <c r="I3739" s="21" t="s">
        <v>378</v>
      </c>
      <c r="J3739" s="21" t="str">
        <f>""</f>
        <v/>
      </c>
      <c r="K3739" s="21" t="str">
        <f>"PFES1162675198_0001"</f>
        <v>PFES1162675198_0001</v>
      </c>
      <c r="L3739" s="21">
        <v>1</v>
      </c>
      <c r="M3739" s="21">
        <v>1</v>
      </c>
    </row>
    <row r="3740" spans="1:13">
      <c r="A3740" s="6">
        <v>43522</v>
      </c>
      <c r="B3740" s="7">
        <v>0.62569444444444444</v>
      </c>
      <c r="C3740" s="21" t="str">
        <f>"FES1162675392"</f>
        <v>FES1162675392</v>
      </c>
      <c r="D3740" s="21" t="s">
        <v>18</v>
      </c>
      <c r="E3740" s="21" t="s">
        <v>78</v>
      </c>
      <c r="F3740" s="21" t="str">
        <f>"2170674593 "</f>
        <v xml:space="preserve">2170674593 </v>
      </c>
      <c r="G3740" s="21" t="str">
        <f t="shared" si="105"/>
        <v>ON1</v>
      </c>
      <c r="H3740" s="21" t="s">
        <v>20</v>
      </c>
      <c r="I3740" s="21" t="s">
        <v>990</v>
      </c>
      <c r="J3740" s="21" t="str">
        <f>""</f>
        <v/>
      </c>
      <c r="K3740" s="21" t="str">
        <f>"PFES1162675392_0001"</f>
        <v>PFES1162675392_0001</v>
      </c>
      <c r="L3740" s="21">
        <v>1</v>
      </c>
      <c r="M3740" s="21">
        <v>1</v>
      </c>
    </row>
    <row r="3741" spans="1:13">
      <c r="A3741" s="6">
        <v>43522</v>
      </c>
      <c r="B3741" s="7">
        <v>0.625</v>
      </c>
      <c r="C3741" s="21" t="str">
        <f>"FES1162675414"</f>
        <v>FES1162675414</v>
      </c>
      <c r="D3741" s="21" t="s">
        <v>18</v>
      </c>
      <c r="E3741" s="21" t="s">
        <v>479</v>
      </c>
      <c r="F3741" s="21" t="str">
        <f>"2170676263 "</f>
        <v xml:space="preserve">2170676263 </v>
      </c>
      <c r="G3741" s="21" t="str">
        <f t="shared" si="105"/>
        <v>ON1</v>
      </c>
      <c r="H3741" s="21" t="s">
        <v>20</v>
      </c>
      <c r="I3741" s="21" t="s">
        <v>233</v>
      </c>
      <c r="J3741" s="21" t="str">
        <f>""</f>
        <v/>
      </c>
      <c r="K3741" s="21" t="str">
        <f>"PFES1162675414_0001"</f>
        <v>PFES1162675414_0001</v>
      </c>
      <c r="L3741" s="21">
        <v>1</v>
      </c>
      <c r="M3741" s="21">
        <v>1</v>
      </c>
    </row>
    <row r="3742" spans="1:13">
      <c r="A3742" s="6">
        <v>43522</v>
      </c>
      <c r="B3742" s="7">
        <v>0.625</v>
      </c>
      <c r="C3742" s="21" t="str">
        <f>"FES1162675281"</f>
        <v>FES1162675281</v>
      </c>
      <c r="D3742" s="21" t="s">
        <v>18</v>
      </c>
      <c r="E3742" s="21" t="s">
        <v>229</v>
      </c>
      <c r="F3742" s="21" t="str">
        <f>"2170676223 "</f>
        <v xml:space="preserve">2170676223 </v>
      </c>
      <c r="G3742" s="21" t="str">
        <f t="shared" si="105"/>
        <v>ON1</v>
      </c>
      <c r="H3742" s="21" t="s">
        <v>20</v>
      </c>
      <c r="I3742" s="21" t="s">
        <v>111</v>
      </c>
      <c r="J3742" s="21" t="str">
        <f>""</f>
        <v/>
      </c>
      <c r="K3742" s="21" t="str">
        <f>"PFES1162675281_0001"</f>
        <v>PFES1162675281_0001</v>
      </c>
      <c r="L3742" s="21">
        <v>1</v>
      </c>
      <c r="M3742" s="21">
        <v>1</v>
      </c>
    </row>
    <row r="3743" spans="1:13">
      <c r="A3743" s="6">
        <v>43522</v>
      </c>
      <c r="B3743" s="7">
        <v>0.625</v>
      </c>
      <c r="C3743" s="21" t="str">
        <f>"FES1162675366"</f>
        <v>FES1162675366</v>
      </c>
      <c r="D3743" s="21" t="s">
        <v>18</v>
      </c>
      <c r="E3743" s="21" t="s">
        <v>1167</v>
      </c>
      <c r="F3743" s="21" t="str">
        <f>"2170673865 "</f>
        <v xml:space="preserve">2170673865 </v>
      </c>
      <c r="G3743" s="21" t="str">
        <f t="shared" si="105"/>
        <v>ON1</v>
      </c>
      <c r="H3743" s="21" t="s">
        <v>20</v>
      </c>
      <c r="I3743" s="21" t="s">
        <v>276</v>
      </c>
      <c r="J3743" s="21" t="str">
        <f>""</f>
        <v/>
      </c>
      <c r="K3743" s="21" t="str">
        <f>"PFES1162675366_0001"</f>
        <v>PFES1162675366_0001</v>
      </c>
      <c r="L3743" s="21">
        <v>1</v>
      </c>
      <c r="M3743" s="21">
        <v>1</v>
      </c>
    </row>
    <row r="3744" spans="1:13">
      <c r="A3744" s="6">
        <v>43522</v>
      </c>
      <c r="B3744" s="7">
        <v>0.62430555555555556</v>
      </c>
      <c r="C3744" s="21" t="str">
        <f>"FES1162675274"</f>
        <v>FES1162675274</v>
      </c>
      <c r="D3744" s="21" t="s">
        <v>18</v>
      </c>
      <c r="E3744" s="21" t="s">
        <v>976</v>
      </c>
      <c r="F3744" s="21" t="str">
        <f>"2170676215 "</f>
        <v xml:space="preserve">2170676215 </v>
      </c>
      <c r="G3744" s="21" t="str">
        <f t="shared" si="105"/>
        <v>ON1</v>
      </c>
      <c r="H3744" s="21" t="s">
        <v>20</v>
      </c>
      <c r="I3744" s="21" t="s">
        <v>918</v>
      </c>
      <c r="J3744" s="21" t="str">
        <f>""</f>
        <v/>
      </c>
      <c r="K3744" s="21" t="str">
        <f>"PFES1162675274_0001"</f>
        <v>PFES1162675274_0001</v>
      </c>
      <c r="L3744" s="21">
        <v>1</v>
      </c>
      <c r="M3744" s="21">
        <v>1</v>
      </c>
    </row>
    <row r="3745" spans="1:13">
      <c r="A3745" s="6">
        <v>43522</v>
      </c>
      <c r="B3745" s="7">
        <v>0.62430555555555556</v>
      </c>
      <c r="C3745" s="21" t="str">
        <f>"FES1162675289"</f>
        <v>FES1162675289</v>
      </c>
      <c r="D3745" s="21" t="s">
        <v>18</v>
      </c>
      <c r="E3745" s="21" t="s">
        <v>803</v>
      </c>
      <c r="F3745" s="21" t="str">
        <f>"2170676235 "</f>
        <v xml:space="preserve">2170676235 </v>
      </c>
      <c r="G3745" s="21" t="str">
        <f t="shared" si="105"/>
        <v>ON1</v>
      </c>
      <c r="H3745" s="21" t="s">
        <v>20</v>
      </c>
      <c r="I3745" s="21" t="s">
        <v>594</v>
      </c>
      <c r="J3745" s="21" t="str">
        <f>""</f>
        <v/>
      </c>
      <c r="K3745" s="21" t="str">
        <f>"PFES1162675289_0001"</f>
        <v>PFES1162675289_0001</v>
      </c>
      <c r="L3745" s="21">
        <v>1</v>
      </c>
      <c r="M3745" s="21">
        <v>1</v>
      </c>
    </row>
    <row r="3746" spans="1:13">
      <c r="A3746" s="6">
        <v>43522</v>
      </c>
      <c r="B3746" s="7">
        <v>0.62361111111111112</v>
      </c>
      <c r="C3746" s="21" t="str">
        <f>"FES1162675380"</f>
        <v>FES1162675380</v>
      </c>
      <c r="D3746" s="21" t="s">
        <v>18</v>
      </c>
      <c r="E3746" s="21" t="s">
        <v>328</v>
      </c>
      <c r="F3746" s="21" t="str">
        <f>"2170675515 "</f>
        <v xml:space="preserve">2170675515 </v>
      </c>
      <c r="G3746" s="21" t="str">
        <f t="shared" ref="G3746:G3809" si="106">"ON1"</f>
        <v>ON1</v>
      </c>
      <c r="H3746" s="21" t="s">
        <v>20</v>
      </c>
      <c r="I3746" s="21" t="s">
        <v>29</v>
      </c>
      <c r="J3746" s="21" t="str">
        <f>""</f>
        <v/>
      </c>
      <c r="K3746" s="21" t="str">
        <f>"PFES1162675380_0001"</f>
        <v>PFES1162675380_0001</v>
      </c>
      <c r="L3746" s="21">
        <v>1</v>
      </c>
      <c r="M3746" s="21">
        <v>1</v>
      </c>
    </row>
    <row r="3747" spans="1:13">
      <c r="A3747" s="6">
        <v>43522</v>
      </c>
      <c r="B3747" s="7">
        <v>0.62361111111111112</v>
      </c>
      <c r="C3747" s="21" t="str">
        <f>"FES1162675391"</f>
        <v>FES1162675391</v>
      </c>
      <c r="D3747" s="21" t="s">
        <v>18</v>
      </c>
      <c r="E3747" s="21" t="s">
        <v>1090</v>
      </c>
      <c r="F3747" s="21" t="str">
        <f>"2170676424 "</f>
        <v xml:space="preserve">2170676424 </v>
      </c>
      <c r="G3747" s="21" t="str">
        <f t="shared" si="106"/>
        <v>ON1</v>
      </c>
      <c r="H3747" s="21" t="s">
        <v>20</v>
      </c>
      <c r="I3747" s="21" t="s">
        <v>224</v>
      </c>
      <c r="J3747" s="21" t="str">
        <f>""</f>
        <v/>
      </c>
      <c r="K3747" s="21" t="str">
        <f>"PFES1162675391_0001"</f>
        <v>PFES1162675391_0001</v>
      </c>
      <c r="L3747" s="21">
        <v>1</v>
      </c>
      <c r="M3747" s="21">
        <v>1</v>
      </c>
    </row>
    <row r="3748" spans="1:13">
      <c r="A3748" s="6">
        <v>43522</v>
      </c>
      <c r="B3748" s="7">
        <v>0.62361111111111112</v>
      </c>
      <c r="C3748" s="21" t="str">
        <f>"FES1162675220"</f>
        <v>FES1162675220</v>
      </c>
      <c r="D3748" s="21" t="s">
        <v>18</v>
      </c>
      <c r="E3748" s="21" t="s">
        <v>1181</v>
      </c>
      <c r="F3748" s="21" t="str">
        <f>"2170676186 "</f>
        <v xml:space="preserve">2170676186 </v>
      </c>
      <c r="G3748" s="21" t="str">
        <f t="shared" si="106"/>
        <v>ON1</v>
      </c>
      <c r="H3748" s="21" t="s">
        <v>20</v>
      </c>
      <c r="I3748" s="21" t="s">
        <v>1182</v>
      </c>
      <c r="J3748" s="21" t="str">
        <f>""</f>
        <v/>
      </c>
      <c r="K3748" s="21" t="str">
        <f>"PFES1162675220_0001"</f>
        <v>PFES1162675220_0001</v>
      </c>
      <c r="L3748" s="21">
        <v>1</v>
      </c>
      <c r="M3748" s="21">
        <v>1</v>
      </c>
    </row>
    <row r="3749" spans="1:13">
      <c r="A3749" s="6">
        <v>43522</v>
      </c>
      <c r="B3749" s="7">
        <v>0.62291666666666667</v>
      </c>
      <c r="C3749" s="21" t="str">
        <f>"FES1162675273"</f>
        <v>FES1162675273</v>
      </c>
      <c r="D3749" s="21" t="s">
        <v>18</v>
      </c>
      <c r="E3749" s="21" t="s">
        <v>681</v>
      </c>
      <c r="F3749" s="21" t="str">
        <f>"2170675996 "</f>
        <v xml:space="preserve">2170675996 </v>
      </c>
      <c r="G3749" s="21" t="str">
        <f t="shared" si="106"/>
        <v>ON1</v>
      </c>
      <c r="H3749" s="21" t="s">
        <v>20</v>
      </c>
      <c r="I3749" s="21" t="s">
        <v>682</v>
      </c>
      <c r="J3749" s="21" t="str">
        <f>""</f>
        <v/>
      </c>
      <c r="K3749" s="21" t="str">
        <f>"PFES1162675273_0001"</f>
        <v>PFES1162675273_0001</v>
      </c>
      <c r="L3749" s="21">
        <v>1</v>
      </c>
      <c r="M3749" s="21">
        <v>1</v>
      </c>
    </row>
    <row r="3750" spans="1:13">
      <c r="A3750" s="6">
        <v>43522</v>
      </c>
      <c r="B3750" s="7">
        <v>0.62222222222222223</v>
      </c>
      <c r="C3750" s="21" t="str">
        <f>"FES1162675246"</f>
        <v>FES1162675246</v>
      </c>
      <c r="D3750" s="21" t="s">
        <v>18</v>
      </c>
      <c r="E3750" s="21" t="s">
        <v>1029</v>
      </c>
      <c r="F3750" s="21" t="str">
        <f>"2170675485 "</f>
        <v xml:space="preserve">2170675485 </v>
      </c>
      <c r="G3750" s="21" t="str">
        <f t="shared" si="106"/>
        <v>ON1</v>
      </c>
      <c r="H3750" s="21" t="s">
        <v>20</v>
      </c>
      <c r="I3750" s="21" t="s">
        <v>708</v>
      </c>
      <c r="J3750" s="21" t="str">
        <f>""</f>
        <v/>
      </c>
      <c r="K3750" s="21" t="str">
        <f>"PFES1162675246_0001"</f>
        <v>PFES1162675246_0001</v>
      </c>
      <c r="L3750" s="21">
        <v>1</v>
      </c>
      <c r="M3750" s="21">
        <v>4</v>
      </c>
    </row>
    <row r="3751" spans="1:13">
      <c r="A3751" s="6">
        <v>43522</v>
      </c>
      <c r="B3751" s="7">
        <v>0.62222222222222223</v>
      </c>
      <c r="C3751" s="21" t="str">
        <f>"FES1162675247"</f>
        <v>FES1162675247</v>
      </c>
      <c r="D3751" s="21" t="s">
        <v>18</v>
      </c>
      <c r="E3751" s="21" t="s">
        <v>328</v>
      </c>
      <c r="F3751" s="21" t="str">
        <f>"2170675515 "</f>
        <v xml:space="preserve">2170675515 </v>
      </c>
      <c r="G3751" s="21" t="str">
        <f t="shared" si="106"/>
        <v>ON1</v>
      </c>
      <c r="H3751" s="21" t="s">
        <v>20</v>
      </c>
      <c r="I3751" s="21" t="s">
        <v>29</v>
      </c>
      <c r="J3751" s="21" t="str">
        <f>""</f>
        <v/>
      </c>
      <c r="K3751" s="21" t="str">
        <f>"PFES1162675247_0001"</f>
        <v>PFES1162675247_0001</v>
      </c>
      <c r="L3751" s="21">
        <v>1</v>
      </c>
      <c r="M3751" s="21">
        <v>1</v>
      </c>
    </row>
    <row r="3752" spans="1:13">
      <c r="A3752" s="6">
        <v>43522</v>
      </c>
      <c r="B3752" s="7">
        <v>0.62152777777777779</v>
      </c>
      <c r="C3752" s="21" t="str">
        <f>"FES1162675419"</f>
        <v>FES1162675419</v>
      </c>
      <c r="D3752" s="21" t="s">
        <v>18</v>
      </c>
      <c r="E3752" s="21" t="s">
        <v>19</v>
      </c>
      <c r="F3752" s="21" t="str">
        <f>"2170676278 "</f>
        <v xml:space="preserve">2170676278 </v>
      </c>
      <c r="G3752" s="21" t="str">
        <f t="shared" si="106"/>
        <v>ON1</v>
      </c>
      <c r="H3752" s="21" t="s">
        <v>20</v>
      </c>
      <c r="I3752" s="21" t="s">
        <v>21</v>
      </c>
      <c r="J3752" s="21" t="str">
        <f>""</f>
        <v/>
      </c>
      <c r="K3752" s="21" t="str">
        <f>"PFES1162675419_0001"</f>
        <v>PFES1162675419_0001</v>
      </c>
      <c r="L3752" s="21">
        <v>1</v>
      </c>
      <c r="M3752" s="21">
        <v>1</v>
      </c>
    </row>
    <row r="3753" spans="1:13">
      <c r="A3753" s="6">
        <v>43522</v>
      </c>
      <c r="B3753" s="7">
        <v>0.62083333333333335</v>
      </c>
      <c r="C3753" s="21" t="str">
        <f>"FES1162675242"</f>
        <v>FES1162675242</v>
      </c>
      <c r="D3753" s="21" t="s">
        <v>18</v>
      </c>
      <c r="E3753" s="21" t="s">
        <v>756</v>
      </c>
      <c r="F3753" s="21" t="str">
        <f>"2170675392 "</f>
        <v xml:space="preserve">2170675392 </v>
      </c>
      <c r="G3753" s="21" t="str">
        <f t="shared" si="106"/>
        <v>ON1</v>
      </c>
      <c r="H3753" s="21" t="s">
        <v>20</v>
      </c>
      <c r="I3753" s="21" t="s">
        <v>55</v>
      </c>
      <c r="J3753" s="21" t="str">
        <f>""</f>
        <v/>
      </c>
      <c r="K3753" s="21" t="str">
        <f>"PFES1162675242_0001"</f>
        <v>PFES1162675242_0001</v>
      </c>
      <c r="L3753" s="21">
        <v>1</v>
      </c>
      <c r="M3753" s="21">
        <v>1</v>
      </c>
    </row>
    <row r="3754" spans="1:13">
      <c r="A3754" s="6">
        <v>43522</v>
      </c>
      <c r="B3754" s="7">
        <v>0.62083333333333335</v>
      </c>
      <c r="C3754" s="21" t="str">
        <f>"FES1162675386"</f>
        <v>FES1162675386</v>
      </c>
      <c r="D3754" s="21" t="s">
        <v>18</v>
      </c>
      <c r="E3754" s="21" t="s">
        <v>1183</v>
      </c>
      <c r="F3754" s="21" t="str">
        <f>"2170676239 "</f>
        <v xml:space="preserve">2170676239 </v>
      </c>
      <c r="G3754" s="21" t="str">
        <f t="shared" si="106"/>
        <v>ON1</v>
      </c>
      <c r="H3754" s="21" t="s">
        <v>20</v>
      </c>
      <c r="I3754" s="21" t="s">
        <v>43</v>
      </c>
      <c r="J3754" s="21" t="str">
        <f>""</f>
        <v/>
      </c>
      <c r="K3754" s="21" t="str">
        <f>"PFES1162675386_0001"</f>
        <v>PFES1162675386_0001</v>
      </c>
      <c r="L3754" s="21">
        <v>1</v>
      </c>
      <c r="M3754" s="21">
        <v>3</v>
      </c>
    </row>
    <row r="3755" spans="1:13">
      <c r="A3755" s="6">
        <v>43522</v>
      </c>
      <c r="B3755" s="7">
        <v>0.62083333333333335</v>
      </c>
      <c r="C3755" s="21" t="str">
        <f>"FES1162675254"</f>
        <v>FES1162675254</v>
      </c>
      <c r="D3755" s="21" t="s">
        <v>18</v>
      </c>
      <c r="E3755" s="21" t="s">
        <v>253</v>
      </c>
      <c r="F3755" s="21" t="str">
        <f>"2170675883 "</f>
        <v xml:space="preserve">2170675883 </v>
      </c>
      <c r="G3755" s="21" t="str">
        <f t="shared" si="106"/>
        <v>ON1</v>
      </c>
      <c r="H3755" s="21" t="s">
        <v>20</v>
      </c>
      <c r="I3755" s="21" t="s">
        <v>226</v>
      </c>
      <c r="J3755" s="21" t="str">
        <f>""</f>
        <v/>
      </c>
      <c r="K3755" s="21" t="str">
        <f>"PFES1162675254_0001"</f>
        <v>PFES1162675254_0001</v>
      </c>
      <c r="L3755" s="21">
        <v>1</v>
      </c>
      <c r="M3755" s="21">
        <v>1</v>
      </c>
    </row>
    <row r="3756" spans="1:13">
      <c r="A3756" s="6">
        <v>43522</v>
      </c>
      <c r="B3756" s="7">
        <v>0.61875000000000002</v>
      </c>
      <c r="C3756" s="21" t="str">
        <f>"FES1162675432"</f>
        <v>FES1162675432</v>
      </c>
      <c r="D3756" s="21" t="s">
        <v>18</v>
      </c>
      <c r="E3756" s="21" t="s">
        <v>179</v>
      </c>
      <c r="F3756" s="21" t="str">
        <f>"2170676299 "</f>
        <v xml:space="preserve">2170676299 </v>
      </c>
      <c r="G3756" s="21" t="str">
        <f t="shared" si="106"/>
        <v>ON1</v>
      </c>
      <c r="H3756" s="21" t="s">
        <v>20</v>
      </c>
      <c r="I3756" s="21" t="s">
        <v>59</v>
      </c>
      <c r="J3756" s="21" t="str">
        <f>""</f>
        <v/>
      </c>
      <c r="K3756" s="21" t="str">
        <f>"PFES1162675432_0001"</f>
        <v>PFES1162675432_0001</v>
      </c>
      <c r="L3756" s="21">
        <v>1</v>
      </c>
      <c r="M3756" s="21">
        <v>1</v>
      </c>
    </row>
    <row r="3757" spans="1:13">
      <c r="A3757" s="6">
        <v>43522</v>
      </c>
      <c r="B3757" s="7">
        <v>0.61875000000000002</v>
      </c>
      <c r="C3757" s="21" t="str">
        <f>"FES1162675327"</f>
        <v>FES1162675327</v>
      </c>
      <c r="D3757" s="21" t="s">
        <v>18</v>
      </c>
      <c r="E3757" s="21" t="s">
        <v>984</v>
      </c>
      <c r="F3757" s="21" t="str">
        <f>"2170674647 "</f>
        <v xml:space="preserve">2170674647 </v>
      </c>
      <c r="G3757" s="21" t="str">
        <f t="shared" si="106"/>
        <v>ON1</v>
      </c>
      <c r="H3757" s="21" t="s">
        <v>20</v>
      </c>
      <c r="I3757" s="21" t="s">
        <v>237</v>
      </c>
      <c r="J3757" s="21" t="str">
        <f>""</f>
        <v/>
      </c>
      <c r="K3757" s="21" t="str">
        <f>"PFES1162675327_0001"</f>
        <v>PFES1162675327_0001</v>
      </c>
      <c r="L3757" s="21">
        <v>1</v>
      </c>
      <c r="M3757" s="21">
        <v>1</v>
      </c>
    </row>
    <row r="3758" spans="1:13">
      <c r="A3758" s="6">
        <v>43522</v>
      </c>
      <c r="B3758" s="7">
        <v>0.61875000000000002</v>
      </c>
      <c r="C3758" s="21" t="str">
        <f>"FES1162675451"</f>
        <v>FES1162675451</v>
      </c>
      <c r="D3758" s="21" t="s">
        <v>18</v>
      </c>
      <c r="E3758" s="21" t="s">
        <v>907</v>
      </c>
      <c r="F3758" s="21" t="str">
        <f>"2170675252 "</f>
        <v xml:space="preserve">2170675252 </v>
      </c>
      <c r="G3758" s="21" t="str">
        <f t="shared" si="106"/>
        <v>ON1</v>
      </c>
      <c r="H3758" s="21" t="s">
        <v>20</v>
      </c>
      <c r="I3758" s="21" t="s">
        <v>635</v>
      </c>
      <c r="J3758" s="21" t="str">
        <f>""</f>
        <v/>
      </c>
      <c r="K3758" s="21" t="str">
        <f>"PFES1162675451_0001"</f>
        <v>PFES1162675451_0001</v>
      </c>
      <c r="L3758" s="21">
        <v>1</v>
      </c>
      <c r="M3758" s="21">
        <v>1</v>
      </c>
    </row>
    <row r="3759" spans="1:13">
      <c r="A3759" s="6">
        <v>43522</v>
      </c>
      <c r="B3759" s="7">
        <v>0.61805555555555558</v>
      </c>
      <c r="C3759" s="21" t="str">
        <f>"FES1162675433"</f>
        <v>FES1162675433</v>
      </c>
      <c r="D3759" s="21" t="s">
        <v>18</v>
      </c>
      <c r="E3759" s="21" t="s">
        <v>1039</v>
      </c>
      <c r="F3759" s="21" t="str">
        <f>"2170676300 "</f>
        <v xml:space="preserve">2170676300 </v>
      </c>
      <c r="G3759" s="21" t="str">
        <f t="shared" si="106"/>
        <v>ON1</v>
      </c>
      <c r="H3759" s="21" t="s">
        <v>20</v>
      </c>
      <c r="I3759" s="21" t="s">
        <v>153</v>
      </c>
      <c r="J3759" s="21" t="str">
        <f>""</f>
        <v/>
      </c>
      <c r="K3759" s="21" t="str">
        <f>"PFES1162675433_0001"</f>
        <v>PFES1162675433_0001</v>
      </c>
      <c r="L3759" s="21">
        <v>1</v>
      </c>
      <c r="M3759" s="21">
        <v>1</v>
      </c>
    </row>
    <row r="3760" spans="1:13">
      <c r="A3760" s="6">
        <v>43522</v>
      </c>
      <c r="B3760" s="7">
        <v>0.61805555555555558</v>
      </c>
      <c r="C3760" s="21" t="str">
        <f>"FES1162675348"</f>
        <v>FES1162675348</v>
      </c>
      <c r="D3760" s="21" t="s">
        <v>18</v>
      </c>
      <c r="E3760" s="21" t="s">
        <v>78</v>
      </c>
      <c r="F3760" s="21" t="str">
        <f>"2170676241 "</f>
        <v xml:space="preserve">2170676241 </v>
      </c>
      <c r="G3760" s="21" t="str">
        <f t="shared" si="106"/>
        <v>ON1</v>
      </c>
      <c r="H3760" s="21" t="s">
        <v>20</v>
      </c>
      <c r="I3760" s="21" t="s">
        <v>79</v>
      </c>
      <c r="J3760" s="21" t="str">
        <f>""</f>
        <v/>
      </c>
      <c r="K3760" s="21" t="str">
        <f>"PFES1162675348_0001"</f>
        <v>PFES1162675348_0001</v>
      </c>
      <c r="L3760" s="21">
        <v>1</v>
      </c>
      <c r="M3760" s="21">
        <v>1</v>
      </c>
    </row>
    <row r="3761" spans="1:13">
      <c r="A3761" s="6">
        <v>43522</v>
      </c>
      <c r="B3761" s="7">
        <v>0.61805555555555558</v>
      </c>
      <c r="C3761" s="21" t="str">
        <f>"FES1162675314"</f>
        <v>FES1162675314</v>
      </c>
      <c r="D3761" s="21" t="s">
        <v>18</v>
      </c>
      <c r="E3761" s="21" t="s">
        <v>19</v>
      </c>
      <c r="F3761" s="21" t="str">
        <f>"2170674241 "</f>
        <v xml:space="preserve">2170674241 </v>
      </c>
      <c r="G3761" s="21" t="str">
        <f t="shared" si="106"/>
        <v>ON1</v>
      </c>
      <c r="H3761" s="21" t="s">
        <v>20</v>
      </c>
      <c r="I3761" s="21" t="s">
        <v>21</v>
      </c>
      <c r="J3761" s="21" t="str">
        <f>""</f>
        <v/>
      </c>
      <c r="K3761" s="21" t="str">
        <f>"PFES1162675314_0001"</f>
        <v>PFES1162675314_0001</v>
      </c>
      <c r="L3761" s="21">
        <v>1</v>
      </c>
      <c r="M3761" s="21">
        <v>6</v>
      </c>
    </row>
    <row r="3762" spans="1:13">
      <c r="A3762" s="6">
        <v>43522</v>
      </c>
      <c r="B3762" s="7">
        <v>0.6166666666666667</v>
      </c>
      <c r="C3762" s="21" t="str">
        <f>"FES1162675401"</f>
        <v>FES1162675401</v>
      </c>
      <c r="D3762" s="21" t="s">
        <v>18</v>
      </c>
      <c r="E3762" s="21" t="s">
        <v>1184</v>
      </c>
      <c r="F3762" s="21" t="str">
        <f>"2170676258 "</f>
        <v xml:space="preserve">2170676258 </v>
      </c>
      <c r="G3762" s="21" t="str">
        <f t="shared" si="106"/>
        <v>ON1</v>
      </c>
      <c r="H3762" s="21" t="s">
        <v>20</v>
      </c>
      <c r="I3762" s="21" t="s">
        <v>197</v>
      </c>
      <c r="J3762" s="21" t="str">
        <f>""</f>
        <v/>
      </c>
      <c r="K3762" s="21" t="str">
        <f>"PFES1162675401_0001"</f>
        <v>PFES1162675401_0001</v>
      </c>
      <c r="L3762" s="21">
        <v>1</v>
      </c>
      <c r="M3762" s="21">
        <v>2</v>
      </c>
    </row>
    <row r="3763" spans="1:13">
      <c r="A3763" s="6">
        <v>43522</v>
      </c>
      <c r="B3763" s="7">
        <v>0.61597222222222225</v>
      </c>
      <c r="C3763" s="21" t="str">
        <f>"FES1162675363"</f>
        <v>FES1162675363</v>
      </c>
      <c r="D3763" s="21" t="s">
        <v>18</v>
      </c>
      <c r="E3763" s="21" t="s">
        <v>1072</v>
      </c>
      <c r="F3763" s="21" t="str">
        <f>"2170673730 "</f>
        <v xml:space="preserve">2170673730 </v>
      </c>
      <c r="G3763" s="21" t="str">
        <f t="shared" si="106"/>
        <v>ON1</v>
      </c>
      <c r="H3763" s="21" t="s">
        <v>20</v>
      </c>
      <c r="I3763" s="21" t="s">
        <v>139</v>
      </c>
      <c r="J3763" s="21" t="str">
        <f>""</f>
        <v/>
      </c>
      <c r="K3763" s="21" t="str">
        <f>"PFES1162675363_0001"</f>
        <v>PFES1162675363_0001</v>
      </c>
      <c r="L3763" s="21">
        <v>1</v>
      </c>
      <c r="M3763" s="21">
        <v>6</v>
      </c>
    </row>
    <row r="3764" spans="1:13">
      <c r="A3764" s="6">
        <v>43522</v>
      </c>
      <c r="B3764" s="7">
        <v>0.61527777777777781</v>
      </c>
      <c r="C3764" s="21" t="str">
        <f>"FES1162675293"</f>
        <v>FES1162675293</v>
      </c>
      <c r="D3764" s="21" t="s">
        <v>18</v>
      </c>
      <c r="E3764" s="21" t="s">
        <v>129</v>
      </c>
      <c r="F3764" s="21" t="str">
        <f>"2170670115 "</f>
        <v xml:space="preserve">2170670115 </v>
      </c>
      <c r="G3764" s="21" t="str">
        <f t="shared" si="106"/>
        <v>ON1</v>
      </c>
      <c r="H3764" s="21" t="s">
        <v>20</v>
      </c>
      <c r="I3764" s="21" t="s">
        <v>130</v>
      </c>
      <c r="J3764" s="21" t="str">
        <f>""</f>
        <v/>
      </c>
      <c r="K3764" s="21" t="str">
        <f>"PFES1162675293_0001"</f>
        <v>PFES1162675293_0001</v>
      </c>
      <c r="L3764" s="21">
        <v>1</v>
      </c>
      <c r="M3764" s="21">
        <v>9</v>
      </c>
    </row>
    <row r="3765" spans="1:13">
      <c r="A3765" s="6">
        <v>43522</v>
      </c>
      <c r="B3765" s="7">
        <v>0.61458333333333337</v>
      </c>
      <c r="C3765" s="21" t="str">
        <f>"FES1162675108"</f>
        <v>FES1162675108</v>
      </c>
      <c r="D3765" s="21" t="s">
        <v>18</v>
      </c>
      <c r="E3765" s="21" t="s">
        <v>212</v>
      </c>
      <c r="F3765" s="21" t="str">
        <f>"2170676066 "</f>
        <v xml:space="preserve">2170676066 </v>
      </c>
      <c r="G3765" s="21" t="str">
        <f t="shared" si="106"/>
        <v>ON1</v>
      </c>
      <c r="H3765" s="21" t="s">
        <v>20</v>
      </c>
      <c r="I3765" s="21" t="s">
        <v>213</v>
      </c>
      <c r="J3765" s="21" t="str">
        <f>""</f>
        <v/>
      </c>
      <c r="K3765" s="21" t="str">
        <f>"PFES1162675108_0001"</f>
        <v>PFES1162675108_0001</v>
      </c>
      <c r="L3765" s="21">
        <v>1</v>
      </c>
      <c r="M3765" s="21">
        <v>8</v>
      </c>
    </row>
    <row r="3766" spans="1:13">
      <c r="A3766" s="6">
        <v>43522</v>
      </c>
      <c r="B3766" s="7">
        <v>0.61388888888888882</v>
      </c>
      <c r="C3766" s="21" t="str">
        <f>"FES1162675388"</f>
        <v>FES1162675388</v>
      </c>
      <c r="D3766" s="21" t="s">
        <v>18</v>
      </c>
      <c r="E3766" s="21" t="s">
        <v>129</v>
      </c>
      <c r="F3766" s="21" t="str">
        <f>"2170676243 "</f>
        <v xml:space="preserve">2170676243 </v>
      </c>
      <c r="G3766" s="21" t="str">
        <f t="shared" si="106"/>
        <v>ON1</v>
      </c>
      <c r="H3766" s="21" t="s">
        <v>20</v>
      </c>
      <c r="I3766" s="21" t="s">
        <v>130</v>
      </c>
      <c r="J3766" s="21" t="str">
        <f>""</f>
        <v/>
      </c>
      <c r="K3766" s="21" t="str">
        <f>"PFES1162675388_0001"</f>
        <v>PFES1162675388_0001</v>
      </c>
      <c r="L3766" s="21">
        <v>1</v>
      </c>
      <c r="M3766" s="21">
        <v>3</v>
      </c>
    </row>
    <row r="3767" spans="1:13">
      <c r="A3767" s="6">
        <v>43522</v>
      </c>
      <c r="B3767" s="7">
        <v>0.61319444444444449</v>
      </c>
      <c r="C3767" s="21" t="str">
        <f>"FES1162675331"</f>
        <v>FES1162675331</v>
      </c>
      <c r="D3767" s="21" t="s">
        <v>18</v>
      </c>
      <c r="E3767" s="21" t="s">
        <v>129</v>
      </c>
      <c r="F3767" s="21" t="str">
        <f>"2170674677 "</f>
        <v xml:space="preserve">2170674677 </v>
      </c>
      <c r="G3767" s="21" t="str">
        <f t="shared" si="106"/>
        <v>ON1</v>
      </c>
      <c r="H3767" s="21" t="s">
        <v>20</v>
      </c>
      <c r="I3767" s="21" t="s">
        <v>130</v>
      </c>
      <c r="J3767" s="21" t="str">
        <f>""</f>
        <v/>
      </c>
      <c r="K3767" s="21" t="str">
        <f>"PFES1162675331_0001"</f>
        <v>PFES1162675331_0001</v>
      </c>
      <c r="L3767" s="21">
        <v>1</v>
      </c>
      <c r="M3767" s="21">
        <v>1</v>
      </c>
    </row>
    <row r="3768" spans="1:13">
      <c r="A3768" s="6">
        <v>43522</v>
      </c>
      <c r="B3768" s="7">
        <v>0.61249999999999993</v>
      </c>
      <c r="C3768" s="21" t="str">
        <f>"FES1162675333"</f>
        <v>FES1162675333</v>
      </c>
      <c r="D3768" s="21" t="s">
        <v>18</v>
      </c>
      <c r="E3768" s="21" t="s">
        <v>160</v>
      </c>
      <c r="F3768" s="21" t="str">
        <f>"2170674695 "</f>
        <v xml:space="preserve">2170674695 </v>
      </c>
      <c r="G3768" s="21" t="str">
        <f t="shared" si="106"/>
        <v>ON1</v>
      </c>
      <c r="H3768" s="21" t="s">
        <v>20</v>
      </c>
      <c r="I3768" s="21" t="s">
        <v>161</v>
      </c>
      <c r="J3768" s="21" t="str">
        <f>""</f>
        <v/>
      </c>
      <c r="K3768" s="21" t="str">
        <f>"PFES1162675333_0001"</f>
        <v>PFES1162675333_0001</v>
      </c>
      <c r="L3768" s="21">
        <v>1</v>
      </c>
      <c r="M3768" s="21">
        <v>5</v>
      </c>
    </row>
    <row r="3769" spans="1:13">
      <c r="A3769" s="6">
        <v>43522</v>
      </c>
      <c r="B3769" s="7">
        <v>0.6118055555555556</v>
      </c>
      <c r="C3769" s="21" t="str">
        <f>"FES1162675142"</f>
        <v>FES1162675142</v>
      </c>
      <c r="D3769" s="21" t="s">
        <v>18</v>
      </c>
      <c r="E3769" s="21" t="s">
        <v>186</v>
      </c>
      <c r="F3769" s="21" t="str">
        <f>"2170676113 "</f>
        <v xml:space="preserve">2170676113 </v>
      </c>
      <c r="G3769" s="21" t="str">
        <f t="shared" si="106"/>
        <v>ON1</v>
      </c>
      <c r="H3769" s="21" t="s">
        <v>20</v>
      </c>
      <c r="I3769" s="21" t="s">
        <v>48</v>
      </c>
      <c r="J3769" s="21" t="str">
        <f>""</f>
        <v/>
      </c>
      <c r="K3769" s="21" t="str">
        <f>"PFES1162675142_0001"</f>
        <v>PFES1162675142_0001</v>
      </c>
      <c r="L3769" s="21">
        <v>1</v>
      </c>
      <c r="M3769" s="21">
        <v>3</v>
      </c>
    </row>
    <row r="3770" spans="1:13">
      <c r="A3770" s="6">
        <v>43522</v>
      </c>
      <c r="B3770" s="7">
        <v>0.61041666666666672</v>
      </c>
      <c r="C3770" s="21" t="str">
        <f>"FES1162675340"</f>
        <v>FES1162675340</v>
      </c>
      <c r="D3770" s="21" t="s">
        <v>18</v>
      </c>
      <c r="E3770" s="21" t="s">
        <v>186</v>
      </c>
      <c r="F3770" s="21" t="str">
        <f>"2170674817 "</f>
        <v xml:space="preserve">2170674817 </v>
      </c>
      <c r="G3770" s="21" t="str">
        <f t="shared" si="106"/>
        <v>ON1</v>
      </c>
      <c r="H3770" s="21" t="s">
        <v>20</v>
      </c>
      <c r="I3770" s="21" t="s">
        <v>48</v>
      </c>
      <c r="J3770" s="21" t="str">
        <f>""</f>
        <v/>
      </c>
      <c r="K3770" s="21" t="str">
        <f>"PFES1162675340_0001"</f>
        <v>PFES1162675340_0001</v>
      </c>
      <c r="L3770" s="21">
        <v>1</v>
      </c>
      <c r="M3770" s="21">
        <v>2</v>
      </c>
    </row>
    <row r="3771" spans="1:13">
      <c r="A3771" s="6">
        <v>43522</v>
      </c>
      <c r="B3771" s="7">
        <v>0.57361111111111118</v>
      </c>
      <c r="C3771" s="21" t="str">
        <f>"FES1162675259"</f>
        <v>FES1162675259</v>
      </c>
      <c r="D3771" s="21" t="s">
        <v>18</v>
      </c>
      <c r="E3771" s="21" t="s">
        <v>267</v>
      </c>
      <c r="F3771" s="21" t="str">
        <f>"2170676192 "</f>
        <v xml:space="preserve">2170676192 </v>
      </c>
      <c r="G3771" s="21" t="str">
        <f t="shared" si="106"/>
        <v>ON1</v>
      </c>
      <c r="H3771" s="21" t="s">
        <v>20</v>
      </c>
      <c r="I3771" s="21" t="s">
        <v>268</v>
      </c>
      <c r="J3771" s="21" t="str">
        <f>""</f>
        <v/>
      </c>
      <c r="K3771" s="21" t="str">
        <f>"PFES1162675259_0001"</f>
        <v>PFES1162675259_0001</v>
      </c>
      <c r="L3771" s="21">
        <v>1</v>
      </c>
      <c r="M3771" s="21">
        <v>1</v>
      </c>
    </row>
    <row r="3772" spans="1:13">
      <c r="A3772" s="6">
        <v>43522</v>
      </c>
      <c r="B3772" s="7">
        <v>0.57291666666666663</v>
      </c>
      <c r="C3772" s="21" t="str">
        <f>"FES1162675364"</f>
        <v>FES1162675364</v>
      </c>
      <c r="D3772" s="21" t="s">
        <v>18</v>
      </c>
      <c r="E3772" s="21" t="s">
        <v>850</v>
      </c>
      <c r="F3772" s="21" t="str">
        <f>"2170673742 "</f>
        <v xml:space="preserve">2170673742 </v>
      </c>
      <c r="G3772" s="21" t="str">
        <f t="shared" si="106"/>
        <v>ON1</v>
      </c>
      <c r="H3772" s="21" t="s">
        <v>20</v>
      </c>
      <c r="I3772" s="21" t="s">
        <v>276</v>
      </c>
      <c r="J3772" s="21" t="str">
        <f>""</f>
        <v/>
      </c>
      <c r="K3772" s="21" t="str">
        <f>"PFES1162675364_0001"</f>
        <v>PFES1162675364_0001</v>
      </c>
      <c r="L3772" s="21">
        <v>1</v>
      </c>
      <c r="M3772" s="21">
        <v>1</v>
      </c>
    </row>
    <row r="3773" spans="1:13">
      <c r="A3773" s="6">
        <v>43522</v>
      </c>
      <c r="B3773" s="7">
        <v>0.57291666666666663</v>
      </c>
      <c r="C3773" s="21" t="str">
        <f>"FES1162675295"</f>
        <v>FES1162675295</v>
      </c>
      <c r="D3773" s="21" t="s">
        <v>18</v>
      </c>
      <c r="E3773" s="21" t="s">
        <v>479</v>
      </c>
      <c r="F3773" s="21" t="str">
        <f>"2170672852 "</f>
        <v xml:space="preserve">2170672852 </v>
      </c>
      <c r="G3773" s="21" t="str">
        <f t="shared" si="106"/>
        <v>ON1</v>
      </c>
      <c r="H3773" s="21" t="s">
        <v>20</v>
      </c>
      <c r="I3773" s="21" t="s">
        <v>233</v>
      </c>
      <c r="J3773" s="21" t="str">
        <f>""</f>
        <v/>
      </c>
      <c r="K3773" s="21" t="str">
        <f>"PFES1162675295_0001"</f>
        <v>PFES1162675295_0001</v>
      </c>
      <c r="L3773" s="21">
        <v>1</v>
      </c>
      <c r="M3773" s="21">
        <v>1</v>
      </c>
    </row>
    <row r="3774" spans="1:13">
      <c r="A3774" s="6">
        <v>43522</v>
      </c>
      <c r="B3774" s="7">
        <v>0.57291666666666663</v>
      </c>
      <c r="C3774" s="21" t="str">
        <f>"FES1162675306"</f>
        <v>FES1162675306</v>
      </c>
      <c r="D3774" s="21" t="s">
        <v>18</v>
      </c>
      <c r="E3774" s="21" t="s">
        <v>19</v>
      </c>
      <c r="F3774" s="21" t="str">
        <f>"2170674162 "</f>
        <v xml:space="preserve">2170674162 </v>
      </c>
      <c r="G3774" s="21" t="str">
        <f t="shared" si="106"/>
        <v>ON1</v>
      </c>
      <c r="H3774" s="21" t="s">
        <v>20</v>
      </c>
      <c r="I3774" s="21" t="s">
        <v>21</v>
      </c>
      <c r="J3774" s="21" t="str">
        <f>""</f>
        <v/>
      </c>
      <c r="K3774" s="21" t="str">
        <f>"PFES1162675306_0001"</f>
        <v>PFES1162675306_0001</v>
      </c>
      <c r="L3774" s="21">
        <v>1</v>
      </c>
      <c r="M3774" s="21">
        <v>1</v>
      </c>
    </row>
    <row r="3775" spans="1:13">
      <c r="A3775" s="6">
        <v>43522</v>
      </c>
      <c r="B3775" s="7">
        <v>0.57222222222222219</v>
      </c>
      <c r="C3775" s="21" t="str">
        <f>"FES1162675272"</f>
        <v>FES1162675272</v>
      </c>
      <c r="D3775" s="21" t="s">
        <v>18</v>
      </c>
      <c r="E3775" s="21" t="s">
        <v>191</v>
      </c>
      <c r="F3775" s="21" t="str">
        <f>"217067086 "</f>
        <v xml:space="preserve">217067086 </v>
      </c>
      <c r="G3775" s="21" t="str">
        <f t="shared" si="106"/>
        <v>ON1</v>
      </c>
      <c r="H3775" s="21" t="s">
        <v>20</v>
      </c>
      <c r="I3775" s="21" t="s">
        <v>192</v>
      </c>
      <c r="J3775" s="21" t="str">
        <f>""</f>
        <v/>
      </c>
      <c r="K3775" s="21" t="str">
        <f>"PFES1162675272_0001"</f>
        <v>PFES1162675272_0001</v>
      </c>
      <c r="L3775" s="21">
        <v>1</v>
      </c>
      <c r="M3775" s="21">
        <v>1</v>
      </c>
    </row>
    <row r="3776" spans="1:13">
      <c r="A3776" s="6">
        <v>43522</v>
      </c>
      <c r="B3776" s="7">
        <v>0.57222222222222219</v>
      </c>
      <c r="C3776" s="21" t="str">
        <f>"FES1162675235"</f>
        <v>FES1162675235</v>
      </c>
      <c r="D3776" s="21" t="s">
        <v>18</v>
      </c>
      <c r="E3776" s="21" t="s">
        <v>334</v>
      </c>
      <c r="F3776" s="21" t="str">
        <f>"2170674853 "</f>
        <v xml:space="preserve">2170674853 </v>
      </c>
      <c r="G3776" s="21" t="str">
        <f t="shared" si="106"/>
        <v>ON1</v>
      </c>
      <c r="H3776" s="21" t="s">
        <v>20</v>
      </c>
      <c r="I3776" s="21" t="s">
        <v>242</v>
      </c>
      <c r="J3776" s="21" t="str">
        <f>""</f>
        <v/>
      </c>
      <c r="K3776" s="21" t="str">
        <f>"PFES1162675235_0001"</f>
        <v>PFES1162675235_0001</v>
      </c>
      <c r="L3776" s="21">
        <v>1</v>
      </c>
      <c r="M3776" s="21">
        <v>1</v>
      </c>
    </row>
    <row r="3777" spans="1:13">
      <c r="A3777" s="6">
        <v>43522</v>
      </c>
      <c r="B3777" s="7">
        <v>0.57152777777777775</v>
      </c>
      <c r="C3777" s="21" t="str">
        <f>"FES1162675261"</f>
        <v>FES1162675261</v>
      </c>
      <c r="D3777" s="21" t="s">
        <v>18</v>
      </c>
      <c r="E3777" s="21" t="s">
        <v>267</v>
      </c>
      <c r="F3777" s="21" t="str">
        <f>"2170676194 "</f>
        <v xml:space="preserve">2170676194 </v>
      </c>
      <c r="G3777" s="21" t="str">
        <f t="shared" si="106"/>
        <v>ON1</v>
      </c>
      <c r="H3777" s="21" t="s">
        <v>20</v>
      </c>
      <c r="I3777" s="21" t="s">
        <v>268</v>
      </c>
      <c r="J3777" s="21" t="str">
        <f>""</f>
        <v/>
      </c>
      <c r="K3777" s="21" t="str">
        <f>"PFES1162675261_0001"</f>
        <v>PFES1162675261_0001</v>
      </c>
      <c r="L3777" s="21">
        <v>1</v>
      </c>
      <c r="M3777" s="21">
        <v>1</v>
      </c>
    </row>
    <row r="3778" spans="1:13">
      <c r="A3778" s="6">
        <v>43522</v>
      </c>
      <c r="B3778" s="7">
        <v>0.57152777777777775</v>
      </c>
      <c r="C3778" s="21" t="str">
        <f>"FES1162675258"</f>
        <v>FES1162675258</v>
      </c>
      <c r="D3778" s="21" t="s">
        <v>18</v>
      </c>
      <c r="E3778" s="21" t="s">
        <v>267</v>
      </c>
      <c r="F3778" s="21" t="str">
        <f>"2170676191 "</f>
        <v xml:space="preserve">2170676191 </v>
      </c>
      <c r="G3778" s="21" t="str">
        <f t="shared" si="106"/>
        <v>ON1</v>
      </c>
      <c r="H3778" s="21" t="s">
        <v>20</v>
      </c>
      <c r="I3778" s="21" t="s">
        <v>268</v>
      </c>
      <c r="J3778" s="21" t="str">
        <f>""</f>
        <v/>
      </c>
      <c r="K3778" s="21" t="str">
        <f>"PFES1162675258_0001"</f>
        <v>PFES1162675258_0001</v>
      </c>
      <c r="L3778" s="21">
        <v>1</v>
      </c>
      <c r="M3778" s="21">
        <v>1</v>
      </c>
    </row>
    <row r="3779" spans="1:13">
      <c r="A3779" s="6">
        <v>43522</v>
      </c>
      <c r="B3779" s="7">
        <v>0.57152777777777775</v>
      </c>
      <c r="C3779" s="21" t="str">
        <f>"FES1162675263"</f>
        <v>FES1162675263</v>
      </c>
      <c r="D3779" s="21" t="s">
        <v>18</v>
      </c>
      <c r="E3779" s="21" t="s">
        <v>267</v>
      </c>
      <c r="F3779" s="21" t="str">
        <f>"2170676196 "</f>
        <v xml:space="preserve">2170676196 </v>
      </c>
      <c r="G3779" s="21" t="str">
        <f t="shared" si="106"/>
        <v>ON1</v>
      </c>
      <c r="H3779" s="21" t="s">
        <v>20</v>
      </c>
      <c r="I3779" s="21" t="s">
        <v>268</v>
      </c>
      <c r="J3779" s="21" t="str">
        <f>""</f>
        <v/>
      </c>
      <c r="K3779" s="21" t="str">
        <f>"PFES1162675263_0001"</f>
        <v>PFES1162675263_0001</v>
      </c>
      <c r="L3779" s="21">
        <v>1</v>
      </c>
      <c r="M3779" s="21">
        <v>1</v>
      </c>
    </row>
    <row r="3780" spans="1:13">
      <c r="A3780" s="6">
        <v>43522</v>
      </c>
      <c r="B3780" s="7">
        <v>0.5708333333333333</v>
      </c>
      <c r="C3780" s="21" t="str">
        <f>"FES1162675332"</f>
        <v>FES1162675332</v>
      </c>
      <c r="D3780" s="21" t="s">
        <v>18</v>
      </c>
      <c r="E3780" s="21" t="s">
        <v>102</v>
      </c>
      <c r="F3780" s="21" t="str">
        <f>"2170674689 "</f>
        <v xml:space="preserve">2170674689 </v>
      </c>
      <c r="G3780" s="21" t="str">
        <f t="shared" si="106"/>
        <v>ON1</v>
      </c>
      <c r="H3780" s="21" t="s">
        <v>20</v>
      </c>
      <c r="I3780" s="21" t="s">
        <v>103</v>
      </c>
      <c r="J3780" s="21" t="str">
        <f>""</f>
        <v/>
      </c>
      <c r="K3780" s="21" t="str">
        <f>"PFES1162675332_0001"</f>
        <v>PFES1162675332_0001</v>
      </c>
      <c r="L3780" s="21">
        <v>1</v>
      </c>
      <c r="M3780" s="21">
        <v>1</v>
      </c>
    </row>
    <row r="3781" spans="1:13">
      <c r="A3781" s="6">
        <v>43522</v>
      </c>
      <c r="B3781" s="7">
        <v>0.57013888888888886</v>
      </c>
      <c r="C3781" s="21" t="str">
        <f>"FES1162675262"</f>
        <v>FES1162675262</v>
      </c>
      <c r="D3781" s="21" t="s">
        <v>18</v>
      </c>
      <c r="E3781" s="21" t="s">
        <v>267</v>
      </c>
      <c r="F3781" s="21" t="str">
        <f>"2170676195 "</f>
        <v xml:space="preserve">2170676195 </v>
      </c>
      <c r="G3781" s="21" t="str">
        <f t="shared" si="106"/>
        <v>ON1</v>
      </c>
      <c r="H3781" s="21" t="s">
        <v>20</v>
      </c>
      <c r="I3781" s="21" t="s">
        <v>268</v>
      </c>
      <c r="J3781" s="21" t="str">
        <f>""</f>
        <v/>
      </c>
      <c r="K3781" s="21" t="str">
        <f>"PFES1162675262_0001"</f>
        <v>PFES1162675262_0001</v>
      </c>
      <c r="L3781" s="21">
        <v>1</v>
      </c>
      <c r="M3781" s="21">
        <v>1</v>
      </c>
    </row>
    <row r="3782" spans="1:13">
      <c r="A3782" s="6">
        <v>43522</v>
      </c>
      <c r="B3782" s="7">
        <v>0.57013888888888886</v>
      </c>
      <c r="C3782" s="21" t="str">
        <f>"FES1162675353"</f>
        <v>FES1162675353</v>
      </c>
      <c r="D3782" s="21" t="s">
        <v>18</v>
      </c>
      <c r="E3782" s="21" t="s">
        <v>461</v>
      </c>
      <c r="F3782" s="21" t="str">
        <f>"2170673349 "</f>
        <v xml:space="preserve">2170673349 </v>
      </c>
      <c r="G3782" s="21" t="str">
        <f t="shared" si="106"/>
        <v>ON1</v>
      </c>
      <c r="H3782" s="21" t="s">
        <v>20</v>
      </c>
      <c r="I3782" s="21" t="s">
        <v>406</v>
      </c>
      <c r="J3782" s="21" t="str">
        <f>""</f>
        <v/>
      </c>
      <c r="K3782" s="21" t="str">
        <f>"PFES1162675353_0001"</f>
        <v>PFES1162675353_0001</v>
      </c>
      <c r="L3782" s="21">
        <v>1</v>
      </c>
      <c r="M3782" s="21">
        <v>1</v>
      </c>
    </row>
    <row r="3783" spans="1:13">
      <c r="A3783" s="6">
        <v>43522</v>
      </c>
      <c r="B3783" s="7">
        <v>0.57013888888888886</v>
      </c>
      <c r="C3783" s="21" t="str">
        <f>"FES1162675305"</f>
        <v>FES1162675305</v>
      </c>
      <c r="D3783" s="21" t="s">
        <v>18</v>
      </c>
      <c r="E3783" s="21" t="s">
        <v>409</v>
      </c>
      <c r="F3783" s="21" t="str">
        <f>"2170674126 "</f>
        <v xml:space="preserve">2170674126 </v>
      </c>
      <c r="G3783" s="21" t="str">
        <f t="shared" si="106"/>
        <v>ON1</v>
      </c>
      <c r="H3783" s="21" t="s">
        <v>20</v>
      </c>
      <c r="I3783" s="21" t="s">
        <v>410</v>
      </c>
      <c r="J3783" s="21" t="str">
        <f>""</f>
        <v/>
      </c>
      <c r="K3783" s="21" t="str">
        <f>"PFES1162675305_0001"</f>
        <v>PFES1162675305_0001</v>
      </c>
      <c r="L3783" s="21">
        <v>1</v>
      </c>
      <c r="M3783" s="21">
        <v>1</v>
      </c>
    </row>
    <row r="3784" spans="1:13">
      <c r="A3784" s="6">
        <v>43522</v>
      </c>
      <c r="B3784" s="7">
        <v>0.56944444444444442</v>
      </c>
      <c r="C3784" s="21" t="str">
        <f>"FES1162675318"</f>
        <v>FES1162675318</v>
      </c>
      <c r="D3784" s="21" t="s">
        <v>18</v>
      </c>
      <c r="E3784" s="21" t="s">
        <v>321</v>
      </c>
      <c r="F3784" s="21" t="str">
        <f>"2170674427 "</f>
        <v xml:space="preserve">2170674427 </v>
      </c>
      <c r="G3784" s="21" t="str">
        <f t="shared" si="106"/>
        <v>ON1</v>
      </c>
      <c r="H3784" s="21" t="s">
        <v>20</v>
      </c>
      <c r="I3784" s="21" t="s">
        <v>322</v>
      </c>
      <c r="J3784" s="21" t="str">
        <f>""</f>
        <v/>
      </c>
      <c r="K3784" s="21" t="str">
        <f>"PFES1162675318_0001"</f>
        <v>PFES1162675318_0001</v>
      </c>
      <c r="L3784" s="21">
        <v>1</v>
      </c>
      <c r="M3784" s="21">
        <v>1</v>
      </c>
    </row>
    <row r="3785" spans="1:13">
      <c r="A3785" s="6">
        <v>43522</v>
      </c>
      <c r="B3785" s="7">
        <v>0.56944444444444442</v>
      </c>
      <c r="C3785" s="21" t="str">
        <f>"FES1162675260"</f>
        <v>FES1162675260</v>
      </c>
      <c r="D3785" s="21" t="s">
        <v>18</v>
      </c>
      <c r="E3785" s="21" t="s">
        <v>267</v>
      </c>
      <c r="F3785" s="21" t="str">
        <f>"2170676193 "</f>
        <v xml:space="preserve">2170676193 </v>
      </c>
      <c r="G3785" s="21" t="str">
        <f t="shared" si="106"/>
        <v>ON1</v>
      </c>
      <c r="H3785" s="21" t="s">
        <v>20</v>
      </c>
      <c r="I3785" s="21" t="s">
        <v>268</v>
      </c>
      <c r="J3785" s="21" t="str">
        <f>""</f>
        <v/>
      </c>
      <c r="K3785" s="21" t="str">
        <f>"PFES1162675260_0001"</f>
        <v>PFES1162675260_0001</v>
      </c>
      <c r="L3785" s="21">
        <v>1</v>
      </c>
      <c r="M3785" s="21">
        <v>1</v>
      </c>
    </row>
    <row r="3786" spans="1:13">
      <c r="A3786" s="6">
        <v>43522</v>
      </c>
      <c r="B3786" s="7">
        <v>0.56874999999999998</v>
      </c>
      <c r="C3786" s="21" t="str">
        <f>"FES1162675336"</f>
        <v>FES1162675336</v>
      </c>
      <c r="D3786" s="21" t="s">
        <v>18</v>
      </c>
      <c r="E3786" s="21" t="s">
        <v>269</v>
      </c>
      <c r="F3786" s="21" t="str">
        <f>"2170674721 "</f>
        <v xml:space="preserve">2170674721 </v>
      </c>
      <c r="G3786" s="21" t="str">
        <f t="shared" si="106"/>
        <v>ON1</v>
      </c>
      <c r="H3786" s="21" t="s">
        <v>20</v>
      </c>
      <c r="I3786" s="21" t="s">
        <v>270</v>
      </c>
      <c r="J3786" s="21" t="str">
        <f>""</f>
        <v/>
      </c>
      <c r="K3786" s="21" t="str">
        <f>"PFES1162675336_0001"</f>
        <v>PFES1162675336_0001</v>
      </c>
      <c r="L3786" s="21">
        <v>1</v>
      </c>
      <c r="M3786" s="21">
        <v>1</v>
      </c>
    </row>
    <row r="3787" spans="1:13">
      <c r="A3787" s="6">
        <v>43522</v>
      </c>
      <c r="B3787" s="7">
        <v>0.56874999999999998</v>
      </c>
      <c r="C3787" s="21" t="str">
        <f>"FES1162675368"</f>
        <v>FES1162675368</v>
      </c>
      <c r="D3787" s="21" t="s">
        <v>18</v>
      </c>
      <c r="E3787" s="21" t="s">
        <v>474</v>
      </c>
      <c r="F3787" s="21" t="str">
        <f>"2170673897 "</f>
        <v xml:space="preserve">2170673897 </v>
      </c>
      <c r="G3787" s="21" t="str">
        <f t="shared" si="106"/>
        <v>ON1</v>
      </c>
      <c r="H3787" s="21" t="s">
        <v>20</v>
      </c>
      <c r="I3787" s="21" t="s">
        <v>475</v>
      </c>
      <c r="J3787" s="21" t="str">
        <f>""</f>
        <v/>
      </c>
      <c r="K3787" s="21" t="str">
        <f>"PFES1162675368_0001"</f>
        <v>PFES1162675368_0001</v>
      </c>
      <c r="L3787" s="21">
        <v>1</v>
      </c>
      <c r="M3787" s="21">
        <v>1</v>
      </c>
    </row>
    <row r="3788" spans="1:13">
      <c r="A3788" s="6">
        <v>43522</v>
      </c>
      <c r="B3788" s="7">
        <v>0.56805555555555554</v>
      </c>
      <c r="C3788" s="21" t="str">
        <f>"FES1162675229"</f>
        <v>FES1162675229</v>
      </c>
      <c r="D3788" s="21" t="s">
        <v>18</v>
      </c>
      <c r="E3788" s="21" t="s">
        <v>1129</v>
      </c>
      <c r="F3788" s="21" t="str">
        <f>"2170674338 "</f>
        <v xml:space="preserve">2170674338 </v>
      </c>
      <c r="G3788" s="21" t="str">
        <f t="shared" si="106"/>
        <v>ON1</v>
      </c>
      <c r="H3788" s="21" t="s">
        <v>20</v>
      </c>
      <c r="I3788" s="21" t="s">
        <v>43</v>
      </c>
      <c r="J3788" s="21" t="str">
        <f>""</f>
        <v/>
      </c>
      <c r="K3788" s="21" t="str">
        <f>"PFES1162675229_0001"</f>
        <v>PFES1162675229_0001</v>
      </c>
      <c r="L3788" s="21">
        <v>1</v>
      </c>
      <c r="M3788" s="21">
        <v>1</v>
      </c>
    </row>
    <row r="3789" spans="1:13">
      <c r="A3789" s="6">
        <v>43522</v>
      </c>
      <c r="B3789" s="7">
        <v>0.56736111111111109</v>
      </c>
      <c r="C3789" s="21" t="str">
        <f>"FES1162675319"</f>
        <v>FES1162675319</v>
      </c>
      <c r="D3789" s="21" t="s">
        <v>18</v>
      </c>
      <c r="E3789" s="21" t="s">
        <v>1185</v>
      </c>
      <c r="F3789" s="21" t="str">
        <f>"2170674434 "</f>
        <v xml:space="preserve">2170674434 </v>
      </c>
      <c r="G3789" s="21" t="str">
        <f t="shared" si="106"/>
        <v>ON1</v>
      </c>
      <c r="H3789" s="21" t="s">
        <v>20</v>
      </c>
      <c r="I3789" s="21" t="s">
        <v>433</v>
      </c>
      <c r="J3789" s="21" t="str">
        <f>""</f>
        <v/>
      </c>
      <c r="K3789" s="21" t="str">
        <f>"PFES1162675319_0001"</f>
        <v>PFES1162675319_0001</v>
      </c>
      <c r="L3789" s="21">
        <v>1</v>
      </c>
      <c r="M3789" s="21">
        <v>1</v>
      </c>
    </row>
    <row r="3790" spans="1:13">
      <c r="A3790" s="6">
        <v>43522</v>
      </c>
      <c r="B3790" s="7">
        <v>0.56666666666666665</v>
      </c>
      <c r="C3790" s="21" t="str">
        <f>"FES1162675309"</f>
        <v>FES1162675309</v>
      </c>
      <c r="D3790" s="21" t="s">
        <v>18</v>
      </c>
      <c r="E3790" s="21" t="s">
        <v>223</v>
      </c>
      <c r="F3790" s="21" t="str">
        <f>"2170674191 "</f>
        <v xml:space="preserve">2170674191 </v>
      </c>
      <c r="G3790" s="21" t="str">
        <f t="shared" si="106"/>
        <v>ON1</v>
      </c>
      <c r="H3790" s="21" t="s">
        <v>20</v>
      </c>
      <c r="I3790" s="21" t="s">
        <v>81</v>
      </c>
      <c r="J3790" s="21" t="str">
        <f>""</f>
        <v/>
      </c>
      <c r="K3790" s="21" t="str">
        <f>"PFES1162675309_0001"</f>
        <v>PFES1162675309_0001</v>
      </c>
      <c r="L3790" s="21">
        <v>1</v>
      </c>
      <c r="M3790" s="21">
        <v>1</v>
      </c>
    </row>
    <row r="3791" spans="1:13">
      <c r="A3791" s="6">
        <v>43522</v>
      </c>
      <c r="B3791" s="7">
        <v>0.56666666666666665</v>
      </c>
      <c r="C3791" s="21" t="str">
        <f>"FES1162675385"</f>
        <v>FES1162675385</v>
      </c>
      <c r="D3791" s="21" t="s">
        <v>18</v>
      </c>
      <c r="E3791" s="21" t="s">
        <v>482</v>
      </c>
      <c r="F3791" s="21" t="str">
        <f>"2170675967 "</f>
        <v xml:space="preserve">2170675967 </v>
      </c>
      <c r="G3791" s="21" t="str">
        <f t="shared" si="106"/>
        <v>ON1</v>
      </c>
      <c r="H3791" s="21" t="s">
        <v>20</v>
      </c>
      <c r="I3791" s="21" t="s">
        <v>272</v>
      </c>
      <c r="J3791" s="21" t="str">
        <f>""</f>
        <v/>
      </c>
      <c r="K3791" s="21" t="str">
        <f>"PFES1162675385_0001"</f>
        <v>PFES1162675385_0001</v>
      </c>
      <c r="L3791" s="21">
        <v>1</v>
      </c>
      <c r="M3791" s="21">
        <v>1</v>
      </c>
    </row>
    <row r="3792" spans="1:13">
      <c r="A3792" s="6">
        <v>43522</v>
      </c>
      <c r="B3792" s="7">
        <v>0.56666666666666665</v>
      </c>
      <c r="C3792" s="21" t="str">
        <f>"FES1162675328"</f>
        <v>FES1162675328</v>
      </c>
      <c r="D3792" s="21" t="s">
        <v>18</v>
      </c>
      <c r="E3792" s="21" t="s">
        <v>1186</v>
      </c>
      <c r="F3792" s="21" t="str">
        <f>"2170674655 "</f>
        <v xml:space="preserve">2170674655 </v>
      </c>
      <c r="G3792" s="21" t="str">
        <f t="shared" si="106"/>
        <v>ON1</v>
      </c>
      <c r="H3792" s="21" t="s">
        <v>20</v>
      </c>
      <c r="I3792" s="21" t="s">
        <v>353</v>
      </c>
      <c r="J3792" s="21" t="str">
        <f>""</f>
        <v/>
      </c>
      <c r="K3792" s="21" t="str">
        <f>"PFES1162675328_0001"</f>
        <v>PFES1162675328_0001</v>
      </c>
      <c r="L3792" s="21">
        <v>1</v>
      </c>
      <c r="M3792" s="21">
        <v>1</v>
      </c>
    </row>
    <row r="3793" spans="1:13">
      <c r="A3793" s="6">
        <v>43522</v>
      </c>
      <c r="B3793" s="7">
        <v>0.56597222222222221</v>
      </c>
      <c r="C3793" s="21" t="str">
        <f>"FES1162675373"</f>
        <v>FES1162675373</v>
      </c>
      <c r="D3793" s="21" t="s">
        <v>18</v>
      </c>
      <c r="E3793" s="21" t="s">
        <v>19</v>
      </c>
      <c r="F3793" s="21" t="str">
        <f>"2170674162 "</f>
        <v xml:space="preserve">2170674162 </v>
      </c>
      <c r="G3793" s="21" t="str">
        <f t="shared" si="106"/>
        <v>ON1</v>
      </c>
      <c r="H3793" s="21" t="s">
        <v>20</v>
      </c>
      <c r="I3793" s="21" t="s">
        <v>21</v>
      </c>
      <c r="J3793" s="21" t="str">
        <f>""</f>
        <v/>
      </c>
      <c r="K3793" s="21" t="str">
        <f>"PFES1162675373_0001"</f>
        <v>PFES1162675373_0001</v>
      </c>
      <c r="L3793" s="21">
        <v>1</v>
      </c>
      <c r="M3793" s="21">
        <v>1</v>
      </c>
    </row>
    <row r="3794" spans="1:13">
      <c r="A3794" s="6">
        <v>43522</v>
      </c>
      <c r="B3794" s="7">
        <v>0.56597222222222221</v>
      </c>
      <c r="C3794" s="21" t="str">
        <f>"FES1162675276"</f>
        <v>FES1162675276</v>
      </c>
      <c r="D3794" s="21" t="s">
        <v>18</v>
      </c>
      <c r="E3794" s="21" t="s">
        <v>354</v>
      </c>
      <c r="F3794" s="21" t="str">
        <f>"2170672290 "</f>
        <v xml:space="preserve">2170672290 </v>
      </c>
      <c r="G3794" s="21" t="str">
        <f t="shared" si="106"/>
        <v>ON1</v>
      </c>
      <c r="H3794" s="21" t="s">
        <v>20</v>
      </c>
      <c r="I3794" s="21" t="s">
        <v>63</v>
      </c>
      <c r="J3794" s="21" t="str">
        <f>""</f>
        <v/>
      </c>
      <c r="K3794" s="21" t="str">
        <f>"PFES1162675276_0001"</f>
        <v>PFES1162675276_0001</v>
      </c>
      <c r="L3794" s="21">
        <v>1</v>
      </c>
      <c r="M3794" s="21">
        <v>1</v>
      </c>
    </row>
    <row r="3795" spans="1:13">
      <c r="A3795" s="6">
        <v>43522</v>
      </c>
      <c r="B3795" s="7">
        <v>0.56527777777777777</v>
      </c>
      <c r="C3795" s="21" t="str">
        <f>"FES1162675311"</f>
        <v>FES1162675311</v>
      </c>
      <c r="D3795" s="21" t="s">
        <v>18</v>
      </c>
      <c r="E3795" s="21" t="s">
        <v>770</v>
      </c>
      <c r="F3795" s="21" t="str">
        <f>"2170674207 "</f>
        <v xml:space="preserve">2170674207 </v>
      </c>
      <c r="G3795" s="21" t="str">
        <f t="shared" si="106"/>
        <v>ON1</v>
      </c>
      <c r="H3795" s="21" t="s">
        <v>20</v>
      </c>
      <c r="I3795" s="21" t="s">
        <v>99</v>
      </c>
      <c r="J3795" s="21" t="str">
        <f>""</f>
        <v/>
      </c>
      <c r="K3795" s="21" t="str">
        <f>"PFES1162675311_0001"</f>
        <v>PFES1162675311_0001</v>
      </c>
      <c r="L3795" s="21">
        <v>1</v>
      </c>
      <c r="M3795" s="21">
        <v>1</v>
      </c>
    </row>
    <row r="3796" spans="1:13">
      <c r="A3796" s="6">
        <v>43522</v>
      </c>
      <c r="B3796" s="7">
        <v>0.56527777777777777</v>
      </c>
      <c r="C3796" s="21" t="str">
        <f>"FES1162675371"</f>
        <v>FES1162675371</v>
      </c>
      <c r="D3796" s="21" t="s">
        <v>18</v>
      </c>
      <c r="E3796" s="21" t="s">
        <v>19</v>
      </c>
      <c r="F3796" s="21" t="str">
        <f>"2170674093 "</f>
        <v xml:space="preserve">2170674093 </v>
      </c>
      <c r="G3796" s="21" t="str">
        <f t="shared" si="106"/>
        <v>ON1</v>
      </c>
      <c r="H3796" s="21" t="s">
        <v>20</v>
      </c>
      <c r="I3796" s="21" t="s">
        <v>21</v>
      </c>
      <c r="J3796" s="21" t="str">
        <f>""</f>
        <v/>
      </c>
      <c r="K3796" s="21" t="str">
        <f>"PFES1162675371_0001"</f>
        <v>PFES1162675371_0001</v>
      </c>
      <c r="L3796" s="21">
        <v>1</v>
      </c>
      <c r="M3796" s="21">
        <v>1</v>
      </c>
    </row>
    <row r="3797" spans="1:13">
      <c r="A3797" s="6">
        <v>43522</v>
      </c>
      <c r="B3797" s="7">
        <v>0.56458333333333333</v>
      </c>
      <c r="C3797" s="21" t="str">
        <f>"FES1162675379"</f>
        <v>FES1162675379</v>
      </c>
      <c r="D3797" s="21" t="s">
        <v>18</v>
      </c>
      <c r="E3797" s="21" t="s">
        <v>924</v>
      </c>
      <c r="F3797" s="21" t="str">
        <f>"2170675245 "</f>
        <v xml:space="preserve">2170675245 </v>
      </c>
      <c r="G3797" s="21" t="str">
        <f t="shared" si="106"/>
        <v>ON1</v>
      </c>
      <c r="H3797" s="21" t="s">
        <v>20</v>
      </c>
      <c r="I3797" s="21" t="s">
        <v>441</v>
      </c>
      <c r="J3797" s="21" t="str">
        <f>""</f>
        <v/>
      </c>
      <c r="K3797" s="21" t="str">
        <f>"PFES1162675379_0001"</f>
        <v>PFES1162675379_0001</v>
      </c>
      <c r="L3797" s="21">
        <v>1</v>
      </c>
      <c r="M3797" s="21">
        <v>1</v>
      </c>
    </row>
    <row r="3798" spans="1:13">
      <c r="A3798" s="6">
        <v>43522</v>
      </c>
      <c r="B3798" s="7">
        <v>0.56458333333333333</v>
      </c>
      <c r="C3798" s="21" t="str">
        <f>"FES1162675408"</f>
        <v>FES1162675408</v>
      </c>
      <c r="D3798" s="21" t="s">
        <v>18</v>
      </c>
      <c r="E3798" s="21" t="s">
        <v>178</v>
      </c>
      <c r="F3798" s="21" t="str">
        <f>"2170676267 "</f>
        <v xml:space="preserve">2170676267 </v>
      </c>
      <c r="G3798" s="21" t="str">
        <f t="shared" si="106"/>
        <v>ON1</v>
      </c>
      <c r="H3798" s="21" t="s">
        <v>20</v>
      </c>
      <c r="I3798" s="21" t="s">
        <v>390</v>
      </c>
      <c r="J3798" s="21" t="str">
        <f>""</f>
        <v/>
      </c>
      <c r="K3798" s="21" t="str">
        <f>"PFES1162675408_0001"</f>
        <v>PFES1162675408_0001</v>
      </c>
      <c r="L3798" s="21">
        <v>1</v>
      </c>
      <c r="M3798" s="21">
        <v>1</v>
      </c>
    </row>
    <row r="3799" spans="1:13">
      <c r="A3799" s="6">
        <v>43522</v>
      </c>
      <c r="B3799" s="7">
        <v>0.56388888888888888</v>
      </c>
      <c r="C3799" s="21" t="str">
        <f>"FES1162675310"</f>
        <v>FES1162675310</v>
      </c>
      <c r="D3799" s="21" t="s">
        <v>18</v>
      </c>
      <c r="E3799" s="21" t="s">
        <v>858</v>
      </c>
      <c r="F3799" s="21" t="str">
        <f>"2170674194 "</f>
        <v xml:space="preserve">2170674194 </v>
      </c>
      <c r="G3799" s="21" t="str">
        <f t="shared" si="106"/>
        <v>ON1</v>
      </c>
      <c r="H3799" s="21" t="s">
        <v>20</v>
      </c>
      <c r="I3799" s="21" t="s">
        <v>153</v>
      </c>
      <c r="J3799" s="21" t="str">
        <f>""</f>
        <v/>
      </c>
      <c r="K3799" s="21" t="str">
        <f>"PFES1162675310_0001"</f>
        <v>PFES1162675310_0001</v>
      </c>
      <c r="L3799" s="21">
        <v>1</v>
      </c>
      <c r="M3799" s="21">
        <v>1</v>
      </c>
    </row>
    <row r="3800" spans="1:13">
      <c r="A3800" s="6">
        <v>43522</v>
      </c>
      <c r="B3800" s="7">
        <v>0.56388888888888888</v>
      </c>
      <c r="C3800" s="21" t="str">
        <f>"FES1162675378"</f>
        <v>FES1162675378</v>
      </c>
      <c r="D3800" s="21" t="s">
        <v>18</v>
      </c>
      <c r="E3800" s="21" t="s">
        <v>235</v>
      </c>
      <c r="F3800" s="21" t="str">
        <f>"2170674982 "</f>
        <v xml:space="preserve">2170674982 </v>
      </c>
      <c r="G3800" s="21" t="str">
        <f t="shared" si="106"/>
        <v>ON1</v>
      </c>
      <c r="H3800" s="21" t="s">
        <v>20</v>
      </c>
      <c r="I3800" s="21" t="s">
        <v>143</v>
      </c>
      <c r="J3800" s="21" t="str">
        <f>""</f>
        <v/>
      </c>
      <c r="K3800" s="21" t="str">
        <f>"PFES1162675378_0001"</f>
        <v>PFES1162675378_0001</v>
      </c>
      <c r="L3800" s="21">
        <v>1</v>
      </c>
      <c r="M3800" s="21">
        <v>1</v>
      </c>
    </row>
    <row r="3801" spans="1:13">
      <c r="A3801" s="6">
        <v>43522</v>
      </c>
      <c r="B3801" s="7">
        <v>0.56319444444444444</v>
      </c>
      <c r="C3801" s="21" t="str">
        <f>"FES1162675277"</f>
        <v>FES1162675277</v>
      </c>
      <c r="D3801" s="21" t="s">
        <v>18</v>
      </c>
      <c r="E3801" s="21" t="s">
        <v>620</v>
      </c>
      <c r="F3801" s="21" t="str">
        <f>"217067684 "</f>
        <v xml:space="preserve">217067684 </v>
      </c>
      <c r="G3801" s="21" t="str">
        <f t="shared" si="106"/>
        <v>ON1</v>
      </c>
      <c r="H3801" s="21" t="s">
        <v>20</v>
      </c>
      <c r="I3801" s="21" t="s">
        <v>573</v>
      </c>
      <c r="J3801" s="21" t="str">
        <f>""</f>
        <v/>
      </c>
      <c r="K3801" s="21" t="str">
        <f>"PFES1162675277_0001"</f>
        <v>PFES1162675277_0001</v>
      </c>
      <c r="L3801" s="21">
        <v>1</v>
      </c>
      <c r="M3801" s="21">
        <v>1</v>
      </c>
    </row>
    <row r="3802" spans="1:13">
      <c r="A3802" s="6">
        <v>43522</v>
      </c>
      <c r="B3802" s="7">
        <v>0.56319444444444444</v>
      </c>
      <c r="C3802" s="21" t="str">
        <f>"FES1162675307"</f>
        <v>FES1162675307</v>
      </c>
      <c r="D3802" s="21" t="s">
        <v>18</v>
      </c>
      <c r="E3802" s="21" t="s">
        <v>1038</v>
      </c>
      <c r="F3802" s="21" t="str">
        <f>"2170674169 "</f>
        <v xml:space="preserve">2170674169 </v>
      </c>
      <c r="G3802" s="21" t="str">
        <f t="shared" si="106"/>
        <v>ON1</v>
      </c>
      <c r="H3802" s="21" t="s">
        <v>20</v>
      </c>
      <c r="I3802" s="21" t="s">
        <v>635</v>
      </c>
      <c r="J3802" s="21" t="str">
        <f>""</f>
        <v/>
      </c>
      <c r="K3802" s="21" t="str">
        <f>"PFES1162675307_0001"</f>
        <v>PFES1162675307_0001</v>
      </c>
      <c r="L3802" s="21">
        <v>1</v>
      </c>
      <c r="M3802" s="21">
        <v>1</v>
      </c>
    </row>
    <row r="3803" spans="1:13">
      <c r="A3803" s="6">
        <v>43522</v>
      </c>
      <c r="B3803" s="7">
        <v>0.5625</v>
      </c>
      <c r="C3803" s="21" t="str">
        <f>"009935792000"</f>
        <v>009935792000</v>
      </c>
      <c r="D3803" s="21" t="s">
        <v>18</v>
      </c>
      <c r="E3803" s="21" t="s">
        <v>1187</v>
      </c>
      <c r="F3803" s="21" t="str">
        <f>"2170676293 "</f>
        <v xml:space="preserve">2170676293 </v>
      </c>
      <c r="G3803" s="21" t="str">
        <f t="shared" si="106"/>
        <v>ON1</v>
      </c>
      <c r="H3803" s="21" t="s">
        <v>20</v>
      </c>
      <c r="I3803" s="21" t="s">
        <v>260</v>
      </c>
      <c r="J3803" s="21" t="str">
        <f>""</f>
        <v/>
      </c>
      <c r="K3803" s="21" t="str">
        <f>"P009935792000_0001"</f>
        <v>P009935792000_0001</v>
      </c>
      <c r="L3803" s="21">
        <v>1</v>
      </c>
      <c r="M3803" s="21">
        <v>1</v>
      </c>
    </row>
    <row r="3804" spans="1:13">
      <c r="A3804" s="6">
        <v>43522</v>
      </c>
      <c r="B3804" s="7">
        <v>0.55555555555555558</v>
      </c>
      <c r="C3804" s="21" t="str">
        <f>"009935723024"</f>
        <v>009935723024</v>
      </c>
      <c r="D3804" s="21" t="s">
        <v>18</v>
      </c>
      <c r="E3804" s="21" t="s">
        <v>649</v>
      </c>
      <c r="F3804" s="21" t="str">
        <f>"1162672250 "</f>
        <v xml:space="preserve">1162672250 </v>
      </c>
      <c r="G3804" s="21" t="str">
        <f t="shared" si="106"/>
        <v>ON1</v>
      </c>
      <c r="H3804" s="21" t="s">
        <v>20</v>
      </c>
      <c r="I3804" s="21" t="s">
        <v>475</v>
      </c>
      <c r="J3804" s="21" t="str">
        <f>""</f>
        <v/>
      </c>
      <c r="K3804" s="21" t="str">
        <f>"P009935723024_0001"</f>
        <v>P009935723024_0001</v>
      </c>
      <c r="L3804" s="21">
        <v>1</v>
      </c>
      <c r="M3804" s="21">
        <v>1</v>
      </c>
    </row>
    <row r="3805" spans="1:13">
      <c r="A3805" s="6">
        <v>43522</v>
      </c>
      <c r="B3805" s="7">
        <v>0.55277777777777781</v>
      </c>
      <c r="C3805" s="21" t="str">
        <f>"FES1162675390"</f>
        <v>FES1162675390</v>
      </c>
      <c r="D3805" s="21" t="s">
        <v>18</v>
      </c>
      <c r="E3805" s="21" t="s">
        <v>291</v>
      </c>
      <c r="F3805" s="21" t="str">
        <f>"2170676245 "</f>
        <v xml:space="preserve">2170676245 </v>
      </c>
      <c r="G3805" s="21" t="str">
        <f t="shared" si="106"/>
        <v>ON1</v>
      </c>
      <c r="H3805" s="21" t="s">
        <v>20</v>
      </c>
      <c r="I3805" s="21" t="s">
        <v>139</v>
      </c>
      <c r="J3805" s="21" t="str">
        <f>""</f>
        <v/>
      </c>
      <c r="K3805" s="21" t="str">
        <f>"PFES1162675390_0001"</f>
        <v>PFES1162675390_0001</v>
      </c>
      <c r="L3805" s="21">
        <v>1</v>
      </c>
      <c r="M3805" s="21">
        <v>1</v>
      </c>
    </row>
    <row r="3806" spans="1:13">
      <c r="A3806" s="6">
        <v>43522</v>
      </c>
      <c r="B3806" s="7">
        <v>0.55138888888888882</v>
      </c>
      <c r="C3806" s="21" t="str">
        <f>"FES1162675233"</f>
        <v>FES1162675233</v>
      </c>
      <c r="D3806" s="21" t="s">
        <v>18</v>
      </c>
      <c r="E3806" s="21" t="s">
        <v>620</v>
      </c>
      <c r="F3806" s="21" t="str">
        <f>"2170674711 "</f>
        <v xml:space="preserve">2170674711 </v>
      </c>
      <c r="G3806" s="21" t="str">
        <f t="shared" si="106"/>
        <v>ON1</v>
      </c>
      <c r="H3806" s="21" t="s">
        <v>20</v>
      </c>
      <c r="I3806" s="21" t="s">
        <v>573</v>
      </c>
      <c r="J3806" s="21" t="str">
        <f>""</f>
        <v/>
      </c>
      <c r="K3806" s="21" t="str">
        <f>"PFES1162675233_0001"</f>
        <v>PFES1162675233_0001</v>
      </c>
      <c r="L3806" s="21">
        <v>1</v>
      </c>
      <c r="M3806" s="21">
        <v>1</v>
      </c>
    </row>
    <row r="3807" spans="1:13">
      <c r="A3807" s="6">
        <v>43522</v>
      </c>
      <c r="B3807" s="7">
        <v>0.55069444444444449</v>
      </c>
      <c r="C3807" s="21" t="str">
        <f>"FES1162675265"</f>
        <v>FES1162675265</v>
      </c>
      <c r="D3807" s="21" t="s">
        <v>18</v>
      </c>
      <c r="E3807" s="21" t="s">
        <v>64</v>
      </c>
      <c r="F3807" s="21" t="str">
        <f>"2170676203 "</f>
        <v xml:space="preserve">2170676203 </v>
      </c>
      <c r="G3807" s="21" t="str">
        <f t="shared" si="106"/>
        <v>ON1</v>
      </c>
      <c r="H3807" s="21" t="s">
        <v>20</v>
      </c>
      <c r="I3807" s="21" t="s">
        <v>65</v>
      </c>
      <c r="J3807" s="21" t="str">
        <f>""</f>
        <v/>
      </c>
      <c r="K3807" s="21" t="str">
        <f>"PFES1162675265_0001"</f>
        <v>PFES1162675265_0001</v>
      </c>
      <c r="L3807" s="21">
        <v>1</v>
      </c>
      <c r="M3807" s="21">
        <v>1</v>
      </c>
    </row>
    <row r="3808" spans="1:13">
      <c r="A3808" s="6">
        <v>43522</v>
      </c>
      <c r="B3808" s="7">
        <v>0.5493055555555556</v>
      </c>
      <c r="C3808" s="21" t="str">
        <f>"FES1162675217"</f>
        <v>FES1162675217</v>
      </c>
      <c r="D3808" s="21" t="s">
        <v>18</v>
      </c>
      <c r="E3808" s="21" t="s">
        <v>1188</v>
      </c>
      <c r="F3808" s="21" t="str">
        <f>"2170646778 "</f>
        <v xml:space="preserve">2170646778 </v>
      </c>
      <c r="G3808" s="21" t="str">
        <f t="shared" si="106"/>
        <v>ON1</v>
      </c>
      <c r="H3808" s="21" t="s">
        <v>20</v>
      </c>
      <c r="I3808" s="21" t="s">
        <v>143</v>
      </c>
      <c r="J3808" s="21" t="str">
        <f>""</f>
        <v/>
      </c>
      <c r="K3808" s="21" t="str">
        <f>"PFES1162675217_0001"</f>
        <v>PFES1162675217_0001</v>
      </c>
      <c r="L3808" s="21">
        <v>1</v>
      </c>
      <c r="M3808" s="21">
        <v>1</v>
      </c>
    </row>
    <row r="3809" spans="1:13">
      <c r="A3809" s="6">
        <v>43522</v>
      </c>
      <c r="B3809" s="7">
        <v>0.54861111111111105</v>
      </c>
      <c r="C3809" s="21" t="str">
        <f>"FES1162675397"</f>
        <v>FES1162675397</v>
      </c>
      <c r="D3809" s="21" t="s">
        <v>18</v>
      </c>
      <c r="E3809" s="21" t="s">
        <v>169</v>
      </c>
      <c r="F3809" s="21" t="str">
        <f>"2170671852 "</f>
        <v xml:space="preserve">2170671852 </v>
      </c>
      <c r="G3809" s="21" t="str">
        <f t="shared" si="106"/>
        <v>ON1</v>
      </c>
      <c r="H3809" s="21" t="s">
        <v>20</v>
      </c>
      <c r="I3809" s="21" t="s">
        <v>87</v>
      </c>
      <c r="J3809" s="21" t="str">
        <f>""</f>
        <v/>
      </c>
      <c r="K3809" s="21" t="str">
        <f>"PFES1162675397_0001"</f>
        <v>PFES1162675397_0001</v>
      </c>
      <c r="L3809" s="21">
        <v>1</v>
      </c>
      <c r="M3809" s="21">
        <v>2</v>
      </c>
    </row>
    <row r="3810" spans="1:13">
      <c r="A3810" s="6">
        <v>43522</v>
      </c>
      <c r="B3810" s="7">
        <v>0.54791666666666672</v>
      </c>
      <c r="C3810" s="21" t="str">
        <f>"FES1162675326"</f>
        <v>FES1162675326</v>
      </c>
      <c r="D3810" s="21" t="s">
        <v>18</v>
      </c>
      <c r="E3810" s="21" t="s">
        <v>214</v>
      </c>
      <c r="F3810" s="21" t="str">
        <f>"2170674537 "</f>
        <v xml:space="preserve">2170674537 </v>
      </c>
      <c r="G3810" s="21" t="str">
        <f t="shared" ref="G3810:G3864" si="107">"ON1"</f>
        <v>ON1</v>
      </c>
      <c r="H3810" s="21" t="s">
        <v>20</v>
      </c>
      <c r="I3810" s="21" t="s">
        <v>215</v>
      </c>
      <c r="J3810" s="21" t="str">
        <f>""</f>
        <v/>
      </c>
      <c r="K3810" s="21" t="str">
        <f>"PFES1162675326_0001"</f>
        <v>PFES1162675326_0001</v>
      </c>
      <c r="L3810" s="21">
        <v>1</v>
      </c>
      <c r="M3810" s="21">
        <v>7</v>
      </c>
    </row>
    <row r="3811" spans="1:13">
      <c r="A3811" s="6">
        <v>43522</v>
      </c>
      <c r="B3811" s="7">
        <v>0.54652777777777783</v>
      </c>
      <c r="C3811" s="21" t="str">
        <f>"FES1162675320"</f>
        <v>FES1162675320</v>
      </c>
      <c r="D3811" s="21" t="s">
        <v>18</v>
      </c>
      <c r="E3811" s="21" t="s">
        <v>693</v>
      </c>
      <c r="F3811" s="21" t="str">
        <f>"2170674441 "</f>
        <v xml:space="preserve">2170674441 </v>
      </c>
      <c r="G3811" s="21" t="str">
        <f t="shared" si="107"/>
        <v>ON1</v>
      </c>
      <c r="H3811" s="21" t="s">
        <v>20</v>
      </c>
      <c r="I3811" s="21" t="s">
        <v>694</v>
      </c>
      <c r="J3811" s="21" t="str">
        <f>""</f>
        <v/>
      </c>
      <c r="K3811" s="21" t="str">
        <f>"PFES1162675320_0001"</f>
        <v>PFES1162675320_0001</v>
      </c>
      <c r="L3811" s="21">
        <v>1</v>
      </c>
      <c r="M3811" s="21">
        <v>4</v>
      </c>
    </row>
    <row r="3812" spans="1:13">
      <c r="A3812" s="6">
        <v>43522</v>
      </c>
      <c r="B3812" s="7">
        <v>0.54513888888888895</v>
      </c>
      <c r="C3812" s="21" t="str">
        <f>"FES1162675189"</f>
        <v>FES1162675189</v>
      </c>
      <c r="D3812" s="21" t="s">
        <v>18</v>
      </c>
      <c r="E3812" s="21" t="s">
        <v>1189</v>
      </c>
      <c r="F3812" s="21" t="str">
        <f>"2170676154 "</f>
        <v xml:space="preserve">2170676154 </v>
      </c>
      <c r="G3812" s="21" t="str">
        <f t="shared" si="107"/>
        <v>ON1</v>
      </c>
      <c r="H3812" s="21" t="s">
        <v>20</v>
      </c>
      <c r="I3812" s="21" t="s">
        <v>1190</v>
      </c>
      <c r="J3812" s="21" t="str">
        <f>""</f>
        <v/>
      </c>
      <c r="K3812" s="21" t="str">
        <f>"PFES1162675189_0001"</f>
        <v>PFES1162675189_0001</v>
      </c>
      <c r="L3812" s="21">
        <v>1</v>
      </c>
      <c r="M3812" s="21">
        <v>4</v>
      </c>
    </row>
    <row r="3813" spans="1:13">
      <c r="A3813" s="6">
        <v>43522</v>
      </c>
      <c r="B3813" s="7">
        <v>0.54375000000000007</v>
      </c>
      <c r="C3813" s="21" t="str">
        <f>"FES1162675111"</f>
        <v>FES1162675111</v>
      </c>
      <c r="D3813" s="21" t="s">
        <v>18</v>
      </c>
      <c r="E3813" s="21" t="s">
        <v>331</v>
      </c>
      <c r="F3813" s="21" t="str">
        <f>"2170653966 "</f>
        <v xml:space="preserve">2170653966 </v>
      </c>
      <c r="G3813" s="21" t="str">
        <f t="shared" si="107"/>
        <v>ON1</v>
      </c>
      <c r="H3813" s="21" t="s">
        <v>20</v>
      </c>
      <c r="I3813" s="21" t="s">
        <v>43</v>
      </c>
      <c r="J3813" s="21" t="str">
        <f>""</f>
        <v/>
      </c>
      <c r="K3813" s="21" t="str">
        <f>"PFES1162675111_0001"</f>
        <v>PFES1162675111_0001</v>
      </c>
      <c r="L3813" s="21">
        <v>1</v>
      </c>
      <c r="M3813" s="21">
        <v>7</v>
      </c>
    </row>
    <row r="3814" spans="1:13">
      <c r="A3814" s="6">
        <v>43522</v>
      </c>
      <c r="B3814" s="7">
        <v>0.54236111111111118</v>
      </c>
      <c r="C3814" s="21" t="str">
        <f>"FES1162675248"</f>
        <v>FES1162675248</v>
      </c>
      <c r="D3814" s="21" t="s">
        <v>18</v>
      </c>
      <c r="E3814" s="21" t="s">
        <v>168</v>
      </c>
      <c r="F3814" s="21" t="str">
        <f>"2170675549 "</f>
        <v xml:space="preserve">2170675549 </v>
      </c>
      <c r="G3814" s="21" t="str">
        <f t="shared" si="107"/>
        <v>ON1</v>
      </c>
      <c r="H3814" s="21" t="s">
        <v>20</v>
      </c>
      <c r="I3814" s="21" t="s">
        <v>63</v>
      </c>
      <c r="J3814" s="21" t="str">
        <f>""</f>
        <v/>
      </c>
      <c r="K3814" s="21" t="str">
        <f>"PFES1162675248_0001"</f>
        <v>PFES1162675248_0001</v>
      </c>
      <c r="L3814" s="21">
        <v>1</v>
      </c>
      <c r="M3814" s="21">
        <v>2</v>
      </c>
    </row>
    <row r="3815" spans="1:13">
      <c r="A3815" s="6">
        <v>43522</v>
      </c>
      <c r="B3815" s="7">
        <v>0.54097222222222219</v>
      </c>
      <c r="C3815" s="21" t="str">
        <f>"FES1162675298"</f>
        <v>FES1162675298</v>
      </c>
      <c r="D3815" s="21" t="s">
        <v>18</v>
      </c>
      <c r="E3815" s="21" t="s">
        <v>140</v>
      </c>
      <c r="F3815" s="21" t="str">
        <f>"2170674018 "</f>
        <v xml:space="preserve">2170674018 </v>
      </c>
      <c r="G3815" s="21" t="str">
        <f t="shared" si="107"/>
        <v>ON1</v>
      </c>
      <c r="H3815" s="21" t="s">
        <v>20</v>
      </c>
      <c r="I3815" s="21" t="s">
        <v>141</v>
      </c>
      <c r="J3815" s="21" t="str">
        <f>""</f>
        <v/>
      </c>
      <c r="K3815" s="21" t="str">
        <f>"PFES1162675298_0001"</f>
        <v>PFES1162675298_0001</v>
      </c>
      <c r="L3815" s="21">
        <v>1</v>
      </c>
      <c r="M3815" s="21">
        <v>1</v>
      </c>
    </row>
    <row r="3816" spans="1:13">
      <c r="A3816" s="6">
        <v>43522</v>
      </c>
      <c r="B3816" s="7">
        <v>0.54027777777777775</v>
      </c>
      <c r="C3816" s="21" t="str">
        <f>"FES1162675257"</f>
        <v>FES1162675257</v>
      </c>
      <c r="D3816" s="21" t="s">
        <v>18</v>
      </c>
      <c r="E3816" s="21" t="s">
        <v>19</v>
      </c>
      <c r="F3816" s="21" t="str">
        <f>"21706767190 "</f>
        <v xml:space="preserve">21706767190 </v>
      </c>
      <c r="G3816" s="21" t="str">
        <f t="shared" si="107"/>
        <v>ON1</v>
      </c>
      <c r="H3816" s="21" t="s">
        <v>20</v>
      </c>
      <c r="I3816" s="21" t="s">
        <v>21</v>
      </c>
      <c r="J3816" s="21" t="str">
        <f>""</f>
        <v/>
      </c>
      <c r="K3816" s="21" t="str">
        <f>"PFES1162675257_0001"</f>
        <v>PFES1162675257_0001</v>
      </c>
      <c r="L3816" s="21">
        <v>1</v>
      </c>
      <c r="M3816" s="21">
        <v>1</v>
      </c>
    </row>
    <row r="3817" spans="1:13">
      <c r="A3817" s="6">
        <v>43522</v>
      </c>
      <c r="B3817" s="7">
        <v>0.54027777777777775</v>
      </c>
      <c r="C3817" s="21" t="str">
        <f>"FES1162675253"</f>
        <v>FES1162675253</v>
      </c>
      <c r="D3817" s="21" t="s">
        <v>18</v>
      </c>
      <c r="E3817" s="21" t="s">
        <v>730</v>
      </c>
      <c r="F3817" s="21" t="str">
        <f>"2170675865 "</f>
        <v xml:space="preserve">2170675865 </v>
      </c>
      <c r="G3817" s="21" t="str">
        <f t="shared" si="107"/>
        <v>ON1</v>
      </c>
      <c r="H3817" s="21" t="s">
        <v>20</v>
      </c>
      <c r="I3817" s="21" t="s">
        <v>731</v>
      </c>
      <c r="J3817" s="21" t="str">
        <f>""</f>
        <v/>
      </c>
      <c r="K3817" s="21" t="str">
        <f>"PFES1162675253_0001"</f>
        <v>PFES1162675253_0001</v>
      </c>
      <c r="L3817" s="21">
        <v>1</v>
      </c>
      <c r="M3817" s="21">
        <v>1</v>
      </c>
    </row>
    <row r="3818" spans="1:13">
      <c r="A3818" s="6">
        <v>43522</v>
      </c>
      <c r="B3818" s="7">
        <v>0.5395833333333333</v>
      </c>
      <c r="C3818" s="21" t="str">
        <f>"FES1162675317"</f>
        <v>FES1162675317</v>
      </c>
      <c r="D3818" s="21" t="s">
        <v>18</v>
      </c>
      <c r="E3818" s="21" t="s">
        <v>942</v>
      </c>
      <c r="F3818" s="21" t="str">
        <f>"2170674384 "</f>
        <v xml:space="preserve">2170674384 </v>
      </c>
      <c r="G3818" s="21" t="str">
        <f t="shared" si="107"/>
        <v>ON1</v>
      </c>
      <c r="H3818" s="21" t="s">
        <v>20</v>
      </c>
      <c r="I3818" s="21" t="s">
        <v>237</v>
      </c>
      <c r="J3818" s="21" t="str">
        <f>""</f>
        <v/>
      </c>
      <c r="K3818" s="21" t="str">
        <f>"PFES1162675317_0001"</f>
        <v>PFES1162675317_0001</v>
      </c>
      <c r="L3818" s="21">
        <v>1</v>
      </c>
      <c r="M3818" s="21">
        <v>2</v>
      </c>
    </row>
    <row r="3819" spans="1:13">
      <c r="A3819" s="6">
        <v>43522</v>
      </c>
      <c r="B3819" s="7">
        <v>0.53819444444444442</v>
      </c>
      <c r="C3819" s="21" t="str">
        <f>"FES1162675268"</f>
        <v>FES1162675268</v>
      </c>
      <c r="D3819" s="21" t="s">
        <v>18</v>
      </c>
      <c r="E3819" s="21" t="s">
        <v>1191</v>
      </c>
      <c r="F3819" s="21" t="str">
        <f>"2170676212 "</f>
        <v xml:space="preserve">2170676212 </v>
      </c>
      <c r="G3819" s="21" t="str">
        <f t="shared" si="107"/>
        <v>ON1</v>
      </c>
      <c r="H3819" s="21" t="s">
        <v>20</v>
      </c>
      <c r="I3819" s="21" t="s">
        <v>256</v>
      </c>
      <c r="J3819" s="21" t="str">
        <f>""</f>
        <v/>
      </c>
      <c r="K3819" s="21" t="str">
        <f>"PFES1162675268_0001"</f>
        <v>PFES1162675268_0001</v>
      </c>
      <c r="L3819" s="21">
        <v>1</v>
      </c>
      <c r="M3819" s="21">
        <v>2</v>
      </c>
    </row>
    <row r="3820" spans="1:13">
      <c r="A3820" s="6">
        <v>43522</v>
      </c>
      <c r="B3820" s="7">
        <v>0.53680555555555554</v>
      </c>
      <c r="C3820" s="21" t="str">
        <f>"FES1162675157"</f>
        <v>FES1162675157</v>
      </c>
      <c r="D3820" s="21" t="s">
        <v>18</v>
      </c>
      <c r="E3820" s="21" t="s">
        <v>368</v>
      </c>
      <c r="F3820" s="21" t="str">
        <f>"2170675907 "</f>
        <v xml:space="preserve">2170675907 </v>
      </c>
      <c r="G3820" s="21" t="str">
        <f t="shared" si="107"/>
        <v>ON1</v>
      </c>
      <c r="H3820" s="21" t="s">
        <v>20</v>
      </c>
      <c r="I3820" s="21" t="s">
        <v>369</v>
      </c>
      <c r="J3820" s="21" t="str">
        <f>""</f>
        <v/>
      </c>
      <c r="K3820" s="21" t="str">
        <f>"PFES1162675157_0001"</f>
        <v>PFES1162675157_0001</v>
      </c>
      <c r="L3820" s="21">
        <v>1</v>
      </c>
      <c r="M3820" s="21">
        <v>3</v>
      </c>
    </row>
    <row r="3821" spans="1:13">
      <c r="A3821" s="6">
        <v>43522</v>
      </c>
      <c r="B3821" s="7">
        <v>0.53541666666666665</v>
      </c>
      <c r="C3821" s="21" t="str">
        <f>"FES1162675244"</f>
        <v>FES1162675244</v>
      </c>
      <c r="D3821" s="21" t="s">
        <v>18</v>
      </c>
      <c r="E3821" s="21" t="s">
        <v>195</v>
      </c>
      <c r="F3821" s="21" t="str">
        <f>"2170675436 "</f>
        <v xml:space="preserve">2170675436 </v>
      </c>
      <c r="G3821" s="21" t="str">
        <f t="shared" si="107"/>
        <v>ON1</v>
      </c>
      <c r="H3821" s="21" t="s">
        <v>20</v>
      </c>
      <c r="I3821" s="21" t="s">
        <v>96</v>
      </c>
      <c r="J3821" s="21" t="str">
        <f>""</f>
        <v/>
      </c>
      <c r="K3821" s="21" t="str">
        <f>"PFES1162675244_0001"</f>
        <v>PFES1162675244_0001</v>
      </c>
      <c r="L3821" s="21">
        <v>1</v>
      </c>
      <c r="M3821" s="21">
        <v>2</v>
      </c>
    </row>
    <row r="3822" spans="1:13">
      <c r="A3822" s="6">
        <v>43522</v>
      </c>
      <c r="B3822" s="7">
        <v>0.53402777777777777</v>
      </c>
      <c r="C3822" s="21" t="str">
        <f>"FES1162675245"</f>
        <v>FES1162675245</v>
      </c>
      <c r="D3822" s="21" t="s">
        <v>18</v>
      </c>
      <c r="E3822" s="21" t="s">
        <v>178</v>
      </c>
      <c r="F3822" s="21" t="str">
        <f>"2170674548 "</f>
        <v xml:space="preserve">2170674548 </v>
      </c>
      <c r="G3822" s="21" t="str">
        <f t="shared" si="107"/>
        <v>ON1</v>
      </c>
      <c r="H3822" s="21" t="s">
        <v>20</v>
      </c>
      <c r="I3822" s="21" t="s">
        <v>31</v>
      </c>
      <c r="J3822" s="21" t="str">
        <f>""</f>
        <v/>
      </c>
      <c r="K3822" s="21" t="str">
        <f>"PFES1162675245_0001"</f>
        <v>PFES1162675245_0001</v>
      </c>
      <c r="L3822" s="21">
        <v>1</v>
      </c>
      <c r="M3822" s="21">
        <v>1</v>
      </c>
    </row>
    <row r="3823" spans="1:13">
      <c r="A3823" s="6">
        <v>43522</v>
      </c>
      <c r="B3823" s="7">
        <v>0.53402777777777777</v>
      </c>
      <c r="C3823" s="21" t="str">
        <f>"FES1162675322"</f>
        <v>FES1162675322</v>
      </c>
      <c r="D3823" s="21" t="s">
        <v>18</v>
      </c>
      <c r="E3823" s="21" t="s">
        <v>672</v>
      </c>
      <c r="F3823" s="21" t="str">
        <f>"2170674470 "</f>
        <v xml:space="preserve">2170674470 </v>
      </c>
      <c r="G3823" s="21" t="str">
        <f t="shared" si="107"/>
        <v>ON1</v>
      </c>
      <c r="H3823" s="21" t="s">
        <v>20</v>
      </c>
      <c r="I3823" s="21" t="s">
        <v>31</v>
      </c>
      <c r="J3823" s="21" t="str">
        <f>""</f>
        <v/>
      </c>
      <c r="K3823" s="21" t="str">
        <f>"PFES1162675322_0001"</f>
        <v>PFES1162675322_0001</v>
      </c>
      <c r="L3823" s="21">
        <v>1</v>
      </c>
      <c r="M3823" s="21">
        <v>1</v>
      </c>
    </row>
    <row r="3824" spans="1:13">
      <c r="A3824" s="6">
        <v>43522</v>
      </c>
      <c r="B3824" s="7">
        <v>0.53333333333333333</v>
      </c>
      <c r="C3824" s="21" t="str">
        <f>"FES1162675269"</f>
        <v>FES1162675269</v>
      </c>
      <c r="D3824" s="21" t="s">
        <v>18</v>
      </c>
      <c r="E3824" s="21" t="s">
        <v>798</v>
      </c>
      <c r="F3824" s="21" t="str">
        <f>"2170676201 "</f>
        <v xml:space="preserve">2170676201 </v>
      </c>
      <c r="G3824" s="21" t="str">
        <f t="shared" si="107"/>
        <v>ON1</v>
      </c>
      <c r="H3824" s="21" t="s">
        <v>20</v>
      </c>
      <c r="I3824" s="21" t="s">
        <v>708</v>
      </c>
      <c r="J3824" s="21" t="str">
        <f>""</f>
        <v/>
      </c>
      <c r="K3824" s="21" t="str">
        <f>"PFES1162675269_0001"</f>
        <v>PFES1162675269_0001</v>
      </c>
      <c r="L3824" s="21">
        <v>1</v>
      </c>
      <c r="M3824" s="21">
        <v>2</v>
      </c>
    </row>
    <row r="3825" spans="1:13">
      <c r="A3825" s="6">
        <v>43522</v>
      </c>
      <c r="B3825" s="7">
        <v>0.53333333333333333</v>
      </c>
      <c r="C3825" s="21" t="str">
        <f>"FES1162675352"</f>
        <v>FES1162675352</v>
      </c>
      <c r="D3825" s="21" t="s">
        <v>18</v>
      </c>
      <c r="E3825" s="21" t="s">
        <v>704</v>
      </c>
      <c r="F3825" s="21" t="str">
        <f>"2170673336 "</f>
        <v xml:space="preserve">2170673336 </v>
      </c>
      <c r="G3825" s="21" t="str">
        <f t="shared" si="107"/>
        <v>ON1</v>
      </c>
      <c r="H3825" s="21" t="s">
        <v>20</v>
      </c>
      <c r="I3825" s="21" t="s">
        <v>228</v>
      </c>
      <c r="J3825" s="21" t="str">
        <f>""</f>
        <v/>
      </c>
      <c r="K3825" s="21" t="str">
        <f>"PFES1162675352_0001"</f>
        <v>PFES1162675352_0001</v>
      </c>
      <c r="L3825" s="21">
        <v>1</v>
      </c>
      <c r="M3825" s="21">
        <v>1</v>
      </c>
    </row>
    <row r="3826" spans="1:13">
      <c r="A3826" s="6">
        <v>43522</v>
      </c>
      <c r="B3826" s="7">
        <v>0.53263888888888888</v>
      </c>
      <c r="C3826" s="21" t="str">
        <f>"FES1162675412"</f>
        <v>FES1162675412</v>
      </c>
      <c r="D3826" s="21" t="s">
        <v>18</v>
      </c>
      <c r="E3826" s="21" t="s">
        <v>160</v>
      </c>
      <c r="F3826" s="21" t="str">
        <f>"2170676273 "</f>
        <v xml:space="preserve">2170676273 </v>
      </c>
      <c r="G3826" s="21" t="str">
        <f t="shared" si="107"/>
        <v>ON1</v>
      </c>
      <c r="H3826" s="21" t="s">
        <v>20</v>
      </c>
      <c r="I3826" s="21" t="s">
        <v>161</v>
      </c>
      <c r="J3826" s="21" t="str">
        <f>""</f>
        <v/>
      </c>
      <c r="K3826" s="21" t="str">
        <f>"PFES1162675412_0001"</f>
        <v>PFES1162675412_0001</v>
      </c>
      <c r="L3826" s="21">
        <v>1</v>
      </c>
      <c r="M3826" s="21">
        <v>1</v>
      </c>
    </row>
    <row r="3827" spans="1:13">
      <c r="A3827" s="6">
        <v>43522</v>
      </c>
      <c r="B3827" s="7">
        <v>0.53263888888888888</v>
      </c>
      <c r="C3827" s="21" t="str">
        <f>"FES1162675256"</f>
        <v>FES1162675256</v>
      </c>
      <c r="D3827" s="21" t="s">
        <v>18</v>
      </c>
      <c r="E3827" s="21" t="s">
        <v>482</v>
      </c>
      <c r="F3827" s="21" t="str">
        <f>"2170675967 "</f>
        <v xml:space="preserve">2170675967 </v>
      </c>
      <c r="G3827" s="21" t="str">
        <f t="shared" si="107"/>
        <v>ON1</v>
      </c>
      <c r="H3827" s="21" t="s">
        <v>20</v>
      </c>
      <c r="I3827" s="21" t="s">
        <v>272</v>
      </c>
      <c r="J3827" s="21" t="str">
        <f>""</f>
        <v/>
      </c>
      <c r="K3827" s="21" t="str">
        <f>"PFES1162675256_0001"</f>
        <v>PFES1162675256_0001</v>
      </c>
      <c r="L3827" s="21">
        <v>1</v>
      </c>
      <c r="M3827" s="21">
        <v>1</v>
      </c>
    </row>
    <row r="3828" spans="1:13">
      <c r="A3828" s="6">
        <v>43522</v>
      </c>
      <c r="B3828" s="7">
        <v>0.53263888888888888</v>
      </c>
      <c r="C3828" s="21" t="str">
        <f>"FES1162675308"</f>
        <v>FES1162675308</v>
      </c>
      <c r="D3828" s="21" t="s">
        <v>18</v>
      </c>
      <c r="E3828" s="21" t="s">
        <v>426</v>
      </c>
      <c r="F3828" s="21" t="str">
        <f>"2170674185 "</f>
        <v xml:space="preserve">2170674185 </v>
      </c>
      <c r="G3828" s="21" t="str">
        <f t="shared" si="107"/>
        <v>ON1</v>
      </c>
      <c r="H3828" s="21" t="s">
        <v>20</v>
      </c>
      <c r="I3828" s="21" t="s">
        <v>29</v>
      </c>
      <c r="J3828" s="21" t="str">
        <f>""</f>
        <v/>
      </c>
      <c r="K3828" s="21" t="str">
        <f>"PFES1162675308_0001"</f>
        <v>PFES1162675308_0001</v>
      </c>
      <c r="L3828" s="21">
        <v>1</v>
      </c>
      <c r="M3828" s="21">
        <v>1</v>
      </c>
    </row>
    <row r="3829" spans="1:13">
      <c r="A3829" s="6">
        <v>43522</v>
      </c>
      <c r="B3829" s="7">
        <v>0.53194444444444444</v>
      </c>
      <c r="C3829" s="21" t="str">
        <f>"FES1162675266"</f>
        <v>FES1162675266</v>
      </c>
      <c r="D3829" s="21" t="s">
        <v>18</v>
      </c>
      <c r="E3829" s="21" t="s">
        <v>358</v>
      </c>
      <c r="F3829" s="21" t="str">
        <f>"2170676207 "</f>
        <v xml:space="preserve">2170676207 </v>
      </c>
      <c r="G3829" s="21" t="str">
        <f t="shared" si="107"/>
        <v>ON1</v>
      </c>
      <c r="H3829" s="21" t="s">
        <v>20</v>
      </c>
      <c r="I3829" s="21" t="s">
        <v>130</v>
      </c>
      <c r="J3829" s="21" t="str">
        <f>""</f>
        <v/>
      </c>
      <c r="K3829" s="21" t="str">
        <f>"PFES1162675266_0001"</f>
        <v>PFES1162675266_0001</v>
      </c>
      <c r="L3829" s="21">
        <v>1</v>
      </c>
      <c r="M3829" s="21">
        <v>1</v>
      </c>
    </row>
    <row r="3830" spans="1:13">
      <c r="A3830" s="6">
        <v>43522</v>
      </c>
      <c r="B3830" s="7">
        <v>0.53194444444444444</v>
      </c>
      <c r="C3830" s="21" t="str">
        <f>"FES1162675393"</f>
        <v>FES1162675393</v>
      </c>
      <c r="D3830" s="21" t="s">
        <v>18</v>
      </c>
      <c r="E3830" s="21" t="s">
        <v>138</v>
      </c>
      <c r="F3830" s="21" t="str">
        <f>"217067248 "</f>
        <v xml:space="preserve">217067248 </v>
      </c>
      <c r="G3830" s="21" t="str">
        <f t="shared" si="107"/>
        <v>ON1</v>
      </c>
      <c r="H3830" s="21" t="s">
        <v>20</v>
      </c>
      <c r="I3830" s="21" t="s">
        <v>139</v>
      </c>
      <c r="J3830" s="21" t="str">
        <f>""</f>
        <v/>
      </c>
      <c r="K3830" s="21" t="str">
        <f>"PFES1162675393_0001"</f>
        <v>PFES1162675393_0001</v>
      </c>
      <c r="L3830" s="21">
        <v>1</v>
      </c>
      <c r="M3830" s="21">
        <v>1</v>
      </c>
    </row>
    <row r="3831" spans="1:13">
      <c r="A3831" s="6">
        <v>43522</v>
      </c>
      <c r="B3831" s="7">
        <v>0.53194444444444444</v>
      </c>
      <c r="C3831" s="21" t="str">
        <f>"FES1162675357"</f>
        <v>FES1162675357</v>
      </c>
      <c r="D3831" s="21" t="s">
        <v>18</v>
      </c>
      <c r="E3831" s="21" t="s">
        <v>138</v>
      </c>
      <c r="F3831" s="21" t="str">
        <f>"2170673616 "</f>
        <v xml:space="preserve">2170673616 </v>
      </c>
      <c r="G3831" s="21" t="str">
        <f t="shared" si="107"/>
        <v>ON1</v>
      </c>
      <c r="H3831" s="21" t="s">
        <v>20</v>
      </c>
      <c r="I3831" s="21" t="s">
        <v>139</v>
      </c>
      <c r="J3831" s="21" t="str">
        <f>""</f>
        <v/>
      </c>
      <c r="K3831" s="21" t="str">
        <f>"PFES1162675357_0001"</f>
        <v>PFES1162675357_0001</v>
      </c>
      <c r="L3831" s="21">
        <v>1</v>
      </c>
      <c r="M3831" s="21">
        <v>1</v>
      </c>
    </row>
    <row r="3832" spans="1:13">
      <c r="A3832" s="6">
        <v>43522</v>
      </c>
      <c r="B3832" s="7">
        <v>0.53125</v>
      </c>
      <c r="C3832" s="21" t="str">
        <f>"FES1162675346"</f>
        <v>FES1162675346</v>
      </c>
      <c r="D3832" s="21" t="s">
        <v>18</v>
      </c>
      <c r="E3832" s="21" t="s">
        <v>129</v>
      </c>
      <c r="F3832" s="21" t="str">
        <f>"2170675463 "</f>
        <v xml:space="preserve">2170675463 </v>
      </c>
      <c r="G3832" s="21" t="str">
        <f t="shared" si="107"/>
        <v>ON1</v>
      </c>
      <c r="H3832" s="21" t="s">
        <v>20</v>
      </c>
      <c r="I3832" s="21" t="s">
        <v>130</v>
      </c>
      <c r="J3832" s="21" t="str">
        <f>""</f>
        <v/>
      </c>
      <c r="K3832" s="21" t="str">
        <f>"PFES1162675346_0001"</f>
        <v>PFES1162675346_0001</v>
      </c>
      <c r="L3832" s="21">
        <v>1</v>
      </c>
      <c r="M3832" s="21">
        <v>1</v>
      </c>
    </row>
    <row r="3833" spans="1:13">
      <c r="A3833" s="6">
        <v>43522</v>
      </c>
      <c r="B3833" s="7">
        <v>0.53125</v>
      </c>
      <c r="C3833" s="21" t="str">
        <f>"FES1162675387"</f>
        <v>FES1162675387</v>
      </c>
      <c r="D3833" s="21" t="s">
        <v>18</v>
      </c>
      <c r="E3833" s="21" t="s">
        <v>138</v>
      </c>
      <c r="F3833" s="21" t="str">
        <f>"2170676242 "</f>
        <v xml:space="preserve">2170676242 </v>
      </c>
      <c r="G3833" s="21" t="str">
        <f t="shared" si="107"/>
        <v>ON1</v>
      </c>
      <c r="H3833" s="21" t="s">
        <v>20</v>
      </c>
      <c r="I3833" s="21" t="s">
        <v>139</v>
      </c>
      <c r="J3833" s="21" t="str">
        <f>""</f>
        <v/>
      </c>
      <c r="K3833" s="21" t="str">
        <f>"PFES1162675387_0001"</f>
        <v>PFES1162675387_0001</v>
      </c>
      <c r="L3833" s="21">
        <v>1</v>
      </c>
      <c r="M3833" s="21">
        <v>1</v>
      </c>
    </row>
    <row r="3834" spans="1:13">
      <c r="A3834" s="6">
        <v>43522</v>
      </c>
      <c r="B3834" s="7">
        <v>0.53125</v>
      </c>
      <c r="C3834" s="21" t="str">
        <f>"FES1162675230"</f>
        <v>FES1162675230</v>
      </c>
      <c r="D3834" s="21" t="s">
        <v>18</v>
      </c>
      <c r="E3834" s="21" t="s">
        <v>138</v>
      </c>
      <c r="F3834" s="21" t="str">
        <f>"2170674391 "</f>
        <v xml:space="preserve">2170674391 </v>
      </c>
      <c r="G3834" s="21" t="str">
        <f t="shared" si="107"/>
        <v>ON1</v>
      </c>
      <c r="H3834" s="21" t="s">
        <v>20</v>
      </c>
      <c r="I3834" s="21" t="s">
        <v>139</v>
      </c>
      <c r="J3834" s="21" t="str">
        <f>""</f>
        <v/>
      </c>
      <c r="K3834" s="21" t="str">
        <f>"PFES1162675230_0001"</f>
        <v>PFES1162675230_0001</v>
      </c>
      <c r="L3834" s="21">
        <v>1</v>
      </c>
      <c r="M3834" s="21">
        <v>1</v>
      </c>
    </row>
    <row r="3835" spans="1:13">
      <c r="A3835" s="6">
        <v>43522</v>
      </c>
      <c r="B3835" s="7">
        <v>0.53125</v>
      </c>
      <c r="C3835" s="21" t="str">
        <f>"FES1162675409"</f>
        <v>FES1162675409</v>
      </c>
      <c r="D3835" s="21" t="s">
        <v>18</v>
      </c>
      <c r="E3835" s="21" t="s">
        <v>138</v>
      </c>
      <c r="F3835" s="21" t="str">
        <f>"2170676269 "</f>
        <v xml:space="preserve">2170676269 </v>
      </c>
      <c r="G3835" s="21" t="str">
        <f t="shared" si="107"/>
        <v>ON1</v>
      </c>
      <c r="H3835" s="21" t="s">
        <v>20</v>
      </c>
      <c r="I3835" s="21" t="s">
        <v>139</v>
      </c>
      <c r="J3835" s="21" t="str">
        <f>""</f>
        <v/>
      </c>
      <c r="K3835" s="21" t="str">
        <f>"PFES1162675409_0001"</f>
        <v>PFES1162675409_0001</v>
      </c>
      <c r="L3835" s="21">
        <v>1</v>
      </c>
      <c r="M3835" s="21">
        <v>1</v>
      </c>
    </row>
    <row r="3836" spans="1:13">
      <c r="A3836" s="6">
        <v>43522</v>
      </c>
      <c r="B3836" s="7">
        <v>0.53055555555555556</v>
      </c>
      <c r="C3836" s="21" t="str">
        <f>"FES1162675225"</f>
        <v>FES1162675225</v>
      </c>
      <c r="D3836" s="21" t="s">
        <v>18</v>
      </c>
      <c r="E3836" s="21" t="s">
        <v>47</v>
      </c>
      <c r="F3836" s="21" t="str">
        <f>"21706763417 "</f>
        <v xml:space="preserve">21706763417 </v>
      </c>
      <c r="G3836" s="21" t="str">
        <f t="shared" si="107"/>
        <v>ON1</v>
      </c>
      <c r="H3836" s="21" t="s">
        <v>20</v>
      </c>
      <c r="I3836" s="21" t="s">
        <v>48</v>
      </c>
      <c r="J3836" s="21" t="str">
        <f>""</f>
        <v/>
      </c>
      <c r="K3836" s="21" t="str">
        <f>"PFES1162675225_0001"</f>
        <v>PFES1162675225_0001</v>
      </c>
      <c r="L3836" s="21">
        <v>1</v>
      </c>
      <c r="M3836" s="21">
        <v>1</v>
      </c>
    </row>
    <row r="3837" spans="1:13">
      <c r="A3837" s="6">
        <v>43522</v>
      </c>
      <c r="B3837" s="7">
        <v>0.53055555555555556</v>
      </c>
      <c r="C3837" s="21" t="str">
        <f>"FES1162675143"</f>
        <v>FES1162675143</v>
      </c>
      <c r="D3837" s="21" t="s">
        <v>18</v>
      </c>
      <c r="E3837" s="21" t="s">
        <v>186</v>
      </c>
      <c r="F3837" s="21" t="str">
        <f>"2170676116 "</f>
        <v xml:space="preserve">2170676116 </v>
      </c>
      <c r="G3837" s="21" t="str">
        <f t="shared" si="107"/>
        <v>ON1</v>
      </c>
      <c r="H3837" s="21" t="s">
        <v>20</v>
      </c>
      <c r="I3837" s="21" t="s">
        <v>48</v>
      </c>
      <c r="J3837" s="21" t="str">
        <f>""</f>
        <v/>
      </c>
      <c r="K3837" s="21" t="str">
        <f>"PFES1162675143_0001"</f>
        <v>PFES1162675143_0001</v>
      </c>
      <c r="L3837" s="21">
        <v>1</v>
      </c>
      <c r="M3837" s="21">
        <v>1</v>
      </c>
    </row>
    <row r="3838" spans="1:13">
      <c r="A3838" s="6">
        <v>43522</v>
      </c>
      <c r="B3838" s="7">
        <v>0.52916666666666667</v>
      </c>
      <c r="C3838" s="21" t="str">
        <f>"FES1162675381"</f>
        <v>FES1162675381</v>
      </c>
      <c r="D3838" s="21" t="s">
        <v>18</v>
      </c>
      <c r="E3838" s="21" t="s">
        <v>907</v>
      </c>
      <c r="F3838" s="21" t="str">
        <f>"2170675822 "</f>
        <v xml:space="preserve">2170675822 </v>
      </c>
      <c r="G3838" s="21" t="str">
        <f t="shared" si="107"/>
        <v>ON1</v>
      </c>
      <c r="H3838" s="21" t="s">
        <v>20</v>
      </c>
      <c r="I3838" s="21" t="s">
        <v>635</v>
      </c>
      <c r="J3838" s="21" t="str">
        <f>""</f>
        <v/>
      </c>
      <c r="K3838" s="21" t="str">
        <f>"PFES1162675381_0001"</f>
        <v>PFES1162675381_0001</v>
      </c>
      <c r="L3838" s="21">
        <v>1</v>
      </c>
      <c r="M3838" s="21">
        <v>1</v>
      </c>
    </row>
    <row r="3839" spans="1:13">
      <c r="A3839" s="6">
        <v>43522</v>
      </c>
      <c r="B3839" s="7">
        <v>0.52916666666666667</v>
      </c>
      <c r="C3839" s="21" t="str">
        <f>"FES1162675251"</f>
        <v>FES1162675251</v>
      </c>
      <c r="D3839" s="21" t="s">
        <v>18</v>
      </c>
      <c r="E3839" s="21" t="s">
        <v>907</v>
      </c>
      <c r="F3839" s="21" t="str">
        <f>"2170675822 "</f>
        <v xml:space="preserve">2170675822 </v>
      </c>
      <c r="G3839" s="21" t="str">
        <f t="shared" si="107"/>
        <v>ON1</v>
      </c>
      <c r="H3839" s="21" t="s">
        <v>20</v>
      </c>
      <c r="I3839" s="21" t="s">
        <v>635</v>
      </c>
      <c r="J3839" s="21" t="str">
        <f>""</f>
        <v/>
      </c>
      <c r="K3839" s="21" t="str">
        <f>"PFES1162675251_0001"</f>
        <v>PFES1162675251_0001</v>
      </c>
      <c r="L3839" s="21">
        <v>1</v>
      </c>
      <c r="M3839" s="21">
        <v>1</v>
      </c>
    </row>
    <row r="3840" spans="1:13">
      <c r="A3840" s="6">
        <v>43522</v>
      </c>
      <c r="B3840" s="7">
        <v>0.52847222222222223</v>
      </c>
      <c r="C3840" s="21" t="str">
        <f>"FES1162675288"</f>
        <v>FES1162675288</v>
      </c>
      <c r="D3840" s="21" t="s">
        <v>18</v>
      </c>
      <c r="E3840" s="21" t="s">
        <v>1192</v>
      </c>
      <c r="F3840" s="21" t="str">
        <f>"2170676233 "</f>
        <v xml:space="preserve">2170676233 </v>
      </c>
      <c r="G3840" s="21" t="str">
        <f t="shared" si="107"/>
        <v>ON1</v>
      </c>
      <c r="H3840" s="21" t="s">
        <v>20</v>
      </c>
      <c r="I3840" s="21" t="s">
        <v>1193</v>
      </c>
      <c r="J3840" s="21" t="str">
        <f>""</f>
        <v/>
      </c>
      <c r="K3840" s="21" t="str">
        <f>"PFES1162675288_0001"</f>
        <v>PFES1162675288_0001</v>
      </c>
      <c r="L3840" s="21">
        <v>1</v>
      </c>
      <c r="M3840" s="21">
        <v>1</v>
      </c>
    </row>
    <row r="3841" spans="1:13">
      <c r="A3841" s="6">
        <v>43522</v>
      </c>
      <c r="B3841" s="7">
        <v>0.52777777777777779</v>
      </c>
      <c r="C3841" s="21" t="str">
        <f>"FES1162675316"</f>
        <v>FES1162675316</v>
      </c>
      <c r="D3841" s="21" t="s">
        <v>18</v>
      </c>
      <c r="E3841" s="21" t="s">
        <v>168</v>
      </c>
      <c r="F3841" s="21" t="str">
        <f>"2170674319 "</f>
        <v xml:space="preserve">2170674319 </v>
      </c>
      <c r="G3841" s="21" t="str">
        <f t="shared" si="107"/>
        <v>ON1</v>
      </c>
      <c r="H3841" s="21" t="s">
        <v>20</v>
      </c>
      <c r="I3841" s="21" t="s">
        <v>63</v>
      </c>
      <c r="J3841" s="21" t="str">
        <f>""</f>
        <v/>
      </c>
      <c r="K3841" s="21" t="str">
        <f>"PFES1162675316_0001"</f>
        <v>PFES1162675316_0001</v>
      </c>
      <c r="L3841" s="21">
        <v>1</v>
      </c>
      <c r="M3841" s="21">
        <v>1</v>
      </c>
    </row>
    <row r="3842" spans="1:13">
      <c r="A3842" s="6">
        <v>43522</v>
      </c>
      <c r="B3842" s="7">
        <v>0.52777777777777779</v>
      </c>
      <c r="C3842" s="21" t="str">
        <f>"FES1162675296"</f>
        <v>FES1162675296</v>
      </c>
      <c r="D3842" s="21" t="s">
        <v>18</v>
      </c>
      <c r="E3842" s="21" t="s">
        <v>913</v>
      </c>
      <c r="F3842" s="21" t="str">
        <f>"2170673312 "</f>
        <v xml:space="preserve">2170673312 </v>
      </c>
      <c r="G3842" s="21" t="str">
        <f t="shared" si="107"/>
        <v>ON1</v>
      </c>
      <c r="H3842" s="21" t="s">
        <v>20</v>
      </c>
      <c r="I3842" s="21" t="s">
        <v>635</v>
      </c>
      <c r="J3842" s="21" t="str">
        <f>""</f>
        <v/>
      </c>
      <c r="K3842" s="21" t="str">
        <f>"PFES1162675296_0001"</f>
        <v>PFES1162675296_0001</v>
      </c>
      <c r="L3842" s="21">
        <v>1</v>
      </c>
      <c r="M3842" s="21">
        <v>1</v>
      </c>
    </row>
    <row r="3843" spans="1:13">
      <c r="A3843" s="6">
        <v>43522</v>
      </c>
      <c r="B3843" s="7">
        <v>0.52708333333333335</v>
      </c>
      <c r="C3843" s="21" t="str">
        <f>"FES1162675330"</f>
        <v>FES1162675330</v>
      </c>
      <c r="D3843" s="21" t="s">
        <v>18</v>
      </c>
      <c r="E3843" s="21" t="s">
        <v>269</v>
      </c>
      <c r="F3843" s="21" t="str">
        <f>"2170674663 "</f>
        <v xml:space="preserve">2170674663 </v>
      </c>
      <c r="G3843" s="21" t="str">
        <f t="shared" si="107"/>
        <v>ON1</v>
      </c>
      <c r="H3843" s="21" t="s">
        <v>20</v>
      </c>
      <c r="I3843" s="21" t="s">
        <v>53</v>
      </c>
      <c r="J3843" s="21" t="str">
        <f>""</f>
        <v/>
      </c>
      <c r="K3843" s="21" t="str">
        <f>"PFES1162675330_0001"</f>
        <v>PFES1162675330_0001</v>
      </c>
      <c r="L3843" s="21">
        <v>1</v>
      </c>
      <c r="M3843" s="21">
        <v>1</v>
      </c>
    </row>
    <row r="3844" spans="1:13">
      <c r="A3844" s="6">
        <v>43522</v>
      </c>
      <c r="B3844" s="7">
        <v>0.52708333333333335</v>
      </c>
      <c r="C3844" s="21" t="str">
        <f>"FES1162675292"</f>
        <v>FES1162675292</v>
      </c>
      <c r="D3844" s="21" t="s">
        <v>18</v>
      </c>
      <c r="E3844" s="21" t="s">
        <v>129</v>
      </c>
      <c r="F3844" s="21" t="str">
        <f>"217067669134 "</f>
        <v xml:space="preserve">217067669134 </v>
      </c>
      <c r="G3844" s="21" t="str">
        <f t="shared" si="107"/>
        <v>ON1</v>
      </c>
      <c r="H3844" s="21" t="s">
        <v>20</v>
      </c>
      <c r="I3844" s="21" t="s">
        <v>130</v>
      </c>
      <c r="J3844" s="21" t="str">
        <f>""</f>
        <v/>
      </c>
      <c r="K3844" s="21" t="str">
        <f>"PFES1162675292_0001"</f>
        <v>PFES1162675292_0001</v>
      </c>
      <c r="L3844" s="21">
        <v>1</v>
      </c>
      <c r="M3844" s="21">
        <v>1</v>
      </c>
    </row>
    <row r="3845" spans="1:13">
      <c r="A3845" s="6">
        <v>43522</v>
      </c>
      <c r="B3845" s="7">
        <v>0.52708333333333335</v>
      </c>
      <c r="C3845" s="21" t="str">
        <f>"FES1162675144"</f>
        <v>FES1162675144</v>
      </c>
      <c r="D3845" s="21" t="s">
        <v>18</v>
      </c>
      <c r="E3845" s="21" t="s">
        <v>702</v>
      </c>
      <c r="F3845" s="21" t="str">
        <f>"2170676117 "</f>
        <v xml:space="preserve">2170676117 </v>
      </c>
      <c r="G3845" s="21" t="str">
        <f t="shared" si="107"/>
        <v>ON1</v>
      </c>
      <c r="H3845" s="21" t="s">
        <v>20</v>
      </c>
      <c r="I3845" s="21" t="s">
        <v>703</v>
      </c>
      <c r="J3845" s="21" t="str">
        <f>""</f>
        <v/>
      </c>
      <c r="K3845" s="21" t="str">
        <f>"PFES1162675144_0001"</f>
        <v>PFES1162675144_0001</v>
      </c>
      <c r="L3845" s="21">
        <v>1</v>
      </c>
      <c r="M3845" s="21">
        <v>2</v>
      </c>
    </row>
    <row r="3846" spans="1:13">
      <c r="A3846" s="6">
        <v>43522</v>
      </c>
      <c r="B3846" s="7">
        <v>0.52638888888888891</v>
      </c>
      <c r="C3846" s="21" t="str">
        <f>"FES1162675312"</f>
        <v>FES1162675312</v>
      </c>
      <c r="D3846" s="21" t="s">
        <v>18</v>
      </c>
      <c r="E3846" s="21" t="s">
        <v>160</v>
      </c>
      <c r="F3846" s="21" t="str">
        <f>"2170674228 "</f>
        <v xml:space="preserve">2170674228 </v>
      </c>
      <c r="G3846" s="21" t="str">
        <f t="shared" si="107"/>
        <v>ON1</v>
      </c>
      <c r="H3846" s="21" t="s">
        <v>20</v>
      </c>
      <c r="I3846" s="21" t="s">
        <v>161</v>
      </c>
      <c r="J3846" s="21" t="str">
        <f>""</f>
        <v/>
      </c>
      <c r="K3846" s="21" t="str">
        <f>"PFES1162675312_0001"</f>
        <v>PFES1162675312_0001</v>
      </c>
      <c r="L3846" s="21">
        <v>1</v>
      </c>
      <c r="M3846" s="21">
        <v>1</v>
      </c>
    </row>
    <row r="3847" spans="1:13">
      <c r="A3847" s="6">
        <v>43522</v>
      </c>
      <c r="B3847" s="7">
        <v>0.52569444444444446</v>
      </c>
      <c r="C3847" s="21" t="str">
        <f>"FES1162675372"</f>
        <v>FES1162675372</v>
      </c>
      <c r="D3847" s="21" t="s">
        <v>18</v>
      </c>
      <c r="E3847" s="21" t="s">
        <v>1194</v>
      </c>
      <c r="F3847" s="21" t="str">
        <f>"2170674131 "</f>
        <v xml:space="preserve">2170674131 </v>
      </c>
      <c r="G3847" s="21" t="str">
        <f t="shared" si="107"/>
        <v>ON1</v>
      </c>
      <c r="H3847" s="21" t="s">
        <v>20</v>
      </c>
      <c r="I3847" s="21" t="s">
        <v>35</v>
      </c>
      <c r="J3847" s="21" t="str">
        <f>""</f>
        <v/>
      </c>
      <c r="K3847" s="21" t="str">
        <f>"PFES1162675372_0001"</f>
        <v>PFES1162675372_0001</v>
      </c>
      <c r="L3847" s="21">
        <v>1</v>
      </c>
      <c r="M3847" s="21">
        <v>2</v>
      </c>
    </row>
    <row r="3848" spans="1:13">
      <c r="A3848" s="6">
        <v>43522</v>
      </c>
      <c r="B3848" s="7">
        <v>0.52569444444444446</v>
      </c>
      <c r="C3848" s="21" t="str">
        <f>"FES1162675234"</f>
        <v>FES1162675234</v>
      </c>
      <c r="D3848" s="21" t="s">
        <v>18</v>
      </c>
      <c r="E3848" s="21" t="s">
        <v>1005</v>
      </c>
      <c r="F3848" s="21" t="str">
        <f>"2170674841 "</f>
        <v xml:space="preserve">2170674841 </v>
      </c>
      <c r="G3848" s="21" t="str">
        <f t="shared" si="107"/>
        <v>ON1</v>
      </c>
      <c r="H3848" s="21" t="s">
        <v>20</v>
      </c>
      <c r="I3848" s="21" t="s">
        <v>1006</v>
      </c>
      <c r="J3848" s="21" t="str">
        <f>""</f>
        <v/>
      </c>
      <c r="K3848" s="21" t="str">
        <f>"PFES1162675234_0001"</f>
        <v>PFES1162675234_0001</v>
      </c>
      <c r="L3848" s="21">
        <v>1</v>
      </c>
      <c r="M3848" s="21">
        <v>1</v>
      </c>
    </row>
    <row r="3849" spans="1:13">
      <c r="A3849" s="6">
        <v>43522</v>
      </c>
      <c r="B3849" s="7">
        <v>0.52500000000000002</v>
      </c>
      <c r="C3849" s="21" t="str">
        <f>"FES1162675227"</f>
        <v>FES1162675227</v>
      </c>
      <c r="D3849" s="21" t="s">
        <v>18</v>
      </c>
      <c r="E3849" s="21" t="s">
        <v>1072</v>
      </c>
      <c r="F3849" s="21" t="str">
        <f>"2170673730 "</f>
        <v xml:space="preserve">2170673730 </v>
      </c>
      <c r="G3849" s="21" t="str">
        <f t="shared" si="107"/>
        <v>ON1</v>
      </c>
      <c r="H3849" s="21" t="s">
        <v>20</v>
      </c>
      <c r="I3849" s="21" t="s">
        <v>139</v>
      </c>
      <c r="J3849" s="21" t="str">
        <f>""</f>
        <v/>
      </c>
      <c r="K3849" s="21" t="str">
        <f>"PFES1162675227_0001"</f>
        <v>PFES1162675227_0001</v>
      </c>
      <c r="L3849" s="21">
        <v>1</v>
      </c>
      <c r="M3849" s="21">
        <v>1</v>
      </c>
    </row>
    <row r="3850" spans="1:13">
      <c r="A3850" s="6">
        <v>43522</v>
      </c>
      <c r="B3850" s="7">
        <v>0.52500000000000002</v>
      </c>
      <c r="C3850" s="21" t="str">
        <f>"FES1162675315"</f>
        <v>FES1162675315</v>
      </c>
      <c r="D3850" s="21" t="s">
        <v>18</v>
      </c>
      <c r="E3850" s="21" t="s">
        <v>556</v>
      </c>
      <c r="F3850" s="21" t="str">
        <f>"2170674264 "</f>
        <v xml:space="preserve">2170674264 </v>
      </c>
      <c r="G3850" s="21" t="str">
        <f t="shared" si="107"/>
        <v>ON1</v>
      </c>
      <c r="H3850" s="21" t="s">
        <v>20</v>
      </c>
      <c r="I3850" s="21" t="s">
        <v>435</v>
      </c>
      <c r="J3850" s="21" t="str">
        <f>""</f>
        <v/>
      </c>
      <c r="K3850" s="21" t="str">
        <f>"PFES1162675315_0001"</f>
        <v>PFES1162675315_0001</v>
      </c>
      <c r="L3850" s="21">
        <v>1</v>
      </c>
      <c r="M3850" s="21">
        <v>1</v>
      </c>
    </row>
    <row r="3851" spans="1:13">
      <c r="A3851" s="6">
        <v>43522</v>
      </c>
      <c r="B3851" s="7">
        <v>0.52430555555555558</v>
      </c>
      <c r="C3851" s="21" t="str">
        <f>"FES1162675224"</f>
        <v>FES1162675224</v>
      </c>
      <c r="D3851" s="21" t="s">
        <v>18</v>
      </c>
      <c r="E3851" s="21" t="s">
        <v>382</v>
      </c>
      <c r="F3851" s="21" t="str">
        <f>"2170673183 "</f>
        <v xml:space="preserve">2170673183 </v>
      </c>
      <c r="G3851" s="21" t="str">
        <f t="shared" si="107"/>
        <v>ON1</v>
      </c>
      <c r="H3851" s="21" t="s">
        <v>20</v>
      </c>
      <c r="I3851" s="21" t="s">
        <v>383</v>
      </c>
      <c r="J3851" s="21" t="str">
        <f>""</f>
        <v/>
      </c>
      <c r="K3851" s="21" t="str">
        <f>"PFES1162675224_0001"</f>
        <v>PFES1162675224_0001</v>
      </c>
      <c r="L3851" s="21">
        <v>1</v>
      </c>
      <c r="M3851" s="21">
        <v>1</v>
      </c>
    </row>
    <row r="3852" spans="1:13">
      <c r="A3852" s="6">
        <v>43522</v>
      </c>
      <c r="B3852" s="7">
        <v>0.52430555555555558</v>
      </c>
      <c r="C3852" s="21" t="str">
        <f>"FES1162675249"</f>
        <v>FES1162675249</v>
      </c>
      <c r="D3852" s="21" t="s">
        <v>18</v>
      </c>
      <c r="E3852" s="21" t="s">
        <v>1093</v>
      </c>
      <c r="F3852" s="21" t="str">
        <f>"2170675710 "</f>
        <v xml:space="preserve">2170675710 </v>
      </c>
      <c r="G3852" s="21" t="str">
        <f t="shared" si="107"/>
        <v>ON1</v>
      </c>
      <c r="H3852" s="21" t="s">
        <v>20</v>
      </c>
      <c r="I3852" s="21" t="s">
        <v>137</v>
      </c>
      <c r="J3852" s="21" t="str">
        <f>""</f>
        <v/>
      </c>
      <c r="K3852" s="21" t="str">
        <f>"PFES1162675249_0001"</f>
        <v>PFES1162675249_0001</v>
      </c>
      <c r="L3852" s="21">
        <v>1</v>
      </c>
      <c r="M3852" s="21">
        <v>1</v>
      </c>
    </row>
    <row r="3853" spans="1:13">
      <c r="A3853" s="6">
        <v>43522</v>
      </c>
      <c r="B3853" s="7">
        <v>0.5229166666666667</v>
      </c>
      <c r="C3853" s="21" t="str">
        <f>"FES1162675236"</f>
        <v>FES1162675236</v>
      </c>
      <c r="D3853" s="21" t="s">
        <v>18</v>
      </c>
      <c r="E3853" s="21" t="s">
        <v>140</v>
      </c>
      <c r="F3853" s="21" t="str">
        <f>"2170674929 "</f>
        <v xml:space="preserve">2170674929 </v>
      </c>
      <c r="G3853" s="21" t="str">
        <f t="shared" si="107"/>
        <v>ON1</v>
      </c>
      <c r="H3853" s="21" t="s">
        <v>20</v>
      </c>
      <c r="I3853" s="21" t="s">
        <v>141</v>
      </c>
      <c r="J3853" s="21" t="str">
        <f>""</f>
        <v/>
      </c>
      <c r="K3853" s="21" t="str">
        <f>"PFES1162675236_0001"</f>
        <v>PFES1162675236_0001</v>
      </c>
      <c r="L3853" s="21">
        <v>1</v>
      </c>
      <c r="M3853" s="21">
        <v>1</v>
      </c>
    </row>
    <row r="3854" spans="1:13">
      <c r="A3854" s="6">
        <v>43522</v>
      </c>
      <c r="B3854" s="7">
        <v>0.5229166666666667</v>
      </c>
      <c r="C3854" s="21" t="str">
        <f>"FES1162675232"</f>
        <v>FES1162675232</v>
      </c>
      <c r="D3854" s="21" t="s">
        <v>18</v>
      </c>
      <c r="E3854" s="21" t="s">
        <v>287</v>
      </c>
      <c r="F3854" s="21" t="str">
        <f>"2170674692 "</f>
        <v xml:space="preserve">2170674692 </v>
      </c>
      <c r="G3854" s="21" t="str">
        <f t="shared" si="107"/>
        <v>ON1</v>
      </c>
      <c r="H3854" s="21" t="s">
        <v>20</v>
      </c>
      <c r="I3854" s="21" t="s">
        <v>288</v>
      </c>
      <c r="J3854" s="21" t="str">
        <f>""</f>
        <v/>
      </c>
      <c r="K3854" s="21" t="str">
        <f>"PFES1162675232_0001"</f>
        <v>PFES1162675232_0001</v>
      </c>
      <c r="L3854" s="21">
        <v>1</v>
      </c>
      <c r="M3854" s="21">
        <v>1</v>
      </c>
    </row>
    <row r="3855" spans="1:13">
      <c r="A3855" s="6">
        <v>43522</v>
      </c>
      <c r="B3855" s="7">
        <v>0.52152777777777781</v>
      </c>
      <c r="C3855" s="21" t="str">
        <f>"FES1162675304"</f>
        <v>FES1162675304</v>
      </c>
      <c r="D3855" s="21" t="s">
        <v>18</v>
      </c>
      <c r="E3855" s="21" t="s">
        <v>69</v>
      </c>
      <c r="F3855" s="21" t="str">
        <f>"2170674121 "</f>
        <v xml:space="preserve">2170674121 </v>
      </c>
      <c r="G3855" s="21" t="str">
        <f t="shared" si="107"/>
        <v>ON1</v>
      </c>
      <c r="H3855" s="21" t="s">
        <v>20</v>
      </c>
      <c r="I3855" s="21" t="s">
        <v>70</v>
      </c>
      <c r="J3855" s="21" t="str">
        <f>""</f>
        <v/>
      </c>
      <c r="K3855" s="21" t="str">
        <f>"PFES1162675304_0001"</f>
        <v>PFES1162675304_0001</v>
      </c>
      <c r="L3855" s="21">
        <v>1</v>
      </c>
      <c r="M3855" s="21">
        <v>1</v>
      </c>
    </row>
    <row r="3856" spans="1:13">
      <c r="A3856" s="6">
        <v>43522</v>
      </c>
      <c r="B3856" s="7">
        <v>0.52152777777777781</v>
      </c>
      <c r="C3856" s="21" t="str">
        <f>"FES1162675359"</f>
        <v>FES1162675359</v>
      </c>
      <c r="D3856" s="21" t="s">
        <v>18</v>
      </c>
      <c r="E3856" s="21" t="s">
        <v>140</v>
      </c>
      <c r="F3856" s="21" t="str">
        <f>"2170673670 "</f>
        <v xml:space="preserve">2170673670 </v>
      </c>
      <c r="G3856" s="21" t="str">
        <f t="shared" si="107"/>
        <v>ON1</v>
      </c>
      <c r="H3856" s="21" t="s">
        <v>20</v>
      </c>
      <c r="I3856" s="21" t="s">
        <v>141</v>
      </c>
      <c r="J3856" s="21" t="str">
        <f>""</f>
        <v/>
      </c>
      <c r="K3856" s="21" t="str">
        <f>"PFES1162675359_0001"</f>
        <v>PFES1162675359_0001</v>
      </c>
      <c r="L3856" s="21">
        <v>1</v>
      </c>
      <c r="M3856" s="21">
        <v>1</v>
      </c>
    </row>
    <row r="3857" spans="1:13">
      <c r="A3857" s="6">
        <v>43522</v>
      </c>
      <c r="B3857" s="7">
        <v>0.51874999999999993</v>
      </c>
      <c r="C3857" s="21" t="str">
        <f>"FES1162675323"</f>
        <v>FES1162675323</v>
      </c>
      <c r="D3857" s="21" t="s">
        <v>18</v>
      </c>
      <c r="E3857" s="21" t="s">
        <v>451</v>
      </c>
      <c r="F3857" s="21" t="str">
        <f>"2170674510 "</f>
        <v xml:space="preserve">2170674510 </v>
      </c>
      <c r="G3857" s="21" t="str">
        <f t="shared" si="107"/>
        <v>ON1</v>
      </c>
      <c r="H3857" s="21" t="s">
        <v>20</v>
      </c>
      <c r="I3857" s="21" t="s">
        <v>149</v>
      </c>
      <c r="J3857" s="21" t="str">
        <f>""</f>
        <v/>
      </c>
      <c r="K3857" s="21" t="str">
        <f>"PFES1162675323_0001"</f>
        <v>PFES1162675323_0001</v>
      </c>
      <c r="L3857" s="21">
        <v>2</v>
      </c>
      <c r="M3857" s="21">
        <v>11</v>
      </c>
    </row>
    <row r="3858" spans="1:13">
      <c r="A3858" s="6">
        <v>43522</v>
      </c>
      <c r="B3858" s="7">
        <v>0.51874999999999993</v>
      </c>
      <c r="C3858" s="21" t="str">
        <f>"FES1162675323"</f>
        <v>FES1162675323</v>
      </c>
      <c r="D3858" s="21" t="s">
        <v>18</v>
      </c>
      <c r="E3858" s="21" t="s">
        <v>451</v>
      </c>
      <c r="F3858" s="21" t="str">
        <f>"2170674510 "</f>
        <v xml:space="preserve">2170674510 </v>
      </c>
      <c r="G3858" s="21" t="str">
        <f t="shared" si="107"/>
        <v>ON1</v>
      </c>
      <c r="H3858" s="21" t="s">
        <v>20</v>
      </c>
      <c r="I3858" s="21" t="s">
        <v>149</v>
      </c>
      <c r="J3858" s="21"/>
      <c r="K3858" s="21" t="str">
        <f>"PFES1162675323_0002"</f>
        <v>PFES1162675323_0002</v>
      </c>
      <c r="L3858" s="21">
        <v>2</v>
      </c>
      <c r="M3858" s="21">
        <v>11</v>
      </c>
    </row>
    <row r="3859" spans="1:13">
      <c r="A3859" s="6">
        <v>43522</v>
      </c>
      <c r="B3859" s="7">
        <v>0.51736111111111105</v>
      </c>
      <c r="C3859" s="21" t="str">
        <f>"FES1162675400"</f>
        <v>FES1162675400</v>
      </c>
      <c r="D3859" s="21" t="s">
        <v>18</v>
      </c>
      <c r="E3859" s="21" t="s">
        <v>140</v>
      </c>
      <c r="F3859" s="21" t="str">
        <f>"217067256 "</f>
        <v xml:space="preserve">217067256 </v>
      </c>
      <c r="G3859" s="21" t="str">
        <f t="shared" si="107"/>
        <v>ON1</v>
      </c>
      <c r="H3859" s="21" t="s">
        <v>20</v>
      </c>
      <c r="I3859" s="21" t="s">
        <v>141</v>
      </c>
      <c r="J3859" s="21" t="str">
        <f>""</f>
        <v/>
      </c>
      <c r="K3859" s="21" t="str">
        <f>"PFES1162675400_0001"</f>
        <v>PFES1162675400_0001</v>
      </c>
      <c r="L3859" s="21">
        <v>1</v>
      </c>
      <c r="M3859" s="21">
        <v>1</v>
      </c>
    </row>
    <row r="3860" spans="1:13">
      <c r="A3860" s="6">
        <v>43522</v>
      </c>
      <c r="B3860" s="7">
        <v>0.51666666666666672</v>
      </c>
      <c r="C3860" s="21" t="str">
        <f>"FES1162675321"</f>
        <v>FES1162675321</v>
      </c>
      <c r="D3860" s="21" t="s">
        <v>18</v>
      </c>
      <c r="E3860" s="21" t="s">
        <v>150</v>
      </c>
      <c r="F3860" s="21" t="str">
        <f>"2170674457 "</f>
        <v xml:space="preserve">2170674457 </v>
      </c>
      <c r="G3860" s="21" t="str">
        <f t="shared" si="107"/>
        <v>ON1</v>
      </c>
      <c r="H3860" s="21" t="s">
        <v>20</v>
      </c>
      <c r="I3860" s="21" t="s">
        <v>137</v>
      </c>
      <c r="J3860" s="21" t="str">
        <f>""</f>
        <v/>
      </c>
      <c r="K3860" s="21" t="str">
        <f>"PFES1162675321_0001"</f>
        <v>PFES1162675321_0001</v>
      </c>
      <c r="L3860" s="21">
        <v>1</v>
      </c>
      <c r="M3860" s="21">
        <v>1</v>
      </c>
    </row>
    <row r="3861" spans="1:13">
      <c r="A3861" s="6">
        <v>43522</v>
      </c>
      <c r="B3861" s="7">
        <v>0.51597222222222217</v>
      </c>
      <c r="C3861" s="21" t="str">
        <f>"FES1162675271"</f>
        <v>FES1162675271</v>
      </c>
      <c r="D3861" s="21" t="s">
        <v>18</v>
      </c>
      <c r="E3861" s="21" t="s">
        <v>339</v>
      </c>
      <c r="F3861" s="21" t="str">
        <f>"2170676241 "</f>
        <v xml:space="preserve">2170676241 </v>
      </c>
      <c r="G3861" s="21" t="str">
        <f t="shared" si="107"/>
        <v>ON1</v>
      </c>
      <c r="H3861" s="21" t="s">
        <v>20</v>
      </c>
      <c r="I3861" s="21" t="s">
        <v>37</v>
      </c>
      <c r="J3861" s="21" t="str">
        <f>""</f>
        <v/>
      </c>
      <c r="K3861" s="21" t="str">
        <f>"PFES1162675271_0001"</f>
        <v>PFES1162675271_0001</v>
      </c>
      <c r="L3861" s="21">
        <v>1</v>
      </c>
      <c r="M3861" s="21">
        <v>1</v>
      </c>
    </row>
    <row r="3862" spans="1:13">
      <c r="A3862" s="6">
        <v>43522</v>
      </c>
      <c r="B3862" s="7">
        <v>0.51597222222222217</v>
      </c>
      <c r="C3862" s="21" t="str">
        <f>"FES1162675383"</f>
        <v>FES1162675383</v>
      </c>
      <c r="D3862" s="21" t="s">
        <v>18</v>
      </c>
      <c r="E3862" s="21" t="s">
        <v>140</v>
      </c>
      <c r="F3862" s="21" t="str">
        <f>"2170675852 "</f>
        <v xml:space="preserve">2170675852 </v>
      </c>
      <c r="G3862" s="21" t="str">
        <f t="shared" si="107"/>
        <v>ON1</v>
      </c>
      <c r="H3862" s="21" t="s">
        <v>20</v>
      </c>
      <c r="I3862" s="21" t="s">
        <v>141</v>
      </c>
      <c r="J3862" s="21" t="str">
        <f>""</f>
        <v/>
      </c>
      <c r="K3862" s="21" t="str">
        <f>"PFES1162675383_0001"</f>
        <v>PFES1162675383_0001</v>
      </c>
      <c r="L3862" s="21">
        <v>1</v>
      </c>
      <c r="M3862" s="21">
        <v>1</v>
      </c>
    </row>
    <row r="3863" spans="1:13">
      <c r="A3863" s="6">
        <v>43522</v>
      </c>
      <c r="B3863" s="7">
        <v>0.51527777777777783</v>
      </c>
      <c r="C3863" s="21" t="str">
        <f>"FES1162675402"</f>
        <v>FES1162675402</v>
      </c>
      <c r="D3863" s="21" t="s">
        <v>18</v>
      </c>
      <c r="E3863" s="21" t="s">
        <v>69</v>
      </c>
      <c r="F3863" s="21" t="str">
        <f>"2170676259 "</f>
        <v xml:space="preserve">2170676259 </v>
      </c>
      <c r="G3863" s="21" t="str">
        <f t="shared" si="107"/>
        <v>ON1</v>
      </c>
      <c r="H3863" s="21" t="s">
        <v>20</v>
      </c>
      <c r="I3863" s="21" t="s">
        <v>70</v>
      </c>
      <c r="J3863" s="21" t="str">
        <f>""</f>
        <v/>
      </c>
      <c r="K3863" s="21" t="str">
        <f>"PFES1162675402_0001"</f>
        <v>PFES1162675402_0001</v>
      </c>
      <c r="L3863" s="21">
        <v>1</v>
      </c>
      <c r="M3863" s="21">
        <v>1</v>
      </c>
    </row>
    <row r="3864" spans="1:13">
      <c r="A3864" s="6">
        <v>43522</v>
      </c>
      <c r="B3864" s="7">
        <v>0.51458333333333328</v>
      </c>
      <c r="C3864" s="21" t="str">
        <f>"FES1162675337"</f>
        <v>FES1162675337</v>
      </c>
      <c r="D3864" s="21" t="s">
        <v>18</v>
      </c>
      <c r="E3864" s="21" t="s">
        <v>1155</v>
      </c>
      <c r="F3864" s="21" t="str">
        <f>"2170674725 "</f>
        <v xml:space="preserve">2170674725 </v>
      </c>
      <c r="G3864" s="21" t="str">
        <f t="shared" si="107"/>
        <v>ON1</v>
      </c>
      <c r="H3864" s="21" t="s">
        <v>20</v>
      </c>
      <c r="I3864" s="21" t="s">
        <v>256</v>
      </c>
      <c r="J3864" s="21" t="str">
        <f>""</f>
        <v/>
      </c>
      <c r="K3864" s="21" t="str">
        <f>"PFES1162675337_0001"</f>
        <v>PFES1162675337_0001</v>
      </c>
      <c r="L3864" s="21">
        <v>1</v>
      </c>
      <c r="M3864" s="21">
        <v>1</v>
      </c>
    </row>
    <row r="3865" spans="1:13">
      <c r="A3865" s="6">
        <v>43522</v>
      </c>
      <c r="B3865" s="7">
        <v>0.50277777777777777</v>
      </c>
      <c r="C3865" s="21" t="str">
        <f>"FES1162675395"</f>
        <v>FES1162675395</v>
      </c>
      <c r="D3865" s="21" t="s">
        <v>18</v>
      </c>
      <c r="E3865" s="21" t="s">
        <v>325</v>
      </c>
      <c r="F3865" s="21" t="str">
        <f>"2170676252 "</f>
        <v xml:space="preserve">2170676252 </v>
      </c>
      <c r="G3865" s="21" t="str">
        <f>"DBC"</f>
        <v>DBC</v>
      </c>
      <c r="H3865" s="21" t="s">
        <v>20</v>
      </c>
      <c r="I3865" s="21" t="s">
        <v>326</v>
      </c>
      <c r="J3865" s="21" t="str">
        <f>""</f>
        <v/>
      </c>
      <c r="K3865" s="21" t="str">
        <f>"PFES1162675395_0001"</f>
        <v>PFES1162675395_0001</v>
      </c>
      <c r="L3865" s="21">
        <v>1</v>
      </c>
      <c r="M3865" s="21">
        <v>25</v>
      </c>
    </row>
    <row r="3866" spans="1:13">
      <c r="A3866" s="6">
        <v>43523</v>
      </c>
      <c r="B3866" s="7">
        <v>0.69513888888888886</v>
      </c>
      <c r="C3866" s="22" t="str">
        <f>"FES1162675875"</f>
        <v>FES1162675875</v>
      </c>
      <c r="D3866" s="22" t="s">
        <v>18</v>
      </c>
      <c r="E3866" s="22" t="s">
        <v>729</v>
      </c>
      <c r="F3866" s="22" t="str">
        <f>"2170676649 "</f>
        <v xml:space="preserve">2170676649 </v>
      </c>
      <c r="G3866" s="22" t="str">
        <f t="shared" ref="G3866:G3923" si="108">"ON1"</f>
        <v>ON1</v>
      </c>
      <c r="H3866" s="22" t="s">
        <v>20</v>
      </c>
      <c r="I3866" s="22" t="s">
        <v>435</v>
      </c>
      <c r="J3866" s="22" t="str">
        <f>""</f>
        <v/>
      </c>
      <c r="K3866" s="22" t="str">
        <f>"PFES1162675875_0001"</f>
        <v>PFES1162675875_0001</v>
      </c>
      <c r="L3866" s="22">
        <v>1</v>
      </c>
      <c r="M3866" s="22">
        <v>1</v>
      </c>
    </row>
    <row r="3867" spans="1:13">
      <c r="A3867" s="6">
        <v>43523</v>
      </c>
      <c r="B3867" s="7">
        <v>0.69513888888888886</v>
      </c>
      <c r="C3867" s="22" t="str">
        <f>"FES1162675872"</f>
        <v>FES1162675872</v>
      </c>
      <c r="D3867" s="22" t="s">
        <v>18</v>
      </c>
      <c r="E3867" s="22" t="s">
        <v>630</v>
      </c>
      <c r="F3867" s="22" t="str">
        <f>"2170676641 "</f>
        <v xml:space="preserve">2170676641 </v>
      </c>
      <c r="G3867" s="22" t="str">
        <f t="shared" si="108"/>
        <v>ON1</v>
      </c>
      <c r="H3867" s="22" t="s">
        <v>20</v>
      </c>
      <c r="I3867" s="22" t="s">
        <v>141</v>
      </c>
      <c r="J3867" s="22" t="str">
        <f>""</f>
        <v/>
      </c>
      <c r="K3867" s="22" t="str">
        <f>"PFES1162675872_0001"</f>
        <v>PFES1162675872_0001</v>
      </c>
      <c r="L3867" s="22">
        <v>1</v>
      </c>
      <c r="M3867" s="22">
        <v>1</v>
      </c>
    </row>
    <row r="3868" spans="1:13">
      <c r="A3868" s="6">
        <v>43523</v>
      </c>
      <c r="B3868" s="7">
        <v>0.69444444444444453</v>
      </c>
      <c r="C3868" s="22" t="str">
        <f>"FES1162675860"</f>
        <v>FES1162675860</v>
      </c>
      <c r="D3868" s="22" t="s">
        <v>18</v>
      </c>
      <c r="E3868" s="22" t="s">
        <v>371</v>
      </c>
      <c r="F3868" s="22" t="str">
        <f>"217067712 "</f>
        <v xml:space="preserve">217067712 </v>
      </c>
      <c r="G3868" s="22" t="str">
        <f t="shared" si="108"/>
        <v>ON1</v>
      </c>
      <c r="H3868" s="22" t="s">
        <v>20</v>
      </c>
      <c r="I3868" s="22" t="s">
        <v>61</v>
      </c>
      <c r="J3868" s="22" t="str">
        <f>""</f>
        <v/>
      </c>
      <c r="K3868" s="22" t="str">
        <f>"PFES1162675860_0001"</f>
        <v>PFES1162675860_0001</v>
      </c>
      <c r="L3868" s="22">
        <v>1</v>
      </c>
      <c r="M3868" s="22">
        <v>1</v>
      </c>
    </row>
    <row r="3869" spans="1:13">
      <c r="A3869" s="6">
        <v>43523</v>
      </c>
      <c r="B3869" s="7">
        <v>0.69444444444444453</v>
      </c>
      <c r="C3869" s="22" t="str">
        <f>"FES1162675857"</f>
        <v>FES1162675857</v>
      </c>
      <c r="D3869" s="22" t="s">
        <v>18</v>
      </c>
      <c r="E3869" s="22" t="s">
        <v>1195</v>
      </c>
      <c r="F3869" s="22" t="str">
        <f>"2170673968 "</f>
        <v xml:space="preserve">2170673968 </v>
      </c>
      <c r="G3869" s="22" t="str">
        <f t="shared" si="108"/>
        <v>ON1</v>
      </c>
      <c r="H3869" s="22" t="s">
        <v>20</v>
      </c>
      <c r="I3869" s="22" t="s">
        <v>473</v>
      </c>
      <c r="J3869" s="22" t="str">
        <f>""</f>
        <v/>
      </c>
      <c r="K3869" s="22" t="str">
        <f>"PFES1162675857_0001"</f>
        <v>PFES1162675857_0001</v>
      </c>
      <c r="L3869" s="22">
        <v>1</v>
      </c>
      <c r="M3869" s="22">
        <v>1</v>
      </c>
    </row>
    <row r="3870" spans="1:13">
      <c r="A3870" s="6">
        <v>43523</v>
      </c>
      <c r="B3870" s="7">
        <v>0.69374999999999998</v>
      </c>
      <c r="C3870" s="22" t="str">
        <f>"FES1162675876"</f>
        <v>FES1162675876</v>
      </c>
      <c r="D3870" s="22" t="s">
        <v>18</v>
      </c>
      <c r="E3870" s="22" t="s">
        <v>1092</v>
      </c>
      <c r="F3870" s="22" t="str">
        <f>"217676550 "</f>
        <v xml:space="preserve">217676550 </v>
      </c>
      <c r="G3870" s="22" t="str">
        <f t="shared" si="108"/>
        <v>ON1</v>
      </c>
      <c r="H3870" s="22" t="s">
        <v>20</v>
      </c>
      <c r="I3870" s="22" t="s">
        <v>137</v>
      </c>
      <c r="J3870" s="22" t="str">
        <f>""</f>
        <v/>
      </c>
      <c r="K3870" s="22" t="str">
        <f>"PFES1162675876_0001"</f>
        <v>PFES1162675876_0001</v>
      </c>
      <c r="L3870" s="22">
        <v>1</v>
      </c>
      <c r="M3870" s="22">
        <v>1</v>
      </c>
    </row>
    <row r="3871" spans="1:13">
      <c r="A3871" s="6">
        <v>43523</v>
      </c>
      <c r="B3871" s="7">
        <v>0.69374999999999998</v>
      </c>
      <c r="C3871" s="22" t="str">
        <f>"FES1162675866"</f>
        <v>FES1162675866</v>
      </c>
      <c r="D3871" s="22" t="s">
        <v>18</v>
      </c>
      <c r="E3871" s="22" t="s">
        <v>198</v>
      </c>
      <c r="F3871" s="22" t="str">
        <f>"2170672804 "</f>
        <v xml:space="preserve">2170672804 </v>
      </c>
      <c r="G3871" s="22" t="str">
        <f t="shared" si="108"/>
        <v>ON1</v>
      </c>
      <c r="H3871" s="22" t="s">
        <v>20</v>
      </c>
      <c r="I3871" s="22" t="s">
        <v>199</v>
      </c>
      <c r="J3871" s="22" t="str">
        <f>""</f>
        <v/>
      </c>
      <c r="K3871" s="22" t="str">
        <f>"PFES1162675866_0001"</f>
        <v>PFES1162675866_0001</v>
      </c>
      <c r="L3871" s="22">
        <v>1</v>
      </c>
      <c r="M3871" s="22">
        <v>1</v>
      </c>
    </row>
    <row r="3872" spans="1:13">
      <c r="A3872" s="6">
        <v>43523</v>
      </c>
      <c r="B3872" s="7">
        <v>0.69374999999999998</v>
      </c>
      <c r="C3872" s="22" t="str">
        <f>"FES1162675628"</f>
        <v>FES1162675628</v>
      </c>
      <c r="D3872" s="22" t="s">
        <v>18</v>
      </c>
      <c r="E3872" s="22" t="s">
        <v>297</v>
      </c>
      <c r="F3872" s="22" t="str">
        <f>"217067653 "</f>
        <v xml:space="preserve">217067653 </v>
      </c>
      <c r="G3872" s="22" t="str">
        <f t="shared" si="108"/>
        <v>ON1</v>
      </c>
      <c r="H3872" s="22" t="s">
        <v>20</v>
      </c>
      <c r="I3872" s="22" t="s">
        <v>210</v>
      </c>
      <c r="J3872" s="22" t="str">
        <f>""</f>
        <v/>
      </c>
      <c r="K3872" s="22" t="str">
        <f>"PFES1162675628_0001"</f>
        <v>PFES1162675628_0001</v>
      </c>
      <c r="L3872" s="22">
        <v>1</v>
      </c>
      <c r="M3872" s="22">
        <v>1</v>
      </c>
    </row>
    <row r="3873" spans="1:13">
      <c r="A3873" s="6">
        <v>43523</v>
      </c>
      <c r="B3873" s="7">
        <v>0.69374999999999998</v>
      </c>
      <c r="C3873" s="22" t="str">
        <f>"FES1162675770"</f>
        <v>FES1162675770</v>
      </c>
      <c r="D3873" s="22" t="s">
        <v>18</v>
      </c>
      <c r="E3873" s="22" t="s">
        <v>880</v>
      </c>
      <c r="F3873" s="22" t="str">
        <f>"2170676534 "</f>
        <v xml:space="preserve">2170676534 </v>
      </c>
      <c r="G3873" s="22" t="str">
        <f t="shared" si="108"/>
        <v>ON1</v>
      </c>
      <c r="H3873" s="22" t="s">
        <v>20</v>
      </c>
      <c r="I3873" s="22" t="s">
        <v>233</v>
      </c>
      <c r="J3873" s="22" t="str">
        <f>""</f>
        <v/>
      </c>
      <c r="K3873" s="22" t="str">
        <f>"PFES1162675770_0001"</f>
        <v>PFES1162675770_0001</v>
      </c>
      <c r="L3873" s="22">
        <v>1</v>
      </c>
      <c r="M3873" s="22">
        <v>1</v>
      </c>
    </row>
    <row r="3874" spans="1:13">
      <c r="A3874" s="6">
        <v>43523</v>
      </c>
      <c r="B3874" s="7">
        <v>0.69305555555555554</v>
      </c>
      <c r="C3874" s="22" t="str">
        <f>"FES1162675107"</f>
        <v>FES1162675107</v>
      </c>
      <c r="D3874" s="22" t="s">
        <v>18</v>
      </c>
      <c r="E3874" s="22" t="s">
        <v>976</v>
      </c>
      <c r="F3874" s="22" t="str">
        <f>"2170676063 "</f>
        <v xml:space="preserve">2170676063 </v>
      </c>
      <c r="G3874" s="22" t="str">
        <f t="shared" si="108"/>
        <v>ON1</v>
      </c>
      <c r="H3874" s="22" t="s">
        <v>20</v>
      </c>
      <c r="I3874" s="22" t="s">
        <v>918</v>
      </c>
      <c r="J3874" s="22" t="str">
        <f>""</f>
        <v/>
      </c>
      <c r="K3874" s="22" t="str">
        <f>"PFES1162675107_0001"</f>
        <v>PFES1162675107_0001</v>
      </c>
      <c r="L3874" s="22">
        <v>1</v>
      </c>
      <c r="M3874" s="22">
        <v>1</v>
      </c>
    </row>
    <row r="3875" spans="1:13">
      <c r="A3875" s="6">
        <v>43523</v>
      </c>
      <c r="B3875" s="7">
        <v>0.69305555555555554</v>
      </c>
      <c r="C3875" s="22" t="str">
        <f>"FES1162675806"</f>
        <v>FES1162675806</v>
      </c>
      <c r="D3875" s="22" t="s">
        <v>18</v>
      </c>
      <c r="E3875" s="22" t="s">
        <v>1196</v>
      </c>
      <c r="F3875" s="22" t="str">
        <f>"2170676572 "</f>
        <v xml:space="preserve">2170676572 </v>
      </c>
      <c r="G3875" s="22" t="str">
        <f t="shared" si="108"/>
        <v>ON1</v>
      </c>
      <c r="H3875" s="22" t="s">
        <v>20</v>
      </c>
      <c r="I3875" s="22" t="s">
        <v>1007</v>
      </c>
      <c r="J3875" s="22" t="str">
        <f>""</f>
        <v/>
      </c>
      <c r="K3875" s="22" t="str">
        <f>"PFES1162675806_0001"</f>
        <v>PFES1162675806_0001</v>
      </c>
      <c r="L3875" s="22">
        <v>1</v>
      </c>
      <c r="M3875" s="22">
        <v>1</v>
      </c>
    </row>
    <row r="3876" spans="1:13">
      <c r="A3876" s="6">
        <v>43523</v>
      </c>
      <c r="B3876" s="7">
        <v>0.69236111111111109</v>
      </c>
      <c r="C3876" s="22" t="str">
        <f>"FES1162675131"</f>
        <v>FES1162675131</v>
      </c>
      <c r="D3876" s="22" t="s">
        <v>18</v>
      </c>
      <c r="E3876" s="22" t="s">
        <v>1197</v>
      </c>
      <c r="F3876" s="22" t="str">
        <f>"2170676080 "</f>
        <v xml:space="preserve">2170676080 </v>
      </c>
      <c r="G3876" s="22" t="str">
        <f t="shared" si="108"/>
        <v>ON1</v>
      </c>
      <c r="H3876" s="22" t="s">
        <v>20</v>
      </c>
      <c r="I3876" s="22" t="s">
        <v>53</v>
      </c>
      <c r="J3876" s="22" t="str">
        <f>""</f>
        <v/>
      </c>
      <c r="K3876" s="22" t="str">
        <f>"PFES1162675131_0001"</f>
        <v>PFES1162675131_0001</v>
      </c>
      <c r="L3876" s="22">
        <v>1</v>
      </c>
      <c r="M3876" s="22">
        <v>1</v>
      </c>
    </row>
    <row r="3877" spans="1:13">
      <c r="A3877" s="6">
        <v>43523</v>
      </c>
      <c r="B3877" s="7">
        <v>0.69236111111111109</v>
      </c>
      <c r="C3877" s="22" t="str">
        <f>"FES1162675140"</f>
        <v>FES1162675140</v>
      </c>
      <c r="D3877" s="22" t="s">
        <v>18</v>
      </c>
      <c r="E3877" s="22" t="s">
        <v>752</v>
      </c>
      <c r="F3877" s="22" t="str">
        <f>"2170676110 "</f>
        <v xml:space="preserve">2170676110 </v>
      </c>
      <c r="G3877" s="22" t="str">
        <f t="shared" si="108"/>
        <v>ON1</v>
      </c>
      <c r="H3877" s="22" t="s">
        <v>20</v>
      </c>
      <c r="I3877" s="22" t="s">
        <v>53</v>
      </c>
      <c r="J3877" s="22" t="str">
        <f>""</f>
        <v/>
      </c>
      <c r="K3877" s="22" t="str">
        <f>"PFES1162675140_0001"</f>
        <v>PFES1162675140_0001</v>
      </c>
      <c r="L3877" s="22">
        <v>1</v>
      </c>
      <c r="M3877" s="22">
        <v>1</v>
      </c>
    </row>
    <row r="3878" spans="1:13">
      <c r="A3878" s="6">
        <v>43523</v>
      </c>
      <c r="B3878" s="7">
        <v>0.69166666666666676</v>
      </c>
      <c r="C3878" s="22" t="str">
        <f>"FES1162675881"</f>
        <v>FES1162675881</v>
      </c>
      <c r="D3878" s="22" t="s">
        <v>18</v>
      </c>
      <c r="E3878" s="22" t="s">
        <v>19</v>
      </c>
      <c r="F3878" s="22" t="str">
        <f>"2170676656 "</f>
        <v xml:space="preserve">2170676656 </v>
      </c>
      <c r="G3878" s="22" t="str">
        <f t="shared" si="108"/>
        <v>ON1</v>
      </c>
      <c r="H3878" s="22" t="s">
        <v>20</v>
      </c>
      <c r="I3878" s="22" t="s">
        <v>21</v>
      </c>
      <c r="J3878" s="22" t="str">
        <f>""</f>
        <v/>
      </c>
      <c r="K3878" s="22" t="str">
        <f>"PFES1162675881_0001"</f>
        <v>PFES1162675881_0001</v>
      </c>
      <c r="L3878" s="22">
        <v>1</v>
      </c>
      <c r="M3878" s="22">
        <v>1</v>
      </c>
    </row>
    <row r="3879" spans="1:13">
      <c r="A3879" s="6">
        <v>43523</v>
      </c>
      <c r="B3879" s="7">
        <v>0.69166666666666676</v>
      </c>
      <c r="C3879" s="22" t="str">
        <f>"FES1162675132"</f>
        <v>FES1162675132</v>
      </c>
      <c r="D3879" s="22" t="s">
        <v>18</v>
      </c>
      <c r="E3879" s="22" t="s">
        <v>300</v>
      </c>
      <c r="F3879" s="22" t="str">
        <f>"2170676802 "</f>
        <v xml:space="preserve">2170676802 </v>
      </c>
      <c r="G3879" s="22" t="str">
        <f t="shared" si="108"/>
        <v>ON1</v>
      </c>
      <c r="H3879" s="22" t="s">
        <v>20</v>
      </c>
      <c r="I3879" s="22" t="s">
        <v>276</v>
      </c>
      <c r="J3879" s="22" t="str">
        <f>""</f>
        <v/>
      </c>
      <c r="K3879" s="22" t="str">
        <f>"PFES1162675132_0001"</f>
        <v>PFES1162675132_0001</v>
      </c>
      <c r="L3879" s="22">
        <v>1</v>
      </c>
      <c r="M3879" s="22">
        <v>1</v>
      </c>
    </row>
    <row r="3880" spans="1:13">
      <c r="A3880" s="6">
        <v>43523</v>
      </c>
      <c r="B3880" s="7">
        <v>0.69097222222222221</v>
      </c>
      <c r="C3880" s="22" t="str">
        <f>"FES1162675873"</f>
        <v>FES1162675873</v>
      </c>
      <c r="D3880" s="22" t="s">
        <v>18</v>
      </c>
      <c r="E3880" s="22" t="s">
        <v>225</v>
      </c>
      <c r="F3880" s="22" t="str">
        <f>"2170676646 "</f>
        <v xml:space="preserve">2170676646 </v>
      </c>
      <c r="G3880" s="22" t="str">
        <f t="shared" si="108"/>
        <v>ON1</v>
      </c>
      <c r="H3880" s="22" t="s">
        <v>20</v>
      </c>
      <c r="I3880" s="22" t="s">
        <v>226</v>
      </c>
      <c r="J3880" s="22" t="str">
        <f>""</f>
        <v/>
      </c>
      <c r="K3880" s="22" t="str">
        <f>"PFES1162675873_0001"</f>
        <v>PFES1162675873_0001</v>
      </c>
      <c r="L3880" s="22">
        <v>1</v>
      </c>
      <c r="M3880" s="22">
        <v>5</v>
      </c>
    </row>
    <row r="3881" spans="1:13">
      <c r="A3881" s="6">
        <v>43523</v>
      </c>
      <c r="B3881" s="7">
        <v>0.69097222222222221</v>
      </c>
      <c r="C3881" s="22" t="str">
        <f>"FES1162675870"</f>
        <v>FES1162675870</v>
      </c>
      <c r="D3881" s="22" t="s">
        <v>18</v>
      </c>
      <c r="E3881" s="22" t="s">
        <v>1072</v>
      </c>
      <c r="F3881" s="22" t="str">
        <f>"2170673730 "</f>
        <v xml:space="preserve">2170673730 </v>
      </c>
      <c r="G3881" s="22" t="str">
        <f t="shared" si="108"/>
        <v>ON1</v>
      </c>
      <c r="H3881" s="22" t="s">
        <v>20</v>
      </c>
      <c r="I3881" s="22" t="s">
        <v>139</v>
      </c>
      <c r="J3881" s="22" t="str">
        <f>""</f>
        <v/>
      </c>
      <c r="K3881" s="22" t="str">
        <f>"PFES1162675870_0001"</f>
        <v>PFES1162675870_0001</v>
      </c>
      <c r="L3881" s="22">
        <v>2</v>
      </c>
      <c r="M3881" s="22">
        <v>8</v>
      </c>
    </row>
    <row r="3882" spans="1:13">
      <c r="A3882" s="6">
        <v>43496</v>
      </c>
      <c r="B3882" s="7">
        <v>0.6777777777777777</v>
      </c>
      <c r="C3882" s="22" t="str">
        <f>"FES1162675870"</f>
        <v>FES1162675870</v>
      </c>
      <c r="D3882" s="22" t="s">
        <v>18</v>
      </c>
      <c r="E3882" s="22" t="s">
        <v>565</v>
      </c>
      <c r="F3882" s="22" t="str">
        <f>"2170671923 "</f>
        <v xml:space="preserve">2170671923 </v>
      </c>
      <c r="G3882" s="22" t="str">
        <f t="shared" si="108"/>
        <v>ON1</v>
      </c>
      <c r="H3882" s="22" t="s">
        <v>20</v>
      </c>
      <c r="I3882" s="22" t="s">
        <v>566</v>
      </c>
      <c r="J3882" s="22" t="str">
        <f>""</f>
        <v/>
      </c>
      <c r="K3882" s="22" t="str">
        <f>"PFES1162675870_0002"</f>
        <v>PFES1162675870_0002</v>
      </c>
      <c r="L3882" s="22">
        <v>1</v>
      </c>
      <c r="M3882" s="22">
        <v>2</v>
      </c>
    </row>
    <row r="3883" spans="1:13">
      <c r="A3883" s="6">
        <v>43523</v>
      </c>
      <c r="B3883" s="7">
        <v>0.69027777777777777</v>
      </c>
      <c r="C3883" s="22" t="str">
        <f>"FES1162675864"</f>
        <v>FES1162675864</v>
      </c>
      <c r="D3883" s="22" t="s">
        <v>18</v>
      </c>
      <c r="E3883" s="22" t="s">
        <v>253</v>
      </c>
      <c r="F3883" s="22" t="str">
        <f>"2170676621 "</f>
        <v xml:space="preserve">2170676621 </v>
      </c>
      <c r="G3883" s="22" t="str">
        <f t="shared" si="108"/>
        <v>ON1</v>
      </c>
      <c r="H3883" s="22" t="s">
        <v>20</v>
      </c>
      <c r="I3883" s="22" t="s">
        <v>226</v>
      </c>
      <c r="J3883" s="22" t="str">
        <f>""</f>
        <v/>
      </c>
      <c r="K3883" s="22" t="str">
        <f>"PFES1162675864_0001"</f>
        <v>PFES1162675864_0001</v>
      </c>
      <c r="L3883" s="22">
        <v>1</v>
      </c>
      <c r="M3883" s="22">
        <v>4</v>
      </c>
    </row>
    <row r="3884" spans="1:13">
      <c r="A3884" s="6">
        <v>43523</v>
      </c>
      <c r="B3884" s="7">
        <v>0.69027777777777777</v>
      </c>
      <c r="C3884" s="22" t="str">
        <f>"FES1162675811"</f>
        <v>FES1162675811</v>
      </c>
      <c r="D3884" s="22" t="s">
        <v>18</v>
      </c>
      <c r="E3884" s="22" t="s">
        <v>229</v>
      </c>
      <c r="F3884" s="22" t="str">
        <f>"2170676580 "</f>
        <v xml:space="preserve">2170676580 </v>
      </c>
      <c r="G3884" s="22" t="str">
        <f t="shared" si="108"/>
        <v>ON1</v>
      </c>
      <c r="H3884" s="22" t="s">
        <v>20</v>
      </c>
      <c r="I3884" s="22" t="s">
        <v>111</v>
      </c>
      <c r="J3884" s="22" t="str">
        <f>""</f>
        <v/>
      </c>
      <c r="K3884" s="22" t="str">
        <f>"PFES1162675811_0001"</f>
        <v>PFES1162675811_0001</v>
      </c>
      <c r="L3884" s="22">
        <v>1</v>
      </c>
      <c r="M3884" s="22">
        <v>5</v>
      </c>
    </row>
    <row r="3885" spans="1:13">
      <c r="A3885" s="6">
        <v>43523</v>
      </c>
      <c r="B3885" s="7">
        <v>0.68958333333333333</v>
      </c>
      <c r="C3885" s="22" t="str">
        <f>"FES1162675746"</f>
        <v>FES1162675746</v>
      </c>
      <c r="D3885" s="22" t="s">
        <v>18</v>
      </c>
      <c r="E3885" s="22" t="s">
        <v>521</v>
      </c>
      <c r="F3885" s="22" t="str">
        <f>"2170676513 "</f>
        <v xml:space="preserve">2170676513 </v>
      </c>
      <c r="G3885" s="22" t="str">
        <f t="shared" si="108"/>
        <v>ON1</v>
      </c>
      <c r="H3885" s="22" t="s">
        <v>20</v>
      </c>
      <c r="I3885" s="22" t="s">
        <v>445</v>
      </c>
      <c r="J3885" s="22" t="str">
        <f>""</f>
        <v/>
      </c>
      <c r="K3885" s="22" t="str">
        <f>"PFES1162675746_0001"</f>
        <v>PFES1162675746_0001</v>
      </c>
      <c r="L3885" s="22">
        <v>1</v>
      </c>
      <c r="M3885" s="22">
        <v>8</v>
      </c>
    </row>
    <row r="3886" spans="1:13">
      <c r="A3886" s="6">
        <v>43523</v>
      </c>
      <c r="B3886" s="7">
        <v>0.68958333333333333</v>
      </c>
      <c r="C3886" s="22" t="str">
        <f>"FES1162675823"</f>
        <v>FES1162675823</v>
      </c>
      <c r="D3886" s="22" t="s">
        <v>18</v>
      </c>
      <c r="E3886" s="22" t="s">
        <v>185</v>
      </c>
      <c r="F3886" s="22" t="str">
        <f>"2170676598 "</f>
        <v xml:space="preserve">2170676598 </v>
      </c>
      <c r="G3886" s="22" t="str">
        <f t="shared" si="108"/>
        <v>ON1</v>
      </c>
      <c r="H3886" s="22" t="s">
        <v>20</v>
      </c>
      <c r="I3886" s="22" t="s">
        <v>93</v>
      </c>
      <c r="J3886" s="22" t="str">
        <f>""</f>
        <v/>
      </c>
      <c r="K3886" s="22" t="str">
        <f>"PFES1162675823_0001"</f>
        <v>PFES1162675823_0001</v>
      </c>
      <c r="L3886" s="22">
        <v>1</v>
      </c>
      <c r="M3886" s="22">
        <v>7</v>
      </c>
    </row>
    <row r="3887" spans="1:13">
      <c r="A3887" s="6">
        <v>43523</v>
      </c>
      <c r="B3887" s="7">
        <v>0.68958333333333333</v>
      </c>
      <c r="C3887" s="22" t="str">
        <f>"FES1162675861"</f>
        <v>FES1162675861</v>
      </c>
      <c r="D3887" s="22" t="s">
        <v>18</v>
      </c>
      <c r="E3887" s="22" t="s">
        <v>521</v>
      </c>
      <c r="F3887" s="22" t="str">
        <f>"2170676513 "</f>
        <v xml:space="preserve">2170676513 </v>
      </c>
      <c r="G3887" s="22" t="str">
        <f t="shared" si="108"/>
        <v>ON1</v>
      </c>
      <c r="H3887" s="22" t="s">
        <v>20</v>
      </c>
      <c r="I3887" s="22" t="s">
        <v>445</v>
      </c>
      <c r="J3887" s="22" t="str">
        <f>""</f>
        <v/>
      </c>
      <c r="K3887" s="22" t="str">
        <f>"PFES1162675861_0001"</f>
        <v>PFES1162675861_0001</v>
      </c>
      <c r="L3887" s="22">
        <v>1</v>
      </c>
      <c r="M3887" s="22">
        <v>4</v>
      </c>
    </row>
    <row r="3888" spans="1:13">
      <c r="A3888" s="6">
        <v>43523</v>
      </c>
      <c r="B3888" s="7">
        <v>0.68541666666666667</v>
      </c>
      <c r="C3888" s="22" t="str">
        <f>"FES1162675840"</f>
        <v>FES1162675840</v>
      </c>
      <c r="D3888" s="22" t="s">
        <v>18</v>
      </c>
      <c r="E3888" s="22" t="s">
        <v>160</v>
      </c>
      <c r="F3888" s="22" t="str">
        <f>"2170676611 "</f>
        <v xml:space="preserve">2170676611 </v>
      </c>
      <c r="G3888" s="22" t="str">
        <f t="shared" si="108"/>
        <v>ON1</v>
      </c>
      <c r="H3888" s="22" t="s">
        <v>20</v>
      </c>
      <c r="I3888" s="22" t="s">
        <v>161</v>
      </c>
      <c r="J3888" s="22" t="str">
        <f>""</f>
        <v/>
      </c>
      <c r="K3888" s="22" t="str">
        <f>"PFES1162675840_0001"</f>
        <v>PFES1162675840_0001</v>
      </c>
      <c r="L3888" s="22">
        <v>1</v>
      </c>
      <c r="M3888" s="22">
        <v>1</v>
      </c>
    </row>
    <row r="3889" spans="1:13">
      <c r="A3889" s="6">
        <v>43523</v>
      </c>
      <c r="B3889" s="7">
        <v>0.68541666666666667</v>
      </c>
      <c r="C3889" s="22" t="str">
        <f>"FES1162675836"</f>
        <v>FES1162675836</v>
      </c>
      <c r="D3889" s="22" t="s">
        <v>18</v>
      </c>
      <c r="E3889" s="22" t="s">
        <v>160</v>
      </c>
      <c r="F3889" s="22" t="str">
        <f>"2170676604 "</f>
        <v xml:space="preserve">2170676604 </v>
      </c>
      <c r="G3889" s="22" t="str">
        <f t="shared" si="108"/>
        <v>ON1</v>
      </c>
      <c r="H3889" s="22" t="s">
        <v>20</v>
      </c>
      <c r="I3889" s="22" t="s">
        <v>161</v>
      </c>
      <c r="J3889" s="22" t="str">
        <f>""</f>
        <v/>
      </c>
      <c r="K3889" s="22" t="str">
        <f>"PFES1162675836_0001"</f>
        <v>PFES1162675836_0001</v>
      </c>
      <c r="L3889" s="22">
        <v>1</v>
      </c>
      <c r="M3889" s="22">
        <v>1</v>
      </c>
    </row>
    <row r="3890" spans="1:13">
      <c r="A3890" s="6">
        <v>43523</v>
      </c>
      <c r="B3890" s="7">
        <v>0.68541666666666667</v>
      </c>
      <c r="C3890" s="22" t="str">
        <f>"FES1162675849"</f>
        <v>FES1162675849</v>
      </c>
      <c r="D3890" s="22" t="s">
        <v>18</v>
      </c>
      <c r="E3890" s="22" t="s">
        <v>159</v>
      </c>
      <c r="F3890" s="22" t="str">
        <f>"2170676626 "</f>
        <v xml:space="preserve">2170676626 </v>
      </c>
      <c r="G3890" s="22" t="str">
        <f t="shared" si="108"/>
        <v>ON1</v>
      </c>
      <c r="H3890" s="22" t="s">
        <v>20</v>
      </c>
      <c r="I3890" s="22" t="s">
        <v>137</v>
      </c>
      <c r="J3890" s="22" t="str">
        <f>""</f>
        <v/>
      </c>
      <c r="K3890" s="22" t="str">
        <f>"PFES1162675849_0001"</f>
        <v>PFES1162675849_0001</v>
      </c>
      <c r="L3890" s="22">
        <v>1</v>
      </c>
      <c r="M3890" s="22">
        <v>1</v>
      </c>
    </row>
    <row r="3891" spans="1:13">
      <c r="A3891" s="6">
        <v>43523</v>
      </c>
      <c r="B3891" s="7">
        <v>0.68472222222222223</v>
      </c>
      <c r="C3891" s="22" t="str">
        <f>"FES1162675856"</f>
        <v>FES1162675856</v>
      </c>
      <c r="D3891" s="22" t="s">
        <v>18</v>
      </c>
      <c r="E3891" s="22" t="s">
        <v>1161</v>
      </c>
      <c r="F3891" s="22" t="str">
        <f>"2170676633 "</f>
        <v xml:space="preserve">2170676633 </v>
      </c>
      <c r="G3891" s="22" t="str">
        <f t="shared" si="108"/>
        <v>ON1</v>
      </c>
      <c r="H3891" s="22" t="s">
        <v>20</v>
      </c>
      <c r="I3891" s="22" t="s">
        <v>867</v>
      </c>
      <c r="J3891" s="22" t="str">
        <f>""</f>
        <v/>
      </c>
      <c r="K3891" s="22" t="str">
        <f>"PFES1162675856_0001"</f>
        <v>PFES1162675856_0001</v>
      </c>
      <c r="L3891" s="22">
        <v>1</v>
      </c>
      <c r="M3891" s="22">
        <v>1</v>
      </c>
    </row>
    <row r="3892" spans="1:13">
      <c r="A3892" s="6">
        <v>43523</v>
      </c>
      <c r="B3892" s="7">
        <v>0.68472222222222223</v>
      </c>
      <c r="C3892" s="22" t="str">
        <f>"FES1162675868"</f>
        <v>FES1162675868</v>
      </c>
      <c r="D3892" s="22" t="s">
        <v>18</v>
      </c>
      <c r="E3892" s="22" t="s">
        <v>30</v>
      </c>
      <c r="F3892" s="22" t="str">
        <f>"2170676647 "</f>
        <v xml:space="preserve">2170676647 </v>
      </c>
      <c r="G3892" s="22" t="str">
        <f t="shared" si="108"/>
        <v>ON1</v>
      </c>
      <c r="H3892" s="22" t="s">
        <v>20</v>
      </c>
      <c r="I3892" s="22" t="s">
        <v>31</v>
      </c>
      <c r="J3892" s="22" t="str">
        <f>""</f>
        <v/>
      </c>
      <c r="K3892" s="22" t="str">
        <f>"PFES1162675868_0001"</f>
        <v>PFES1162675868_0001</v>
      </c>
      <c r="L3892" s="22">
        <v>1</v>
      </c>
      <c r="M3892" s="22">
        <v>1</v>
      </c>
    </row>
    <row r="3893" spans="1:13">
      <c r="A3893" s="6">
        <v>43523</v>
      </c>
      <c r="B3893" s="7">
        <v>0.68472222222222223</v>
      </c>
      <c r="C3893" s="22" t="str">
        <f>"FES1162675845"</f>
        <v>FES1162675845</v>
      </c>
      <c r="D3893" s="22" t="s">
        <v>18</v>
      </c>
      <c r="E3893" s="22" t="s">
        <v>97</v>
      </c>
      <c r="F3893" s="22" t="str">
        <f>"217067611 "</f>
        <v xml:space="preserve">217067611 </v>
      </c>
      <c r="G3893" s="22" t="str">
        <f t="shared" si="108"/>
        <v>ON1</v>
      </c>
      <c r="H3893" s="22" t="s">
        <v>20</v>
      </c>
      <c r="I3893" s="22" t="s">
        <v>70</v>
      </c>
      <c r="J3893" s="22" t="str">
        <f>""</f>
        <v/>
      </c>
      <c r="K3893" s="22" t="str">
        <f>"PFES1162675845_0001"</f>
        <v>PFES1162675845_0001</v>
      </c>
      <c r="L3893" s="22">
        <v>1</v>
      </c>
      <c r="M3893" s="22">
        <v>1</v>
      </c>
    </row>
    <row r="3894" spans="1:13">
      <c r="A3894" s="6">
        <v>43523</v>
      </c>
      <c r="B3894" s="7">
        <v>0.68402777777777779</v>
      </c>
      <c r="C3894" s="22" t="str">
        <f>"FES1162675877"</f>
        <v>FES1162675877</v>
      </c>
      <c r="D3894" s="22" t="s">
        <v>18</v>
      </c>
      <c r="E3894" s="22" t="s">
        <v>160</v>
      </c>
      <c r="F3894" s="22" t="str">
        <f>"2170676651 "</f>
        <v xml:space="preserve">2170676651 </v>
      </c>
      <c r="G3894" s="22" t="str">
        <f t="shared" si="108"/>
        <v>ON1</v>
      </c>
      <c r="H3894" s="22" t="s">
        <v>20</v>
      </c>
      <c r="I3894" s="22" t="s">
        <v>161</v>
      </c>
      <c r="J3894" s="22" t="str">
        <f>""</f>
        <v/>
      </c>
      <c r="K3894" s="22" t="str">
        <f>"PFES1162675877_0001"</f>
        <v>PFES1162675877_0001</v>
      </c>
      <c r="L3894" s="22">
        <v>1</v>
      </c>
      <c r="M3894" s="22">
        <v>1</v>
      </c>
    </row>
    <row r="3895" spans="1:13">
      <c r="A3895" s="6">
        <v>43523</v>
      </c>
      <c r="B3895" s="7">
        <v>0.68402777777777779</v>
      </c>
      <c r="C3895" s="22" t="str">
        <f>"FES1162675862"</f>
        <v>FES1162675862</v>
      </c>
      <c r="D3895" s="22" t="s">
        <v>18</v>
      </c>
      <c r="E3895" s="22" t="s">
        <v>323</v>
      </c>
      <c r="F3895" s="22" t="str">
        <f>"2170676635 "</f>
        <v xml:space="preserve">2170676635 </v>
      </c>
      <c r="G3895" s="22" t="str">
        <f t="shared" si="108"/>
        <v>ON1</v>
      </c>
      <c r="H3895" s="22" t="s">
        <v>20</v>
      </c>
      <c r="I3895" s="22" t="s">
        <v>324</v>
      </c>
      <c r="J3895" s="22" t="str">
        <f>""</f>
        <v/>
      </c>
      <c r="K3895" s="22" t="str">
        <f>"PFES1162675862_0001"</f>
        <v>PFES1162675862_0001</v>
      </c>
      <c r="L3895" s="22">
        <v>1</v>
      </c>
      <c r="M3895" s="22">
        <v>1</v>
      </c>
    </row>
    <row r="3896" spans="1:13">
      <c r="A3896" s="6">
        <v>43523</v>
      </c>
      <c r="B3896" s="7">
        <v>0.68402777777777779</v>
      </c>
      <c r="C3896" s="22" t="str">
        <f>"FES1162675784"</f>
        <v>FES1162675784</v>
      </c>
      <c r="D3896" s="22" t="s">
        <v>18</v>
      </c>
      <c r="E3896" s="22" t="s">
        <v>19</v>
      </c>
      <c r="F3896" s="22" t="str">
        <f>"2170676049 "</f>
        <v xml:space="preserve">2170676049 </v>
      </c>
      <c r="G3896" s="22" t="str">
        <f t="shared" si="108"/>
        <v>ON1</v>
      </c>
      <c r="H3896" s="22" t="s">
        <v>20</v>
      </c>
      <c r="I3896" s="22" t="s">
        <v>21</v>
      </c>
      <c r="J3896" s="22" t="str">
        <f>""</f>
        <v/>
      </c>
      <c r="K3896" s="22" t="str">
        <f>"PFES1162675784_0001"</f>
        <v>PFES1162675784_0001</v>
      </c>
      <c r="L3896" s="22">
        <v>1</v>
      </c>
      <c r="M3896" s="22">
        <v>1</v>
      </c>
    </row>
    <row r="3897" spans="1:13">
      <c r="A3897" s="6">
        <v>43523</v>
      </c>
      <c r="B3897" s="7">
        <v>0.68402777777777779</v>
      </c>
      <c r="C3897" s="22" t="str">
        <f>"FES1162675824"</f>
        <v>FES1162675824</v>
      </c>
      <c r="D3897" s="22" t="s">
        <v>18</v>
      </c>
      <c r="E3897" s="22" t="s">
        <v>66</v>
      </c>
      <c r="F3897" s="22" t="str">
        <f>"2170676601 "</f>
        <v xml:space="preserve">2170676601 </v>
      </c>
      <c r="G3897" s="22" t="str">
        <f t="shared" si="108"/>
        <v>ON1</v>
      </c>
      <c r="H3897" s="22" t="s">
        <v>20</v>
      </c>
      <c r="I3897" s="22" t="s">
        <v>67</v>
      </c>
      <c r="J3897" s="22" t="str">
        <f>""</f>
        <v/>
      </c>
      <c r="K3897" s="22" t="str">
        <f>"PFES1162675824_0001"</f>
        <v>PFES1162675824_0001</v>
      </c>
      <c r="L3897" s="22">
        <v>1</v>
      </c>
      <c r="M3897" s="22">
        <v>1</v>
      </c>
    </row>
    <row r="3898" spans="1:13">
      <c r="A3898" s="6">
        <v>43523</v>
      </c>
      <c r="B3898" s="7">
        <v>0.68333333333333324</v>
      </c>
      <c r="C3898" s="22" t="str">
        <f>"FES1162675874"</f>
        <v>FES1162675874</v>
      </c>
      <c r="D3898" s="22" t="s">
        <v>18</v>
      </c>
      <c r="E3898" s="22" t="s">
        <v>160</v>
      </c>
      <c r="F3898" s="22" t="str">
        <f>"2170676648 "</f>
        <v xml:space="preserve">2170676648 </v>
      </c>
      <c r="G3898" s="22" t="str">
        <f t="shared" si="108"/>
        <v>ON1</v>
      </c>
      <c r="H3898" s="22" t="s">
        <v>20</v>
      </c>
      <c r="I3898" s="22" t="s">
        <v>161</v>
      </c>
      <c r="J3898" s="22" t="str">
        <f>""</f>
        <v/>
      </c>
      <c r="K3898" s="22" t="str">
        <f>"PFES1162675874_0001"</f>
        <v>PFES1162675874_0001</v>
      </c>
      <c r="L3898" s="22">
        <v>1</v>
      </c>
      <c r="M3898" s="22">
        <v>1</v>
      </c>
    </row>
    <row r="3899" spans="1:13">
      <c r="A3899" s="6">
        <v>43523</v>
      </c>
      <c r="B3899" s="7">
        <v>0.68333333333333324</v>
      </c>
      <c r="C3899" s="22" t="str">
        <f>"009935791999"</f>
        <v>009935791999</v>
      </c>
      <c r="D3899" s="22" t="s">
        <v>18</v>
      </c>
      <c r="E3899" s="22" t="s">
        <v>748</v>
      </c>
      <c r="F3899" s="22" t="str">
        <f>"1162672326 "</f>
        <v xml:space="preserve">1162672326 </v>
      </c>
      <c r="G3899" s="22" t="str">
        <f t="shared" si="108"/>
        <v>ON1</v>
      </c>
      <c r="H3899" s="22" t="s">
        <v>20</v>
      </c>
      <c r="I3899" s="22" t="s">
        <v>341</v>
      </c>
      <c r="J3899" s="22" t="str">
        <f>""</f>
        <v/>
      </c>
      <c r="K3899" s="22" t="str">
        <f>"P009935791999_0001"</f>
        <v>P009935791999_0001</v>
      </c>
      <c r="L3899" s="22">
        <v>1</v>
      </c>
      <c r="M3899" s="22">
        <v>1</v>
      </c>
    </row>
    <row r="3900" spans="1:13">
      <c r="A3900" s="6">
        <v>43523</v>
      </c>
      <c r="B3900" s="7">
        <v>0.68263888888888891</v>
      </c>
      <c r="C3900" s="22" t="str">
        <f>"FES1162675850"</f>
        <v>FES1162675850</v>
      </c>
      <c r="D3900" s="22" t="s">
        <v>18</v>
      </c>
      <c r="E3900" s="22" t="s">
        <v>42</v>
      </c>
      <c r="F3900" s="22" t="str">
        <f>"2170676628 "</f>
        <v xml:space="preserve">2170676628 </v>
      </c>
      <c r="G3900" s="22" t="str">
        <f t="shared" si="108"/>
        <v>ON1</v>
      </c>
      <c r="H3900" s="22" t="s">
        <v>20</v>
      </c>
      <c r="I3900" s="22" t="s">
        <v>43</v>
      </c>
      <c r="J3900" s="22" t="str">
        <f>""</f>
        <v/>
      </c>
      <c r="K3900" s="22" t="str">
        <f>"PFES1162675850_0001"</f>
        <v>PFES1162675850_0001</v>
      </c>
      <c r="L3900" s="22">
        <v>1</v>
      </c>
      <c r="M3900" s="22">
        <v>2</v>
      </c>
    </row>
    <row r="3901" spans="1:13">
      <c r="A3901" s="6">
        <v>43523</v>
      </c>
      <c r="B3901" s="7">
        <v>0.68263888888888891</v>
      </c>
      <c r="C3901" s="22" t="str">
        <f>"FES1162675778"</f>
        <v>FES1162675778</v>
      </c>
      <c r="D3901" s="22" t="s">
        <v>18</v>
      </c>
      <c r="E3901" s="22" t="s">
        <v>42</v>
      </c>
      <c r="F3901" s="22" t="str">
        <f>"2170676540 "</f>
        <v xml:space="preserve">2170676540 </v>
      </c>
      <c r="G3901" s="22" t="str">
        <f t="shared" si="108"/>
        <v>ON1</v>
      </c>
      <c r="H3901" s="22" t="s">
        <v>20</v>
      </c>
      <c r="I3901" s="22" t="s">
        <v>43</v>
      </c>
      <c r="J3901" s="22" t="str">
        <f>""</f>
        <v/>
      </c>
      <c r="K3901" s="22" t="str">
        <f>"PFES1162675778_0001"</f>
        <v>PFES1162675778_0001</v>
      </c>
      <c r="L3901" s="22">
        <v>1</v>
      </c>
      <c r="M3901" s="22">
        <v>8</v>
      </c>
    </row>
    <row r="3902" spans="1:13">
      <c r="A3902" s="6">
        <v>43523</v>
      </c>
      <c r="B3902" s="7">
        <v>0.68194444444444446</v>
      </c>
      <c r="C3902" s="22" t="str">
        <f>"FES1162675642"</f>
        <v>FES1162675642</v>
      </c>
      <c r="D3902" s="22" t="s">
        <v>18</v>
      </c>
      <c r="E3902" s="22" t="s">
        <v>1198</v>
      </c>
      <c r="F3902" s="22" t="str">
        <f>"2170676446 "</f>
        <v xml:space="preserve">2170676446 </v>
      </c>
      <c r="G3902" s="22" t="str">
        <f t="shared" si="108"/>
        <v>ON1</v>
      </c>
      <c r="H3902" s="22" t="s">
        <v>20</v>
      </c>
      <c r="I3902" s="22" t="s">
        <v>929</v>
      </c>
      <c r="J3902" s="22" t="str">
        <f>""</f>
        <v/>
      </c>
      <c r="K3902" s="22" t="str">
        <f>"PFES1162675642_0001"</f>
        <v>PFES1162675642_0001</v>
      </c>
      <c r="L3902" s="22">
        <v>1</v>
      </c>
      <c r="M3902" s="22">
        <v>3</v>
      </c>
    </row>
    <row r="3903" spans="1:13">
      <c r="A3903" s="6">
        <v>43523</v>
      </c>
      <c r="B3903" s="7">
        <v>0.68194444444444446</v>
      </c>
      <c r="C3903" s="22" t="str">
        <f>"FES1162675730"</f>
        <v>FES1162675730</v>
      </c>
      <c r="D3903" s="22" t="s">
        <v>18</v>
      </c>
      <c r="E3903" s="22" t="s">
        <v>26</v>
      </c>
      <c r="F3903" s="22" t="str">
        <f>"2170676500 "</f>
        <v xml:space="preserve">2170676500 </v>
      </c>
      <c r="G3903" s="22" t="str">
        <f t="shared" si="108"/>
        <v>ON1</v>
      </c>
      <c r="H3903" s="22" t="s">
        <v>20</v>
      </c>
      <c r="I3903" s="22" t="s">
        <v>27</v>
      </c>
      <c r="J3903" s="22" t="str">
        <f>""</f>
        <v/>
      </c>
      <c r="K3903" s="22" t="str">
        <f>"PFES1162675730_0001"</f>
        <v>PFES1162675730_0001</v>
      </c>
      <c r="L3903" s="22">
        <v>1</v>
      </c>
      <c r="M3903" s="22">
        <v>7</v>
      </c>
    </row>
    <row r="3904" spans="1:13">
      <c r="A3904" s="6">
        <v>43523</v>
      </c>
      <c r="B3904" s="7">
        <v>0.68194444444444446</v>
      </c>
      <c r="C3904" s="22" t="str">
        <f>"FES1162675843"</f>
        <v>FES1162675843</v>
      </c>
      <c r="D3904" s="22" t="s">
        <v>18</v>
      </c>
      <c r="E3904" s="22" t="s">
        <v>1199</v>
      </c>
      <c r="F3904" s="22" t="str">
        <f>"2170676609 "</f>
        <v xml:space="preserve">2170676609 </v>
      </c>
      <c r="G3904" s="22" t="str">
        <f t="shared" si="108"/>
        <v>ON1</v>
      </c>
      <c r="H3904" s="22" t="s">
        <v>20</v>
      </c>
      <c r="I3904" s="22" t="s">
        <v>1200</v>
      </c>
      <c r="J3904" s="22" t="str">
        <f>""</f>
        <v/>
      </c>
      <c r="K3904" s="22" t="str">
        <f>"PFES1162675843_0001"</f>
        <v>PFES1162675843_0001</v>
      </c>
      <c r="L3904" s="22">
        <v>1</v>
      </c>
      <c r="M3904" s="22">
        <v>2</v>
      </c>
    </row>
    <row r="3905" spans="1:13">
      <c r="A3905" s="6">
        <v>43523</v>
      </c>
      <c r="B3905" s="7">
        <v>0.68125000000000002</v>
      </c>
      <c r="C3905" s="22" t="str">
        <f>"FES1162675854"</f>
        <v>FES1162675854</v>
      </c>
      <c r="D3905" s="22" t="s">
        <v>18</v>
      </c>
      <c r="E3905" s="22" t="s">
        <v>451</v>
      </c>
      <c r="F3905" s="22" t="str">
        <f>"2170676777 "</f>
        <v xml:space="preserve">2170676777 </v>
      </c>
      <c r="G3905" s="22" t="str">
        <f t="shared" si="108"/>
        <v>ON1</v>
      </c>
      <c r="H3905" s="22" t="s">
        <v>20</v>
      </c>
      <c r="I3905" s="22" t="s">
        <v>149</v>
      </c>
      <c r="J3905" s="22" t="str">
        <f>""</f>
        <v/>
      </c>
      <c r="K3905" s="22" t="str">
        <f>"PFES1162675854_0001"</f>
        <v>PFES1162675854_0001</v>
      </c>
      <c r="L3905" s="22">
        <v>1</v>
      </c>
      <c r="M3905" s="22">
        <v>6</v>
      </c>
    </row>
    <row r="3906" spans="1:13">
      <c r="A3906" s="6">
        <v>43523</v>
      </c>
      <c r="B3906" s="7">
        <v>0.68125000000000002</v>
      </c>
      <c r="C3906" s="22" t="str">
        <f>"FES1162675846"</f>
        <v>FES1162675846</v>
      </c>
      <c r="D3906" s="22" t="s">
        <v>18</v>
      </c>
      <c r="E3906" s="22" t="s">
        <v>1201</v>
      </c>
      <c r="F3906" s="22" t="str">
        <f>"2170676620 "</f>
        <v xml:space="preserve">2170676620 </v>
      </c>
      <c r="G3906" s="22" t="str">
        <f t="shared" si="108"/>
        <v>ON1</v>
      </c>
      <c r="H3906" s="22" t="s">
        <v>20</v>
      </c>
      <c r="I3906" s="22" t="s">
        <v>182</v>
      </c>
      <c r="J3906" s="22" t="str">
        <f>""</f>
        <v/>
      </c>
      <c r="K3906" s="22" t="str">
        <f>"PFES1162675846_0001"</f>
        <v>PFES1162675846_0001</v>
      </c>
      <c r="L3906" s="22">
        <v>1</v>
      </c>
      <c r="M3906" s="22">
        <v>4</v>
      </c>
    </row>
    <row r="3907" spans="1:13">
      <c r="A3907" s="6">
        <v>43523</v>
      </c>
      <c r="B3907" s="7">
        <v>0.68125000000000002</v>
      </c>
      <c r="C3907" s="22" t="str">
        <f>"FES1162675786"</f>
        <v>FES1162675786</v>
      </c>
      <c r="D3907" s="22" t="s">
        <v>18</v>
      </c>
      <c r="E3907" s="22" t="s">
        <v>162</v>
      </c>
      <c r="F3907" s="22" t="str">
        <f>"2170676137 "</f>
        <v xml:space="preserve">2170676137 </v>
      </c>
      <c r="G3907" s="22" t="str">
        <f t="shared" si="108"/>
        <v>ON1</v>
      </c>
      <c r="H3907" s="22" t="s">
        <v>20</v>
      </c>
      <c r="I3907" s="22" t="s">
        <v>163</v>
      </c>
      <c r="J3907" s="22" t="str">
        <f>""</f>
        <v/>
      </c>
      <c r="K3907" s="22" t="str">
        <f>"PFES1162675786_0001"</f>
        <v>PFES1162675786_0001</v>
      </c>
      <c r="L3907" s="22">
        <v>1</v>
      </c>
      <c r="M3907" s="22">
        <v>4</v>
      </c>
    </row>
    <row r="3908" spans="1:13">
      <c r="A3908" s="6">
        <v>43523</v>
      </c>
      <c r="B3908" s="7">
        <v>0.68055555555555547</v>
      </c>
      <c r="C3908" s="22" t="str">
        <f>"FES1162675775"</f>
        <v>FES1162675775</v>
      </c>
      <c r="D3908" s="22" t="s">
        <v>18</v>
      </c>
      <c r="E3908" s="22" t="s">
        <v>344</v>
      </c>
      <c r="F3908" s="22" t="str">
        <f>"2170671037 "</f>
        <v xml:space="preserve">2170671037 </v>
      </c>
      <c r="G3908" s="22" t="str">
        <f t="shared" si="108"/>
        <v>ON1</v>
      </c>
      <c r="H3908" s="22" t="s">
        <v>20</v>
      </c>
      <c r="I3908" s="22" t="s">
        <v>345</v>
      </c>
      <c r="J3908" s="22" t="str">
        <f>""</f>
        <v/>
      </c>
      <c r="K3908" s="22" t="str">
        <f>"PFES1162675775_0001"</f>
        <v>PFES1162675775_0001</v>
      </c>
      <c r="L3908" s="22">
        <v>1</v>
      </c>
      <c r="M3908" s="22">
        <v>19</v>
      </c>
    </row>
    <row r="3909" spans="1:13">
      <c r="A3909" s="6">
        <v>43523</v>
      </c>
      <c r="B3909" s="7">
        <v>0.68055555555555547</v>
      </c>
      <c r="C3909" s="22" t="str">
        <f>"FES1162675104"</f>
        <v>FES1162675104</v>
      </c>
      <c r="D3909" s="22" t="s">
        <v>18</v>
      </c>
      <c r="E3909" s="22" t="s">
        <v>642</v>
      </c>
      <c r="F3909" s="22" t="str">
        <f>"2170676058 "</f>
        <v xml:space="preserve">2170676058 </v>
      </c>
      <c r="G3909" s="22" t="str">
        <f t="shared" si="108"/>
        <v>ON1</v>
      </c>
      <c r="H3909" s="22" t="s">
        <v>20</v>
      </c>
      <c r="I3909" s="22" t="s">
        <v>43</v>
      </c>
      <c r="J3909" s="22" t="str">
        <f>""</f>
        <v/>
      </c>
      <c r="K3909" s="22" t="str">
        <f>"PFES1162675104_0001"</f>
        <v>PFES1162675104_0001</v>
      </c>
      <c r="L3909" s="22">
        <v>1</v>
      </c>
      <c r="M3909" s="22">
        <v>5</v>
      </c>
    </row>
    <row r="3910" spans="1:13">
      <c r="A3910" s="6">
        <v>43523</v>
      </c>
      <c r="B3910" s="7">
        <v>0.67986111111111114</v>
      </c>
      <c r="C3910" s="22" t="str">
        <f>"FES1162675649"</f>
        <v>FES1162675649</v>
      </c>
      <c r="D3910" s="22" t="s">
        <v>18</v>
      </c>
      <c r="E3910" s="22" t="s">
        <v>176</v>
      </c>
      <c r="F3910" s="22" t="str">
        <f>"2170676251 "</f>
        <v xml:space="preserve">2170676251 </v>
      </c>
      <c r="G3910" s="22" t="str">
        <f t="shared" si="108"/>
        <v>ON1</v>
      </c>
      <c r="H3910" s="22" t="s">
        <v>20</v>
      </c>
      <c r="I3910" s="22" t="s">
        <v>708</v>
      </c>
      <c r="J3910" s="22" t="str">
        <f>""</f>
        <v/>
      </c>
      <c r="K3910" s="22" t="str">
        <f>"PFES1162675649_0001"</f>
        <v>PFES1162675649_0001</v>
      </c>
      <c r="L3910" s="22">
        <v>2</v>
      </c>
      <c r="M3910" s="22">
        <v>15</v>
      </c>
    </row>
    <row r="3911" spans="1:13">
      <c r="A3911" s="6">
        <v>43496</v>
      </c>
      <c r="B3911" s="7">
        <v>0.62847222222222221</v>
      </c>
      <c r="C3911" s="22" t="str">
        <f>"FES1162675649"</f>
        <v>FES1162675649</v>
      </c>
      <c r="D3911" s="22" t="s">
        <v>18</v>
      </c>
      <c r="E3911" s="22" t="s">
        <v>225</v>
      </c>
      <c r="F3911" s="22" t="str">
        <f>"2170670373 "</f>
        <v xml:space="preserve">2170670373 </v>
      </c>
      <c r="G3911" s="22" t="str">
        <f t="shared" si="108"/>
        <v>ON1</v>
      </c>
      <c r="H3911" s="22" t="s">
        <v>20</v>
      </c>
      <c r="I3911" s="22" t="s">
        <v>226</v>
      </c>
      <c r="J3911" s="22" t="str">
        <f>""</f>
        <v/>
      </c>
      <c r="K3911" s="22" t="str">
        <f>"PFES1162675649_0002"</f>
        <v>PFES1162675649_0002</v>
      </c>
      <c r="L3911" s="22">
        <v>1</v>
      </c>
      <c r="M3911" s="22">
        <v>5</v>
      </c>
    </row>
    <row r="3912" spans="1:13">
      <c r="A3912" s="6">
        <v>43523</v>
      </c>
      <c r="B3912" s="7">
        <v>0.67986111111111114</v>
      </c>
      <c r="C3912" s="22" t="str">
        <f>"FES1162675733"</f>
        <v>FES1162675733</v>
      </c>
      <c r="D3912" s="22" t="s">
        <v>18</v>
      </c>
      <c r="E3912" s="22" t="s">
        <v>1202</v>
      </c>
      <c r="F3912" s="22" t="str">
        <f>"2170676505 "</f>
        <v xml:space="preserve">2170676505 </v>
      </c>
      <c r="G3912" s="22" t="str">
        <f t="shared" si="108"/>
        <v>ON1</v>
      </c>
      <c r="H3912" s="22" t="s">
        <v>20</v>
      </c>
      <c r="I3912" s="22" t="s">
        <v>433</v>
      </c>
      <c r="J3912" s="22" t="str">
        <f>""</f>
        <v/>
      </c>
      <c r="K3912" s="22" t="str">
        <f>"PFES1162675733_0001"</f>
        <v>PFES1162675733_0001</v>
      </c>
      <c r="L3912" s="22">
        <v>1</v>
      </c>
      <c r="M3912" s="22">
        <v>2</v>
      </c>
    </row>
    <row r="3913" spans="1:13">
      <c r="A3913" s="6">
        <v>43523</v>
      </c>
      <c r="B3913" s="7">
        <v>0.6791666666666667</v>
      </c>
      <c r="C3913" s="22" t="str">
        <f>"FES1162674147"</f>
        <v>FES1162674147</v>
      </c>
      <c r="D3913" s="22" t="s">
        <v>18</v>
      </c>
      <c r="E3913" s="22" t="s">
        <v>389</v>
      </c>
      <c r="F3913" s="22" t="str">
        <f>"2170673812 "</f>
        <v xml:space="preserve">2170673812 </v>
      </c>
      <c r="G3913" s="22" t="str">
        <f t="shared" si="108"/>
        <v>ON1</v>
      </c>
      <c r="H3913" s="22" t="s">
        <v>20</v>
      </c>
      <c r="I3913" s="22" t="s">
        <v>390</v>
      </c>
      <c r="J3913" s="22" t="str">
        <f>""</f>
        <v/>
      </c>
      <c r="K3913" s="22" t="str">
        <f>"PFES1162674147_0001"</f>
        <v>PFES1162674147_0001</v>
      </c>
      <c r="L3913" s="22">
        <v>1</v>
      </c>
      <c r="M3913" s="22">
        <v>4</v>
      </c>
    </row>
    <row r="3914" spans="1:13">
      <c r="A3914" s="6">
        <v>43523</v>
      </c>
      <c r="B3914" s="7">
        <v>0.59861111111111109</v>
      </c>
      <c r="C3914" s="22" t="str">
        <f>"FES1162675780"</f>
        <v>FES1162675780</v>
      </c>
      <c r="D3914" s="22" t="s">
        <v>18</v>
      </c>
      <c r="E3914" s="22" t="s">
        <v>19</v>
      </c>
      <c r="F3914" s="22" t="str">
        <f>"2170676543 "</f>
        <v xml:space="preserve">2170676543 </v>
      </c>
      <c r="G3914" s="22" t="str">
        <f t="shared" si="108"/>
        <v>ON1</v>
      </c>
      <c r="H3914" s="22" t="s">
        <v>20</v>
      </c>
      <c r="I3914" s="22" t="s">
        <v>21</v>
      </c>
      <c r="J3914" s="22" t="str">
        <f>""</f>
        <v/>
      </c>
      <c r="K3914" s="22" t="str">
        <f>"PFES1162675780_0001"</f>
        <v>PFES1162675780_0001</v>
      </c>
      <c r="L3914" s="22">
        <v>1</v>
      </c>
      <c r="M3914" s="22">
        <v>3</v>
      </c>
    </row>
    <row r="3915" spans="1:13">
      <c r="A3915" s="6">
        <v>43523</v>
      </c>
      <c r="B3915" s="7">
        <v>0.59861111111111109</v>
      </c>
      <c r="C3915" s="22" t="str">
        <f>"FES1162675749"</f>
        <v>FES1162675749</v>
      </c>
      <c r="D3915" s="22" t="s">
        <v>18</v>
      </c>
      <c r="E3915" s="22" t="s">
        <v>150</v>
      </c>
      <c r="F3915" s="22" t="str">
        <f>"2170611790 "</f>
        <v xml:space="preserve">2170611790 </v>
      </c>
      <c r="G3915" s="22" t="str">
        <f t="shared" si="108"/>
        <v>ON1</v>
      </c>
      <c r="H3915" s="22" t="s">
        <v>20</v>
      </c>
      <c r="I3915" s="22" t="s">
        <v>137</v>
      </c>
      <c r="J3915" s="22" t="str">
        <f>""</f>
        <v/>
      </c>
      <c r="K3915" s="22" t="str">
        <f>"PFES1162675749_0001"</f>
        <v>PFES1162675749_0001</v>
      </c>
      <c r="L3915" s="22">
        <v>1</v>
      </c>
      <c r="M3915" s="22">
        <v>4</v>
      </c>
    </row>
    <row r="3916" spans="1:13">
      <c r="A3916" s="6">
        <v>43523</v>
      </c>
      <c r="B3916" s="7">
        <v>0.59861111111111109</v>
      </c>
      <c r="C3916" s="22" t="str">
        <f>"FES1162675816"</f>
        <v>FES1162675816</v>
      </c>
      <c r="D3916" s="22" t="s">
        <v>18</v>
      </c>
      <c r="E3916" s="22" t="s">
        <v>1005</v>
      </c>
      <c r="F3916" s="22" t="str">
        <f>"2170674841 "</f>
        <v xml:space="preserve">2170674841 </v>
      </c>
      <c r="G3916" s="22" t="str">
        <f t="shared" si="108"/>
        <v>ON1</v>
      </c>
      <c r="H3916" s="22" t="s">
        <v>20</v>
      </c>
      <c r="I3916" s="22" t="s">
        <v>1006</v>
      </c>
      <c r="J3916" s="22" t="str">
        <f>""</f>
        <v/>
      </c>
      <c r="K3916" s="22" t="str">
        <f>"PFES1162675816_0001"</f>
        <v>PFES1162675816_0001</v>
      </c>
      <c r="L3916" s="22">
        <v>1</v>
      </c>
      <c r="M3916" s="22">
        <v>1</v>
      </c>
    </row>
    <row r="3917" spans="1:13">
      <c r="A3917" s="6">
        <v>43523</v>
      </c>
      <c r="B3917" s="7">
        <v>0.59791666666666665</v>
      </c>
      <c r="C3917" s="22" t="str">
        <f>"FES1162675804"</f>
        <v>FES1162675804</v>
      </c>
      <c r="D3917" s="22" t="s">
        <v>18</v>
      </c>
      <c r="E3917" s="22" t="s">
        <v>634</v>
      </c>
      <c r="F3917" s="22" t="str">
        <f>"2170674511 "</f>
        <v xml:space="preserve">2170674511 </v>
      </c>
      <c r="G3917" s="22" t="str">
        <f t="shared" si="108"/>
        <v>ON1</v>
      </c>
      <c r="H3917" s="22" t="s">
        <v>20</v>
      </c>
      <c r="I3917" s="22" t="s">
        <v>635</v>
      </c>
      <c r="J3917" s="22" t="str">
        <f>""</f>
        <v/>
      </c>
      <c r="K3917" s="22" t="str">
        <f>"PFES1162675804_0001"</f>
        <v>PFES1162675804_0001</v>
      </c>
      <c r="L3917" s="22">
        <v>1</v>
      </c>
      <c r="M3917" s="22">
        <v>10</v>
      </c>
    </row>
    <row r="3918" spans="1:13">
      <c r="A3918" s="6">
        <v>43523</v>
      </c>
      <c r="B3918" s="7">
        <v>0.59791666666666665</v>
      </c>
      <c r="C3918" s="22" t="str">
        <f>"FES1162675699"</f>
        <v>FES1162675699</v>
      </c>
      <c r="D3918" s="22" t="s">
        <v>18</v>
      </c>
      <c r="E3918" s="22" t="s">
        <v>1005</v>
      </c>
      <c r="F3918" s="22" t="str">
        <f>"2170674841 "</f>
        <v xml:space="preserve">2170674841 </v>
      </c>
      <c r="G3918" s="22" t="str">
        <f t="shared" si="108"/>
        <v>ON1</v>
      </c>
      <c r="H3918" s="22" t="s">
        <v>20</v>
      </c>
      <c r="I3918" s="22" t="s">
        <v>1006</v>
      </c>
      <c r="J3918" s="22" t="str">
        <f>""</f>
        <v/>
      </c>
      <c r="K3918" s="22" t="str">
        <f>"PFES1162675699_0001"</f>
        <v>PFES1162675699_0001</v>
      </c>
      <c r="L3918" s="22">
        <v>1</v>
      </c>
      <c r="M3918" s="22">
        <v>1</v>
      </c>
    </row>
    <row r="3919" spans="1:13">
      <c r="A3919" s="6">
        <v>43523</v>
      </c>
      <c r="B3919" s="7">
        <v>0.59791666666666665</v>
      </c>
      <c r="C3919" s="22" t="str">
        <f>"FES1162675747"</f>
        <v>FES1162675747</v>
      </c>
      <c r="D3919" s="22" t="s">
        <v>18</v>
      </c>
      <c r="E3919" s="22" t="s">
        <v>828</v>
      </c>
      <c r="F3919" s="22" t="str">
        <f>"2170676515 "</f>
        <v xml:space="preserve">2170676515 </v>
      </c>
      <c r="G3919" s="22" t="str">
        <f t="shared" si="108"/>
        <v>ON1</v>
      </c>
      <c r="H3919" s="22" t="s">
        <v>20</v>
      </c>
      <c r="I3919" s="22" t="s">
        <v>242</v>
      </c>
      <c r="J3919" s="22" t="str">
        <f>""</f>
        <v/>
      </c>
      <c r="K3919" s="22" t="str">
        <f>"PFES1162675747_0001"</f>
        <v>PFES1162675747_0001</v>
      </c>
      <c r="L3919" s="22">
        <v>1</v>
      </c>
      <c r="M3919" s="22">
        <v>14</v>
      </c>
    </row>
    <row r="3920" spans="1:13">
      <c r="A3920" s="6">
        <v>43523</v>
      </c>
      <c r="B3920" s="7">
        <v>0.59722222222222221</v>
      </c>
      <c r="C3920" s="22" t="str">
        <f>"FES1162675636"</f>
        <v>FES1162675636</v>
      </c>
      <c r="D3920" s="22" t="s">
        <v>18</v>
      </c>
      <c r="E3920" s="22" t="s">
        <v>245</v>
      </c>
      <c r="F3920" s="22" t="str">
        <f>"21706768544 "</f>
        <v xml:space="preserve">21706768544 </v>
      </c>
      <c r="G3920" s="22" t="str">
        <f t="shared" si="108"/>
        <v>ON1</v>
      </c>
      <c r="H3920" s="22" t="s">
        <v>20</v>
      </c>
      <c r="I3920" s="22" t="s">
        <v>89</v>
      </c>
      <c r="J3920" s="22" t="str">
        <f>""</f>
        <v/>
      </c>
      <c r="K3920" s="22" t="str">
        <f>"PFES1162675636_0001"</f>
        <v>PFES1162675636_0001</v>
      </c>
      <c r="L3920" s="22">
        <v>1</v>
      </c>
      <c r="M3920" s="22">
        <v>16</v>
      </c>
    </row>
    <row r="3921" spans="1:13">
      <c r="A3921" s="6">
        <v>43523</v>
      </c>
      <c r="B3921" s="7">
        <v>0.59722222222222221</v>
      </c>
      <c r="C3921" s="22" t="str">
        <f>"FES1162675635"</f>
        <v>FES1162675635</v>
      </c>
      <c r="D3921" s="22" t="s">
        <v>18</v>
      </c>
      <c r="E3921" s="22" t="s">
        <v>245</v>
      </c>
      <c r="F3921" s="22" t="str">
        <f>"2170668557+ "</f>
        <v xml:space="preserve">2170668557+ </v>
      </c>
      <c r="G3921" s="22" t="str">
        <f t="shared" si="108"/>
        <v>ON1</v>
      </c>
      <c r="H3921" s="22" t="s">
        <v>20</v>
      </c>
      <c r="I3921" s="22" t="s">
        <v>89</v>
      </c>
      <c r="J3921" s="22" t="str">
        <f>""</f>
        <v/>
      </c>
      <c r="K3921" s="22" t="str">
        <f>"PFES1162675635_0001"</f>
        <v>PFES1162675635_0001</v>
      </c>
      <c r="L3921" s="22">
        <v>1</v>
      </c>
      <c r="M3921" s="22">
        <v>16</v>
      </c>
    </row>
    <row r="3922" spans="1:13">
      <c r="A3922" s="6">
        <v>43523</v>
      </c>
      <c r="B3922" s="7">
        <v>0.59652777777777777</v>
      </c>
      <c r="C3922" s="22" t="str">
        <f>"FES1162675647"</f>
        <v>FES1162675647</v>
      </c>
      <c r="D3922" s="22" t="s">
        <v>18</v>
      </c>
      <c r="E3922" s="22" t="s">
        <v>913</v>
      </c>
      <c r="F3922" s="22" t="str">
        <f>"2170674780 "</f>
        <v xml:space="preserve">2170674780 </v>
      </c>
      <c r="G3922" s="22" t="str">
        <f t="shared" si="108"/>
        <v>ON1</v>
      </c>
      <c r="H3922" s="22" t="s">
        <v>20</v>
      </c>
      <c r="I3922" s="22" t="s">
        <v>635</v>
      </c>
      <c r="J3922" s="22" t="str">
        <f>""</f>
        <v/>
      </c>
      <c r="K3922" s="22" t="str">
        <f>"PFES1162675647_0001"</f>
        <v>PFES1162675647_0001</v>
      </c>
      <c r="L3922" s="22">
        <v>1</v>
      </c>
      <c r="M3922" s="22">
        <v>3</v>
      </c>
    </row>
    <row r="3923" spans="1:13">
      <c r="A3923" s="6">
        <v>43523</v>
      </c>
      <c r="B3923" s="7">
        <v>0.59513888888888888</v>
      </c>
      <c r="C3923" s="22" t="str">
        <f>"FES1162675658"</f>
        <v>FES1162675658</v>
      </c>
      <c r="D3923" s="22" t="s">
        <v>18</v>
      </c>
      <c r="E3923" s="22" t="s">
        <v>1203</v>
      </c>
      <c r="F3923" s="22" t="str">
        <f>"2170671056 "</f>
        <v xml:space="preserve">2170671056 </v>
      </c>
      <c r="G3923" s="22" t="str">
        <f t="shared" si="108"/>
        <v>ON1</v>
      </c>
      <c r="H3923" s="22" t="s">
        <v>20</v>
      </c>
      <c r="I3923" s="22" t="s">
        <v>853</v>
      </c>
      <c r="J3923" s="22" t="str">
        <f>""</f>
        <v/>
      </c>
      <c r="K3923" s="22" t="str">
        <f>"PFES1162675658_0001"</f>
        <v>PFES1162675658_0001</v>
      </c>
      <c r="L3923" s="22">
        <v>1</v>
      </c>
      <c r="M3923" s="22">
        <v>3</v>
      </c>
    </row>
    <row r="3924" spans="1:13">
      <c r="A3924" s="6">
        <v>43523</v>
      </c>
      <c r="B3924" s="7">
        <v>0.59305555555555556</v>
      </c>
      <c r="C3924" s="22" t="str">
        <f>"FES1162675575"</f>
        <v>FES1162675575</v>
      </c>
      <c r="D3924" s="22" t="s">
        <v>18</v>
      </c>
      <c r="E3924" s="22" t="s">
        <v>1077</v>
      </c>
      <c r="F3924" s="22" t="str">
        <f>"2170676421 "</f>
        <v xml:space="preserve">2170676421 </v>
      </c>
      <c r="G3924" s="22" t="str">
        <f>"ON2"</f>
        <v>ON2</v>
      </c>
      <c r="H3924" s="22" t="s">
        <v>20</v>
      </c>
      <c r="I3924" s="22" t="s">
        <v>396</v>
      </c>
      <c r="J3924" s="22" t="str">
        <f>"FRAGILE OIL"</f>
        <v>FRAGILE OIL</v>
      </c>
      <c r="K3924" s="22" t="str">
        <f>"PFES1162675575_0001"</f>
        <v>PFES1162675575_0001</v>
      </c>
      <c r="L3924" s="22">
        <v>1</v>
      </c>
      <c r="M3924" s="22">
        <v>4</v>
      </c>
    </row>
    <row r="3925" spans="1:13">
      <c r="A3925" s="6">
        <v>43523</v>
      </c>
      <c r="B3925" s="7">
        <v>0.59166666666666667</v>
      </c>
      <c r="C3925" s="22" t="str">
        <f>"FES1162675589"</f>
        <v>FES1162675589</v>
      </c>
      <c r="D3925" s="22" t="s">
        <v>18</v>
      </c>
      <c r="E3925" s="22" t="s">
        <v>549</v>
      </c>
      <c r="F3925" s="22" t="str">
        <f>"2170672293 "</f>
        <v xml:space="preserve">2170672293 </v>
      </c>
      <c r="G3925" s="22" t="str">
        <f t="shared" ref="G3925:G3988" si="109">"ON1"</f>
        <v>ON1</v>
      </c>
      <c r="H3925" s="22" t="s">
        <v>20</v>
      </c>
      <c r="I3925" s="22" t="s">
        <v>130</v>
      </c>
      <c r="J3925" s="22" t="str">
        <f>""</f>
        <v/>
      </c>
      <c r="K3925" s="22" t="str">
        <f>"PFES1162675589_0001"</f>
        <v>PFES1162675589_0001</v>
      </c>
      <c r="L3925" s="22">
        <v>1</v>
      </c>
      <c r="M3925" s="22">
        <v>8</v>
      </c>
    </row>
    <row r="3926" spans="1:13">
      <c r="A3926" s="6">
        <v>43523</v>
      </c>
      <c r="B3926" s="7">
        <v>0.59027777777777779</v>
      </c>
      <c r="C3926" s="22" t="str">
        <f>"FES1162675603"</f>
        <v>FES1162675603</v>
      </c>
      <c r="D3926" s="22" t="s">
        <v>18</v>
      </c>
      <c r="E3926" s="22" t="s">
        <v>47</v>
      </c>
      <c r="F3926" s="22" t="str">
        <f>"2170673417 "</f>
        <v xml:space="preserve">2170673417 </v>
      </c>
      <c r="G3926" s="22" t="str">
        <f t="shared" si="109"/>
        <v>ON1</v>
      </c>
      <c r="H3926" s="22" t="s">
        <v>20</v>
      </c>
      <c r="I3926" s="22" t="s">
        <v>48</v>
      </c>
      <c r="J3926" s="22" t="str">
        <f>""</f>
        <v/>
      </c>
      <c r="K3926" s="22" t="str">
        <f>"PFES1162675603_0001"</f>
        <v>PFES1162675603_0001</v>
      </c>
      <c r="L3926" s="22">
        <v>1</v>
      </c>
      <c r="M3926" s="22">
        <v>2</v>
      </c>
    </row>
    <row r="3927" spans="1:13">
      <c r="A3927" s="6">
        <v>43523</v>
      </c>
      <c r="B3927" s="7">
        <v>0.58958333333333335</v>
      </c>
      <c r="C3927" s="22" t="str">
        <f>"FES1162675686"</f>
        <v>FES1162675686</v>
      </c>
      <c r="D3927" s="22" t="s">
        <v>18</v>
      </c>
      <c r="E3927" s="22" t="s">
        <v>116</v>
      </c>
      <c r="F3927" s="22" t="str">
        <f>"2170674691 "</f>
        <v xml:space="preserve">2170674691 </v>
      </c>
      <c r="G3927" s="22" t="str">
        <f t="shared" si="109"/>
        <v>ON1</v>
      </c>
      <c r="H3927" s="22" t="s">
        <v>20</v>
      </c>
      <c r="I3927" s="22" t="s">
        <v>117</v>
      </c>
      <c r="J3927" s="22" t="str">
        <f>""</f>
        <v/>
      </c>
      <c r="K3927" s="22" t="str">
        <f>"PFES1162675686_0001"</f>
        <v>PFES1162675686_0001</v>
      </c>
      <c r="L3927" s="22">
        <v>1</v>
      </c>
      <c r="M3927" s="22">
        <v>7</v>
      </c>
    </row>
    <row r="3928" spans="1:13">
      <c r="A3928" s="6">
        <v>43523</v>
      </c>
      <c r="B3928" s="7">
        <v>0.58888888888888891</v>
      </c>
      <c r="C3928" s="22" t="str">
        <f>"FES1162675613"</f>
        <v>FES1162675613</v>
      </c>
      <c r="D3928" s="22" t="s">
        <v>18</v>
      </c>
      <c r="E3928" s="22" t="s">
        <v>400</v>
      </c>
      <c r="F3928" s="22" t="str">
        <f>"2170674462 "</f>
        <v xml:space="preserve">2170674462 </v>
      </c>
      <c r="G3928" s="22" t="str">
        <f t="shared" si="109"/>
        <v>ON1</v>
      </c>
      <c r="H3928" s="22" t="s">
        <v>20</v>
      </c>
      <c r="I3928" s="22" t="s">
        <v>133</v>
      </c>
      <c r="J3928" s="22" t="str">
        <f>""</f>
        <v/>
      </c>
      <c r="K3928" s="22" t="str">
        <f>"PFES1162675613_0001"</f>
        <v>PFES1162675613_0001</v>
      </c>
      <c r="L3928" s="22">
        <v>1</v>
      </c>
      <c r="M3928" s="22">
        <v>2</v>
      </c>
    </row>
    <row r="3929" spans="1:13">
      <c r="A3929" s="6">
        <v>43523</v>
      </c>
      <c r="B3929" s="7">
        <v>0.58819444444444446</v>
      </c>
      <c r="C3929" s="22" t="str">
        <f>"FES1162675590"</f>
        <v>FES1162675590</v>
      </c>
      <c r="D3929" s="22" t="s">
        <v>18</v>
      </c>
      <c r="E3929" s="22" t="s">
        <v>549</v>
      </c>
      <c r="F3929" s="22" t="str">
        <f>"2170672298 "</f>
        <v xml:space="preserve">2170672298 </v>
      </c>
      <c r="G3929" s="22" t="str">
        <f t="shared" si="109"/>
        <v>ON1</v>
      </c>
      <c r="H3929" s="22" t="s">
        <v>20</v>
      </c>
      <c r="I3929" s="22" t="s">
        <v>130</v>
      </c>
      <c r="J3929" s="22" t="str">
        <f>""</f>
        <v/>
      </c>
      <c r="K3929" s="22" t="str">
        <f>"PFES1162675590_0001"</f>
        <v>PFES1162675590_0001</v>
      </c>
      <c r="L3929" s="22">
        <v>1</v>
      </c>
      <c r="M3929" s="22">
        <v>4</v>
      </c>
    </row>
    <row r="3930" spans="1:13">
      <c r="A3930" s="6">
        <v>43523</v>
      </c>
      <c r="B3930" s="7">
        <v>0.58750000000000002</v>
      </c>
      <c r="C3930" s="22" t="str">
        <f>"FES1162675712"</f>
        <v>FES1162675712</v>
      </c>
      <c r="D3930" s="22" t="s">
        <v>18</v>
      </c>
      <c r="E3930" s="22" t="s">
        <v>928</v>
      </c>
      <c r="F3930" s="22" t="str">
        <f>"2170676464 "</f>
        <v xml:space="preserve">2170676464 </v>
      </c>
      <c r="G3930" s="22" t="str">
        <f t="shared" si="109"/>
        <v>ON1</v>
      </c>
      <c r="H3930" s="22" t="s">
        <v>20</v>
      </c>
      <c r="I3930" s="22" t="s">
        <v>679</v>
      </c>
      <c r="J3930" s="22" t="str">
        <f>""</f>
        <v/>
      </c>
      <c r="K3930" s="22" t="str">
        <f>"PFES1162675712_0001"</f>
        <v>PFES1162675712_0001</v>
      </c>
      <c r="L3930" s="22">
        <v>1</v>
      </c>
      <c r="M3930" s="22">
        <v>1</v>
      </c>
    </row>
    <row r="3931" spans="1:13">
      <c r="A3931" s="6">
        <v>43523</v>
      </c>
      <c r="B3931" s="7">
        <v>0.58680555555555558</v>
      </c>
      <c r="C3931" s="22" t="str">
        <f>"FES1162675723"</f>
        <v>FES1162675723</v>
      </c>
      <c r="D3931" s="22" t="s">
        <v>18</v>
      </c>
      <c r="E3931" s="22" t="s">
        <v>88</v>
      </c>
      <c r="F3931" s="22" t="str">
        <f>"2170676485 "</f>
        <v xml:space="preserve">2170676485 </v>
      </c>
      <c r="G3931" s="22" t="str">
        <f t="shared" si="109"/>
        <v>ON1</v>
      </c>
      <c r="H3931" s="22" t="s">
        <v>20</v>
      </c>
      <c r="I3931" s="22" t="s">
        <v>53</v>
      </c>
      <c r="J3931" s="22" t="str">
        <f>""</f>
        <v/>
      </c>
      <c r="K3931" s="22" t="str">
        <f>"PFES1162675723_0001"</f>
        <v>PFES1162675723_0001</v>
      </c>
      <c r="L3931" s="22">
        <v>1</v>
      </c>
      <c r="M3931" s="22">
        <v>1</v>
      </c>
    </row>
    <row r="3932" spans="1:13">
      <c r="A3932" s="6">
        <v>43523</v>
      </c>
      <c r="B3932" s="7">
        <v>0.58680555555555558</v>
      </c>
      <c r="C3932" s="22" t="str">
        <f>"FES1162675579"</f>
        <v>FES1162675579</v>
      </c>
      <c r="D3932" s="22" t="s">
        <v>18</v>
      </c>
      <c r="E3932" s="22" t="s">
        <v>180</v>
      </c>
      <c r="F3932" s="22" t="str">
        <f>"2170676427 "</f>
        <v xml:space="preserve">2170676427 </v>
      </c>
      <c r="G3932" s="22" t="str">
        <f t="shared" si="109"/>
        <v>ON1</v>
      </c>
      <c r="H3932" s="22" t="s">
        <v>20</v>
      </c>
      <c r="I3932" s="22" t="s">
        <v>93</v>
      </c>
      <c r="J3932" s="22" t="str">
        <f>""</f>
        <v/>
      </c>
      <c r="K3932" s="22" t="str">
        <f>"PFES1162675579_0001"</f>
        <v>PFES1162675579_0001</v>
      </c>
      <c r="L3932" s="22">
        <v>1</v>
      </c>
      <c r="M3932" s="22">
        <v>4</v>
      </c>
    </row>
    <row r="3933" spans="1:13">
      <c r="A3933" s="6">
        <v>43523</v>
      </c>
      <c r="B3933" s="7">
        <v>0.58680555555555558</v>
      </c>
      <c r="C3933" s="22" t="str">
        <f>"FES1162675482"</f>
        <v>FES1162675482</v>
      </c>
      <c r="D3933" s="22" t="s">
        <v>18</v>
      </c>
      <c r="E3933" s="22" t="s">
        <v>1204</v>
      </c>
      <c r="F3933" s="22" t="str">
        <f>"2170674394 "</f>
        <v xml:space="preserve">2170674394 </v>
      </c>
      <c r="G3933" s="22" t="str">
        <f t="shared" si="109"/>
        <v>ON1</v>
      </c>
      <c r="H3933" s="22" t="s">
        <v>20</v>
      </c>
      <c r="I3933" s="22" t="s">
        <v>23</v>
      </c>
      <c r="J3933" s="22" t="str">
        <f>""</f>
        <v/>
      </c>
      <c r="K3933" s="22" t="str">
        <f>"PFES1162675482_0001"</f>
        <v>PFES1162675482_0001</v>
      </c>
      <c r="L3933" s="22">
        <v>1</v>
      </c>
      <c r="M3933" s="22">
        <v>1</v>
      </c>
    </row>
    <row r="3934" spans="1:13">
      <c r="A3934" s="6">
        <v>43523</v>
      </c>
      <c r="B3934" s="7">
        <v>0.58611111111111114</v>
      </c>
      <c r="C3934" s="22" t="str">
        <f>"FES1162675768"</f>
        <v>FES1162675768</v>
      </c>
      <c r="D3934" s="22" t="s">
        <v>18</v>
      </c>
      <c r="E3934" s="22" t="s">
        <v>996</v>
      </c>
      <c r="F3934" s="22" t="str">
        <f>"2170676525 "</f>
        <v xml:space="preserve">2170676525 </v>
      </c>
      <c r="G3934" s="22" t="str">
        <f t="shared" si="109"/>
        <v>ON1</v>
      </c>
      <c r="H3934" s="22" t="s">
        <v>20</v>
      </c>
      <c r="I3934" s="22" t="s">
        <v>137</v>
      </c>
      <c r="J3934" s="22" t="str">
        <f>""</f>
        <v/>
      </c>
      <c r="K3934" s="22" t="str">
        <f>"PFES1162675768_0001"</f>
        <v>PFES1162675768_0001</v>
      </c>
      <c r="L3934" s="22">
        <v>1</v>
      </c>
      <c r="M3934" s="22">
        <v>1</v>
      </c>
    </row>
    <row r="3935" spans="1:13">
      <c r="A3935" s="6">
        <v>43523</v>
      </c>
      <c r="B3935" s="7">
        <v>0.58611111111111114</v>
      </c>
      <c r="C3935" s="22" t="str">
        <f>"FES1162675702"</f>
        <v>FES1162675702</v>
      </c>
      <c r="D3935" s="22" t="s">
        <v>18</v>
      </c>
      <c r="E3935" s="22" t="s">
        <v>299</v>
      </c>
      <c r="F3935" s="22" t="str">
        <f>"21706748888 "</f>
        <v xml:space="preserve">21706748888 </v>
      </c>
      <c r="G3935" s="22" t="str">
        <f t="shared" si="109"/>
        <v>ON1</v>
      </c>
      <c r="H3935" s="22" t="s">
        <v>20</v>
      </c>
      <c r="I3935" s="22" t="s">
        <v>43</v>
      </c>
      <c r="J3935" s="22" t="str">
        <f>""</f>
        <v/>
      </c>
      <c r="K3935" s="22" t="str">
        <f>"PFES1162675702_0001"</f>
        <v>PFES1162675702_0001</v>
      </c>
      <c r="L3935" s="22">
        <v>1</v>
      </c>
      <c r="M3935" s="22">
        <v>1</v>
      </c>
    </row>
    <row r="3936" spans="1:13">
      <c r="A3936" s="6">
        <v>43523</v>
      </c>
      <c r="B3936" s="7">
        <v>0.58611111111111114</v>
      </c>
      <c r="C3936" s="22" t="str">
        <f>"FES1162675135"</f>
        <v>FES1162675135</v>
      </c>
      <c r="D3936" s="22" t="s">
        <v>18</v>
      </c>
      <c r="E3936" s="22" t="s">
        <v>229</v>
      </c>
      <c r="F3936" s="22" t="str">
        <f>"2170676103 "</f>
        <v xml:space="preserve">2170676103 </v>
      </c>
      <c r="G3936" s="22" t="str">
        <f t="shared" si="109"/>
        <v>ON1</v>
      </c>
      <c r="H3936" s="22" t="s">
        <v>20</v>
      </c>
      <c r="I3936" s="22" t="s">
        <v>111</v>
      </c>
      <c r="J3936" s="22" t="str">
        <f>""</f>
        <v/>
      </c>
      <c r="K3936" s="22" t="str">
        <f>"PFES1162675135_0001"</f>
        <v>PFES1162675135_0001</v>
      </c>
      <c r="L3936" s="22">
        <v>1</v>
      </c>
      <c r="M3936" s="22">
        <v>2</v>
      </c>
    </row>
    <row r="3937" spans="1:13">
      <c r="A3937" s="6">
        <v>43523</v>
      </c>
      <c r="B3937" s="7">
        <v>0.58611111111111114</v>
      </c>
      <c r="C3937" s="22" t="str">
        <f>"FES1162675720"</f>
        <v>FES1162675720</v>
      </c>
      <c r="D3937" s="22" t="s">
        <v>18</v>
      </c>
      <c r="E3937" s="22" t="s">
        <v>1205</v>
      </c>
      <c r="F3937" s="22" t="str">
        <f>"2170656667 "</f>
        <v xml:space="preserve">2170656667 </v>
      </c>
      <c r="G3937" s="22" t="str">
        <f t="shared" si="109"/>
        <v>ON1</v>
      </c>
      <c r="H3937" s="22" t="s">
        <v>20</v>
      </c>
      <c r="I3937" s="22" t="s">
        <v>1206</v>
      </c>
      <c r="J3937" s="22" t="str">
        <f>""</f>
        <v/>
      </c>
      <c r="K3937" s="22" t="str">
        <f>"PFES1162675720_0001"</f>
        <v>PFES1162675720_0001</v>
      </c>
      <c r="L3937" s="22">
        <v>1</v>
      </c>
      <c r="M3937" s="22">
        <v>1</v>
      </c>
    </row>
    <row r="3938" spans="1:13">
      <c r="A3938" s="6">
        <v>43523</v>
      </c>
      <c r="B3938" s="7">
        <v>0.5854166666666667</v>
      </c>
      <c r="C3938" s="22" t="str">
        <f>"FES1162675727"</f>
        <v>FES1162675727</v>
      </c>
      <c r="D3938" s="22" t="s">
        <v>18</v>
      </c>
      <c r="E3938" s="22" t="s">
        <v>438</v>
      </c>
      <c r="F3938" s="22" t="str">
        <f>"2170676495 "</f>
        <v xml:space="preserve">2170676495 </v>
      </c>
      <c r="G3938" s="22" t="str">
        <f t="shared" si="109"/>
        <v>ON1</v>
      </c>
      <c r="H3938" s="22" t="s">
        <v>20</v>
      </c>
      <c r="I3938" s="22" t="s">
        <v>390</v>
      </c>
      <c r="J3938" s="22" t="str">
        <f>""</f>
        <v/>
      </c>
      <c r="K3938" s="22" t="str">
        <f>"PFES1162675727_0001"</f>
        <v>PFES1162675727_0001</v>
      </c>
      <c r="L3938" s="22">
        <v>1</v>
      </c>
      <c r="M3938" s="22">
        <v>1</v>
      </c>
    </row>
    <row r="3939" spans="1:13">
      <c r="A3939" s="6">
        <v>43523</v>
      </c>
      <c r="B3939" s="7">
        <v>0.5854166666666667</v>
      </c>
      <c r="C3939" s="22" t="str">
        <f>"FES1162675774"</f>
        <v>FES1162675774</v>
      </c>
      <c r="D3939" s="22" t="s">
        <v>18</v>
      </c>
      <c r="E3939" s="22" t="s">
        <v>459</v>
      </c>
      <c r="F3939" s="22" t="str">
        <f>"2170676539 "</f>
        <v xml:space="preserve">2170676539 </v>
      </c>
      <c r="G3939" s="22" t="str">
        <f t="shared" si="109"/>
        <v>ON1</v>
      </c>
      <c r="H3939" s="22" t="s">
        <v>20</v>
      </c>
      <c r="I3939" s="22" t="s">
        <v>37</v>
      </c>
      <c r="J3939" s="22" t="str">
        <f>""</f>
        <v/>
      </c>
      <c r="K3939" s="22" t="str">
        <f>"PFES1162675774_0001"</f>
        <v>PFES1162675774_0001</v>
      </c>
      <c r="L3939" s="22">
        <v>1</v>
      </c>
      <c r="M3939" s="22">
        <v>1</v>
      </c>
    </row>
    <row r="3940" spans="1:13">
      <c r="A3940" s="6">
        <v>43523</v>
      </c>
      <c r="B3940" s="7">
        <v>0.58472222222222225</v>
      </c>
      <c r="C3940" s="22" t="str">
        <f>"FES1162675764"</f>
        <v>FES1162675764</v>
      </c>
      <c r="D3940" s="22" t="s">
        <v>18</v>
      </c>
      <c r="E3940" s="22" t="s">
        <v>84</v>
      </c>
      <c r="F3940" s="22" t="str">
        <f>"2170676526 "</f>
        <v xml:space="preserve">2170676526 </v>
      </c>
      <c r="G3940" s="22" t="str">
        <f t="shared" si="109"/>
        <v>ON1</v>
      </c>
      <c r="H3940" s="22" t="s">
        <v>20</v>
      </c>
      <c r="I3940" s="22" t="s">
        <v>85</v>
      </c>
      <c r="J3940" s="22" t="str">
        <f>""</f>
        <v/>
      </c>
      <c r="K3940" s="22" t="str">
        <f>"PFES1162675764_0001"</f>
        <v>PFES1162675764_0001</v>
      </c>
      <c r="L3940" s="22">
        <v>1</v>
      </c>
      <c r="M3940" s="22">
        <v>1</v>
      </c>
    </row>
    <row r="3941" spans="1:13">
      <c r="A3941" s="6">
        <v>43523</v>
      </c>
      <c r="B3941" s="7">
        <v>0.58472222222222225</v>
      </c>
      <c r="C3941" s="22" t="str">
        <f>"FES1162675717"</f>
        <v>FES1162675717</v>
      </c>
      <c r="D3941" s="22" t="s">
        <v>18</v>
      </c>
      <c r="E3941" s="22" t="s">
        <v>797</v>
      </c>
      <c r="F3941" s="22" t="str">
        <f>"2170676473 "</f>
        <v xml:space="preserve">2170676473 </v>
      </c>
      <c r="G3941" s="22" t="str">
        <f t="shared" si="109"/>
        <v>ON1</v>
      </c>
      <c r="H3941" s="22" t="s">
        <v>20</v>
      </c>
      <c r="I3941" s="22" t="s">
        <v>43</v>
      </c>
      <c r="J3941" s="22" t="str">
        <f>""</f>
        <v/>
      </c>
      <c r="K3941" s="22" t="str">
        <f>"PFES1162675717_0001"</f>
        <v>PFES1162675717_0001</v>
      </c>
      <c r="L3941" s="22">
        <v>1</v>
      </c>
      <c r="M3941" s="22">
        <v>1</v>
      </c>
    </row>
    <row r="3942" spans="1:13">
      <c r="A3942" s="6">
        <v>43523</v>
      </c>
      <c r="B3942" s="7">
        <v>0.58402777777777781</v>
      </c>
      <c r="C3942" s="22" t="str">
        <f>"FES1162675631"</f>
        <v>FES1162675631</v>
      </c>
      <c r="D3942" s="22" t="s">
        <v>18</v>
      </c>
      <c r="E3942" s="22" t="s">
        <v>223</v>
      </c>
      <c r="F3942" s="22" t="str">
        <f>"21706714738 "</f>
        <v xml:space="preserve">21706714738 </v>
      </c>
      <c r="G3942" s="22" t="str">
        <f t="shared" si="109"/>
        <v>ON1</v>
      </c>
      <c r="H3942" s="22" t="s">
        <v>20</v>
      </c>
      <c r="I3942" s="22" t="s">
        <v>81</v>
      </c>
      <c r="J3942" s="22" t="str">
        <f>""</f>
        <v/>
      </c>
      <c r="K3942" s="22" t="str">
        <f>"PFES1162675631_0001"</f>
        <v>PFES1162675631_0001</v>
      </c>
      <c r="L3942" s="22">
        <v>1</v>
      </c>
      <c r="M3942" s="22">
        <v>1</v>
      </c>
    </row>
    <row r="3943" spans="1:13">
      <c r="A3943" s="6">
        <v>43523</v>
      </c>
      <c r="B3943" s="7">
        <v>0.58402777777777781</v>
      </c>
      <c r="C3943" s="22" t="str">
        <f>"FES1162675683"</f>
        <v>FES1162675683</v>
      </c>
      <c r="D3943" s="22" t="s">
        <v>18</v>
      </c>
      <c r="E3943" s="22" t="s">
        <v>214</v>
      </c>
      <c r="F3943" s="22" t="str">
        <f>"2170674539 "</f>
        <v xml:space="preserve">2170674539 </v>
      </c>
      <c r="G3943" s="22" t="str">
        <f t="shared" si="109"/>
        <v>ON1</v>
      </c>
      <c r="H3943" s="22" t="s">
        <v>20</v>
      </c>
      <c r="I3943" s="22" t="s">
        <v>215</v>
      </c>
      <c r="J3943" s="22" t="str">
        <f>""</f>
        <v/>
      </c>
      <c r="K3943" s="22" t="str">
        <f>"PFES1162675683_0001"</f>
        <v>PFES1162675683_0001</v>
      </c>
      <c r="L3943" s="22">
        <v>1</v>
      </c>
      <c r="M3943" s="22">
        <v>1</v>
      </c>
    </row>
    <row r="3944" spans="1:13">
      <c r="A3944" s="6">
        <v>43523</v>
      </c>
      <c r="B3944" s="7">
        <v>0.58402777777777781</v>
      </c>
      <c r="C3944" s="22" t="str">
        <f>"FES1162675114"</f>
        <v>FES1162675114</v>
      </c>
      <c r="D3944" s="22" t="s">
        <v>18</v>
      </c>
      <c r="E3944" s="22" t="s">
        <v>148</v>
      </c>
      <c r="F3944" s="22" t="str">
        <f>"2170676075 "</f>
        <v xml:space="preserve">2170676075 </v>
      </c>
      <c r="G3944" s="22" t="str">
        <f t="shared" si="109"/>
        <v>ON1</v>
      </c>
      <c r="H3944" s="22" t="s">
        <v>20</v>
      </c>
      <c r="I3944" s="22" t="s">
        <v>149</v>
      </c>
      <c r="J3944" s="22" t="str">
        <f>""</f>
        <v/>
      </c>
      <c r="K3944" s="22" t="str">
        <f>"PFES1162675114_0001"</f>
        <v>PFES1162675114_0001</v>
      </c>
      <c r="L3944" s="22">
        <v>1</v>
      </c>
      <c r="M3944" s="22">
        <v>1</v>
      </c>
    </row>
    <row r="3945" spans="1:13">
      <c r="A3945" s="6">
        <v>43523</v>
      </c>
      <c r="B3945" s="7">
        <v>0.58333333333333337</v>
      </c>
      <c r="C3945" s="22" t="str">
        <f>"FES1162675550"</f>
        <v>FES1162675550</v>
      </c>
      <c r="D3945" s="22" t="s">
        <v>18</v>
      </c>
      <c r="E3945" s="22" t="s">
        <v>136</v>
      </c>
      <c r="F3945" s="22" t="str">
        <f>"2170674555 "</f>
        <v xml:space="preserve">2170674555 </v>
      </c>
      <c r="G3945" s="22" t="str">
        <f t="shared" si="109"/>
        <v>ON1</v>
      </c>
      <c r="H3945" s="22" t="s">
        <v>20</v>
      </c>
      <c r="I3945" s="22" t="s">
        <v>137</v>
      </c>
      <c r="J3945" s="22" t="str">
        <f>""</f>
        <v/>
      </c>
      <c r="K3945" s="22" t="str">
        <f>"PFES1162675550_0001"</f>
        <v>PFES1162675550_0001</v>
      </c>
      <c r="L3945" s="22">
        <v>1</v>
      </c>
      <c r="M3945" s="22">
        <v>1</v>
      </c>
    </row>
    <row r="3946" spans="1:13">
      <c r="A3946" s="6">
        <v>43523</v>
      </c>
      <c r="B3946" s="7">
        <v>0.58333333333333337</v>
      </c>
      <c r="C3946" s="22" t="str">
        <f>"FES1162675659"</f>
        <v>FES1162675659</v>
      </c>
      <c r="D3946" s="22" t="s">
        <v>18</v>
      </c>
      <c r="E3946" s="22" t="s">
        <v>1068</v>
      </c>
      <c r="F3946" s="22" t="str">
        <f>"2170671137 "</f>
        <v xml:space="preserve">2170671137 </v>
      </c>
      <c r="G3946" s="22" t="str">
        <f t="shared" si="109"/>
        <v>ON1</v>
      </c>
      <c r="H3946" s="22" t="s">
        <v>20</v>
      </c>
      <c r="I3946" s="22" t="s">
        <v>497</v>
      </c>
      <c r="J3946" s="22" t="str">
        <f>""</f>
        <v/>
      </c>
      <c r="K3946" s="22" t="str">
        <f>"PFES1162675659_0001"</f>
        <v>PFES1162675659_0001</v>
      </c>
      <c r="L3946" s="22">
        <v>1</v>
      </c>
      <c r="M3946" s="22">
        <v>3</v>
      </c>
    </row>
    <row r="3947" spans="1:13">
      <c r="A3947" s="6">
        <v>43523</v>
      </c>
      <c r="B3947" s="7">
        <v>0.58194444444444449</v>
      </c>
      <c r="C3947" s="22" t="str">
        <f>"FES1162675656"</f>
        <v>FES1162675656</v>
      </c>
      <c r="D3947" s="22" t="s">
        <v>18</v>
      </c>
      <c r="E3947" s="22" t="s">
        <v>289</v>
      </c>
      <c r="F3947" s="22" t="str">
        <f>"2170669881 "</f>
        <v xml:space="preserve">2170669881 </v>
      </c>
      <c r="G3947" s="22" t="str">
        <f t="shared" si="109"/>
        <v>ON1</v>
      </c>
      <c r="H3947" s="22" t="s">
        <v>20</v>
      </c>
      <c r="I3947" s="22" t="s">
        <v>290</v>
      </c>
      <c r="J3947" s="22" t="str">
        <f>""</f>
        <v/>
      </c>
      <c r="K3947" s="22" t="str">
        <f>"PFES1162675656_0001"</f>
        <v>PFES1162675656_0001</v>
      </c>
      <c r="L3947" s="22">
        <v>1</v>
      </c>
      <c r="M3947" s="22">
        <v>2</v>
      </c>
    </row>
    <row r="3948" spans="1:13">
      <c r="A3948" s="6">
        <v>43523</v>
      </c>
      <c r="B3948" s="7">
        <v>0.5805555555555556</v>
      </c>
      <c r="C3948" s="22" t="str">
        <f>"FES1162675663"</f>
        <v>FES1162675663</v>
      </c>
      <c r="D3948" s="22" t="s">
        <v>18</v>
      </c>
      <c r="E3948" s="22" t="s">
        <v>567</v>
      </c>
      <c r="F3948" s="22" t="str">
        <f>"2170672753 "</f>
        <v xml:space="preserve">2170672753 </v>
      </c>
      <c r="G3948" s="22" t="str">
        <f t="shared" si="109"/>
        <v>ON1</v>
      </c>
      <c r="H3948" s="22" t="s">
        <v>20</v>
      </c>
      <c r="I3948" s="22" t="s">
        <v>99</v>
      </c>
      <c r="J3948" s="22" t="str">
        <f>""</f>
        <v/>
      </c>
      <c r="K3948" s="22" t="str">
        <f>"PFES1162675663_0001"</f>
        <v>PFES1162675663_0001</v>
      </c>
      <c r="L3948" s="22">
        <v>1</v>
      </c>
      <c r="M3948" s="22">
        <v>6</v>
      </c>
    </row>
    <row r="3949" spans="1:13">
      <c r="A3949" s="6">
        <v>43523</v>
      </c>
      <c r="B3949" s="7">
        <v>0.57986111111111105</v>
      </c>
      <c r="C3949" s="22" t="str">
        <f>"FES1162675692"</f>
        <v>FES1162675692</v>
      </c>
      <c r="D3949" s="22" t="s">
        <v>18</v>
      </c>
      <c r="E3949" s="22" t="s">
        <v>144</v>
      </c>
      <c r="F3949" s="22" t="str">
        <f>"2170674778 "</f>
        <v xml:space="preserve">2170674778 </v>
      </c>
      <c r="G3949" s="22" t="str">
        <f t="shared" si="109"/>
        <v>ON1</v>
      </c>
      <c r="H3949" s="22" t="s">
        <v>20</v>
      </c>
      <c r="I3949" s="22" t="s">
        <v>145</v>
      </c>
      <c r="J3949" s="22" t="str">
        <f>""</f>
        <v/>
      </c>
      <c r="K3949" s="22" t="str">
        <f>"PFES1162675692_0001"</f>
        <v>PFES1162675692_0001</v>
      </c>
      <c r="L3949" s="22">
        <v>1</v>
      </c>
      <c r="M3949" s="22">
        <v>9</v>
      </c>
    </row>
    <row r="3950" spans="1:13">
      <c r="A3950" s="6">
        <v>43523</v>
      </c>
      <c r="B3950" s="7">
        <v>0.57847222222222217</v>
      </c>
      <c r="C3950" s="22" t="str">
        <f>"FES1162675549"</f>
        <v>FES1162675549</v>
      </c>
      <c r="D3950" s="22" t="s">
        <v>18</v>
      </c>
      <c r="E3950" s="22" t="s">
        <v>1093</v>
      </c>
      <c r="F3950" s="22" t="str">
        <f>"2170675710 "</f>
        <v xml:space="preserve">2170675710 </v>
      </c>
      <c r="G3950" s="22" t="str">
        <f t="shared" si="109"/>
        <v>ON1</v>
      </c>
      <c r="H3950" s="22" t="s">
        <v>20</v>
      </c>
      <c r="I3950" s="22" t="s">
        <v>137</v>
      </c>
      <c r="J3950" s="22" t="str">
        <f>""</f>
        <v/>
      </c>
      <c r="K3950" s="22" t="str">
        <f>"PFES1162675549_0001"</f>
        <v>PFES1162675549_0001</v>
      </c>
      <c r="L3950" s="22">
        <v>1</v>
      </c>
      <c r="M3950" s="22">
        <v>5</v>
      </c>
    </row>
    <row r="3951" spans="1:13">
      <c r="A3951" s="6">
        <v>43523</v>
      </c>
      <c r="B3951" s="7">
        <v>0.5756944444444444</v>
      </c>
      <c r="C3951" s="22" t="str">
        <f>"FES1162675585"</f>
        <v>FES1162675585</v>
      </c>
      <c r="D3951" s="22" t="s">
        <v>18</v>
      </c>
      <c r="E3951" s="22" t="s">
        <v>235</v>
      </c>
      <c r="F3951" s="22" t="str">
        <f>"2170676431 "</f>
        <v xml:space="preserve">2170676431 </v>
      </c>
      <c r="G3951" s="22" t="str">
        <f t="shared" si="109"/>
        <v>ON1</v>
      </c>
      <c r="H3951" s="22" t="s">
        <v>20</v>
      </c>
      <c r="I3951" s="22" t="s">
        <v>143</v>
      </c>
      <c r="J3951" s="22" t="str">
        <f>""</f>
        <v/>
      </c>
      <c r="K3951" s="22" t="str">
        <f>"PFES1162675585_0001"</f>
        <v>PFES1162675585_0001</v>
      </c>
      <c r="L3951" s="22">
        <v>1</v>
      </c>
      <c r="M3951" s="22">
        <v>3</v>
      </c>
    </row>
    <row r="3952" spans="1:13">
      <c r="A3952" s="6">
        <v>43523</v>
      </c>
      <c r="B3952" s="7">
        <v>0.57430555555555551</v>
      </c>
      <c r="C3952" s="22" t="str">
        <f>"FES1162675650"</f>
        <v>FES1162675650</v>
      </c>
      <c r="D3952" s="22" t="s">
        <v>18</v>
      </c>
      <c r="E3952" s="22" t="s">
        <v>168</v>
      </c>
      <c r="F3952" s="22" t="str">
        <f>"2170676341 "</f>
        <v xml:space="preserve">2170676341 </v>
      </c>
      <c r="G3952" s="22" t="str">
        <f t="shared" si="109"/>
        <v>ON1</v>
      </c>
      <c r="H3952" s="22" t="s">
        <v>20</v>
      </c>
      <c r="I3952" s="22" t="s">
        <v>63</v>
      </c>
      <c r="J3952" s="22" t="str">
        <f>""</f>
        <v/>
      </c>
      <c r="K3952" s="22" t="str">
        <f>"PFES1162675650_0001"</f>
        <v>PFES1162675650_0001</v>
      </c>
      <c r="L3952" s="22">
        <v>1</v>
      </c>
      <c r="M3952" s="22">
        <v>5</v>
      </c>
    </row>
    <row r="3953" spans="1:13">
      <c r="A3953" s="6">
        <v>43523</v>
      </c>
      <c r="B3953" s="7">
        <v>0.57361111111111118</v>
      </c>
      <c r="C3953" s="22" t="str">
        <f>"FES1162675606"</f>
        <v>FES1162675606</v>
      </c>
      <c r="D3953" s="22" t="s">
        <v>18</v>
      </c>
      <c r="E3953" s="22" t="s">
        <v>713</v>
      </c>
      <c r="F3953" s="22" t="str">
        <f>"2170673937 "</f>
        <v xml:space="preserve">2170673937 </v>
      </c>
      <c r="G3953" s="22" t="str">
        <f t="shared" si="109"/>
        <v>ON1</v>
      </c>
      <c r="H3953" s="22" t="s">
        <v>20</v>
      </c>
      <c r="I3953" s="22" t="s">
        <v>714</v>
      </c>
      <c r="J3953" s="22" t="str">
        <f>""</f>
        <v/>
      </c>
      <c r="K3953" s="22" t="str">
        <f>"PFES1162675606_0001"</f>
        <v>PFES1162675606_0001</v>
      </c>
      <c r="L3953" s="22">
        <v>1</v>
      </c>
      <c r="M3953" s="22">
        <v>2</v>
      </c>
    </row>
    <row r="3954" spans="1:13">
      <c r="A3954" s="6">
        <v>43523</v>
      </c>
      <c r="B3954" s="7">
        <v>0.57222222222222219</v>
      </c>
      <c r="C3954" s="22" t="str">
        <f>"FES1162675581"</f>
        <v>FES1162675581</v>
      </c>
      <c r="D3954" s="22" t="s">
        <v>18</v>
      </c>
      <c r="E3954" s="22" t="s">
        <v>765</v>
      </c>
      <c r="F3954" s="22" t="str">
        <f>"2170676406 "</f>
        <v xml:space="preserve">2170676406 </v>
      </c>
      <c r="G3954" s="22" t="str">
        <f t="shared" si="109"/>
        <v>ON1</v>
      </c>
      <c r="H3954" s="22" t="s">
        <v>20</v>
      </c>
      <c r="I3954" s="22" t="s">
        <v>369</v>
      </c>
      <c r="J3954" s="22" t="str">
        <f>""</f>
        <v/>
      </c>
      <c r="K3954" s="22" t="str">
        <f>"PFES1162675581_0001"</f>
        <v>PFES1162675581_0001</v>
      </c>
      <c r="L3954" s="22">
        <v>1</v>
      </c>
      <c r="M3954" s="22">
        <v>2</v>
      </c>
    </row>
    <row r="3955" spans="1:13">
      <c r="A3955" s="6">
        <v>43523</v>
      </c>
      <c r="B3955" s="7">
        <v>0.5708333333333333</v>
      </c>
      <c r="C3955" s="22" t="str">
        <f>"FES1162675607"</f>
        <v>FES1162675607</v>
      </c>
      <c r="D3955" s="22" t="s">
        <v>18</v>
      </c>
      <c r="E3955" s="22" t="s">
        <v>1167</v>
      </c>
      <c r="F3955" s="22" t="str">
        <f>"2170674016 "</f>
        <v xml:space="preserve">2170674016 </v>
      </c>
      <c r="G3955" s="22" t="str">
        <f t="shared" si="109"/>
        <v>ON1</v>
      </c>
      <c r="H3955" s="22" t="s">
        <v>20</v>
      </c>
      <c r="I3955" s="22" t="s">
        <v>276</v>
      </c>
      <c r="J3955" s="22" t="str">
        <f>""</f>
        <v/>
      </c>
      <c r="K3955" s="22" t="str">
        <f>"PFES1162675607_0001"</f>
        <v>PFES1162675607_0001</v>
      </c>
      <c r="L3955" s="22">
        <v>1</v>
      </c>
      <c r="M3955" s="22">
        <v>1</v>
      </c>
    </row>
    <row r="3956" spans="1:13">
      <c r="A3956" s="6">
        <v>43523</v>
      </c>
      <c r="B3956" s="7">
        <v>0.56944444444444442</v>
      </c>
      <c r="C3956" s="22" t="str">
        <f>"FES1162675137"</f>
        <v>FES1162675137</v>
      </c>
      <c r="D3956" s="22" t="s">
        <v>18</v>
      </c>
      <c r="E3956" s="22" t="s">
        <v>97</v>
      </c>
      <c r="F3956" s="22" t="str">
        <f>"2170676107 "</f>
        <v xml:space="preserve">2170676107 </v>
      </c>
      <c r="G3956" s="22" t="str">
        <f t="shared" si="109"/>
        <v>ON1</v>
      </c>
      <c r="H3956" s="22" t="s">
        <v>20</v>
      </c>
      <c r="I3956" s="22" t="s">
        <v>70</v>
      </c>
      <c r="J3956" s="22" t="str">
        <f>""</f>
        <v/>
      </c>
      <c r="K3956" s="22" t="str">
        <f>"PFES1162675137_0001"</f>
        <v>PFES1162675137_0001</v>
      </c>
      <c r="L3956" s="22">
        <v>2</v>
      </c>
      <c r="M3956" s="22">
        <v>5</v>
      </c>
    </row>
    <row r="3957" spans="1:13">
      <c r="A3957" s="6">
        <v>43523</v>
      </c>
      <c r="B3957" s="7">
        <v>0.56944444444444442</v>
      </c>
      <c r="C3957" s="22" t="str">
        <f>"FES1162675137"</f>
        <v>FES1162675137</v>
      </c>
      <c r="D3957" s="22" t="s">
        <v>18</v>
      </c>
      <c r="E3957" s="22" t="s">
        <v>97</v>
      </c>
      <c r="F3957" s="22" t="str">
        <f>"2170676107 "</f>
        <v xml:space="preserve">2170676107 </v>
      </c>
      <c r="G3957" s="22" t="str">
        <f t="shared" si="109"/>
        <v>ON1</v>
      </c>
      <c r="H3957" s="22" t="s">
        <v>20</v>
      </c>
      <c r="I3957" s="22" t="s">
        <v>70</v>
      </c>
      <c r="J3957" s="22"/>
      <c r="K3957" s="22" t="str">
        <f>"PFES1162675137_0002"</f>
        <v>PFES1162675137_0002</v>
      </c>
      <c r="L3957" s="22">
        <v>2</v>
      </c>
      <c r="M3957" s="22">
        <v>5</v>
      </c>
    </row>
    <row r="3958" spans="1:13">
      <c r="A3958" s="6">
        <v>43523</v>
      </c>
      <c r="B3958" s="7">
        <v>0.56874999999999998</v>
      </c>
      <c r="C3958" s="22" t="str">
        <f>"FES1162675556"</f>
        <v>FES1162675556</v>
      </c>
      <c r="D3958" s="22" t="s">
        <v>18</v>
      </c>
      <c r="E3958" s="22" t="s">
        <v>371</v>
      </c>
      <c r="F3958" s="22" t="str">
        <f>"2170674456 "</f>
        <v xml:space="preserve">2170674456 </v>
      </c>
      <c r="G3958" s="22" t="str">
        <f t="shared" si="109"/>
        <v>ON1</v>
      </c>
      <c r="H3958" s="22" t="s">
        <v>20</v>
      </c>
      <c r="I3958" s="22" t="s">
        <v>61</v>
      </c>
      <c r="J3958" s="22" t="str">
        <f>""</f>
        <v/>
      </c>
      <c r="K3958" s="22" t="str">
        <f>"PFES1162675556_0001"</f>
        <v>PFES1162675556_0001</v>
      </c>
      <c r="L3958" s="22">
        <v>1</v>
      </c>
      <c r="M3958" s="22">
        <v>2</v>
      </c>
    </row>
    <row r="3959" spans="1:13">
      <c r="A3959" s="6">
        <v>43523</v>
      </c>
      <c r="B3959" s="7">
        <v>0.56805555555555554</v>
      </c>
      <c r="C3959" s="22" t="str">
        <f>"FES1162675599"</f>
        <v>FES1162675599</v>
      </c>
      <c r="D3959" s="22" t="s">
        <v>18</v>
      </c>
      <c r="E3959" s="22" t="s">
        <v>28</v>
      </c>
      <c r="F3959" s="22" t="str">
        <f>"2170673006 "</f>
        <v xml:space="preserve">2170673006 </v>
      </c>
      <c r="G3959" s="22" t="str">
        <f t="shared" si="109"/>
        <v>ON1</v>
      </c>
      <c r="H3959" s="22" t="s">
        <v>20</v>
      </c>
      <c r="I3959" s="22" t="s">
        <v>29</v>
      </c>
      <c r="J3959" s="22" t="str">
        <f>""</f>
        <v/>
      </c>
      <c r="K3959" s="22" t="str">
        <f>"PFES1162675599_0001"</f>
        <v>PFES1162675599_0001</v>
      </c>
      <c r="L3959" s="22">
        <v>1</v>
      </c>
      <c r="M3959" s="22">
        <v>2</v>
      </c>
    </row>
    <row r="3960" spans="1:13">
      <c r="A3960" s="6">
        <v>43523</v>
      </c>
      <c r="B3960" s="7">
        <v>0.56736111111111109</v>
      </c>
      <c r="C3960" s="22" t="str">
        <f>"FES1162675614"</f>
        <v>FES1162675614</v>
      </c>
      <c r="D3960" s="22" t="s">
        <v>18</v>
      </c>
      <c r="E3960" s="22" t="s">
        <v>195</v>
      </c>
      <c r="F3960" s="22" t="str">
        <f>"2170674463 "</f>
        <v xml:space="preserve">2170674463 </v>
      </c>
      <c r="G3960" s="22" t="str">
        <f t="shared" si="109"/>
        <v>ON1</v>
      </c>
      <c r="H3960" s="22" t="s">
        <v>20</v>
      </c>
      <c r="I3960" s="22" t="s">
        <v>96</v>
      </c>
      <c r="J3960" s="22" t="str">
        <f>""</f>
        <v/>
      </c>
      <c r="K3960" s="22" t="str">
        <f>"PFES1162675614_0001"</f>
        <v>PFES1162675614_0001</v>
      </c>
      <c r="L3960" s="22">
        <v>1</v>
      </c>
      <c r="M3960" s="22">
        <v>8</v>
      </c>
    </row>
    <row r="3961" spans="1:13">
      <c r="A3961" s="6">
        <v>43523</v>
      </c>
      <c r="B3961" s="7">
        <v>0.56597222222222221</v>
      </c>
      <c r="C3961" s="22" t="str">
        <f>"FES1162675616"</f>
        <v>FES1162675616</v>
      </c>
      <c r="D3961" s="22" t="s">
        <v>18</v>
      </c>
      <c r="E3961" s="22" t="s">
        <v>259</v>
      </c>
      <c r="F3961" s="22" t="str">
        <f>"2170674544 "</f>
        <v xml:space="preserve">2170674544 </v>
      </c>
      <c r="G3961" s="22" t="str">
        <f t="shared" si="109"/>
        <v>ON1</v>
      </c>
      <c r="H3961" s="22" t="s">
        <v>20</v>
      </c>
      <c r="I3961" s="22" t="s">
        <v>260</v>
      </c>
      <c r="J3961" s="22" t="str">
        <f>""</f>
        <v/>
      </c>
      <c r="K3961" s="22" t="str">
        <f>"PFES1162675616_0001"</f>
        <v>PFES1162675616_0001</v>
      </c>
      <c r="L3961" s="22">
        <v>1</v>
      </c>
      <c r="M3961" s="22">
        <v>4</v>
      </c>
    </row>
    <row r="3962" spans="1:13">
      <c r="A3962" s="6">
        <v>43523</v>
      </c>
      <c r="B3962" s="7">
        <v>0.56527777777777777</v>
      </c>
      <c r="C3962" s="22" t="str">
        <f>"FES1162675571"</f>
        <v>FES1162675571</v>
      </c>
      <c r="D3962" s="22" t="s">
        <v>18</v>
      </c>
      <c r="E3962" s="22" t="s">
        <v>693</v>
      </c>
      <c r="F3962" s="22" t="str">
        <f>"2170676412 "</f>
        <v xml:space="preserve">2170676412 </v>
      </c>
      <c r="G3962" s="22" t="str">
        <f t="shared" si="109"/>
        <v>ON1</v>
      </c>
      <c r="H3962" s="22" t="s">
        <v>20</v>
      </c>
      <c r="I3962" s="22" t="s">
        <v>694</v>
      </c>
      <c r="J3962" s="22" t="str">
        <f>""</f>
        <v/>
      </c>
      <c r="K3962" s="22" t="str">
        <f>"PFES1162675571_0001"</f>
        <v>PFES1162675571_0001</v>
      </c>
      <c r="L3962" s="22">
        <v>1</v>
      </c>
      <c r="M3962" s="22">
        <v>1</v>
      </c>
    </row>
    <row r="3963" spans="1:13">
      <c r="A3963" s="6">
        <v>43523</v>
      </c>
      <c r="B3963" s="7">
        <v>0.56458333333333333</v>
      </c>
      <c r="C3963" s="22" t="str">
        <f>"FES1162675595"</f>
        <v>FES1162675595</v>
      </c>
      <c r="D3963" s="22" t="s">
        <v>18</v>
      </c>
      <c r="E3963" s="22" t="s">
        <v>376</v>
      </c>
      <c r="F3963" s="22" t="str">
        <f>"2170672608 "</f>
        <v xml:space="preserve">2170672608 </v>
      </c>
      <c r="G3963" s="22" t="str">
        <f t="shared" si="109"/>
        <v>ON1</v>
      </c>
      <c r="H3963" s="22" t="s">
        <v>20</v>
      </c>
      <c r="I3963" s="22" t="s">
        <v>228</v>
      </c>
      <c r="J3963" s="22" t="str">
        <f>""</f>
        <v/>
      </c>
      <c r="K3963" s="22" t="str">
        <f>"PFES1162675595_0001"</f>
        <v>PFES1162675595_0001</v>
      </c>
      <c r="L3963" s="22">
        <v>1</v>
      </c>
      <c r="M3963" s="22">
        <v>1</v>
      </c>
    </row>
    <row r="3964" spans="1:13">
      <c r="A3964" s="6">
        <v>43523</v>
      </c>
      <c r="B3964" s="7">
        <v>0.5625</v>
      </c>
      <c r="C3964" s="22" t="str">
        <f>"FES1162675691"</f>
        <v>FES1162675691</v>
      </c>
      <c r="D3964" s="22" t="s">
        <v>18</v>
      </c>
      <c r="E3964" s="22" t="s">
        <v>246</v>
      </c>
      <c r="F3964" s="22" t="str">
        <f>"2170674774 "</f>
        <v xml:space="preserve">2170674774 </v>
      </c>
      <c r="G3964" s="22" t="str">
        <f t="shared" si="109"/>
        <v>ON1</v>
      </c>
      <c r="H3964" s="22" t="s">
        <v>20</v>
      </c>
      <c r="I3964" s="22" t="s">
        <v>53</v>
      </c>
      <c r="J3964" s="22" t="str">
        <f>""</f>
        <v/>
      </c>
      <c r="K3964" s="22" t="str">
        <f>"PFES1162675691_0001"</f>
        <v>PFES1162675691_0001</v>
      </c>
      <c r="L3964" s="22">
        <v>1</v>
      </c>
      <c r="M3964" s="22">
        <v>1</v>
      </c>
    </row>
    <row r="3965" spans="1:13">
      <c r="A3965" s="6">
        <v>43523</v>
      </c>
      <c r="B3965" s="7">
        <v>0.5625</v>
      </c>
      <c r="C3965" s="22" t="str">
        <f>"FES1162675708"</f>
        <v>FES1162675708</v>
      </c>
      <c r="D3965" s="22" t="s">
        <v>18</v>
      </c>
      <c r="E3965" s="22" t="s">
        <v>493</v>
      </c>
      <c r="F3965" s="22" t="str">
        <f>"2170674977 "</f>
        <v xml:space="preserve">2170674977 </v>
      </c>
      <c r="G3965" s="22" t="str">
        <f t="shared" si="109"/>
        <v>ON1</v>
      </c>
      <c r="H3965" s="22" t="s">
        <v>20</v>
      </c>
      <c r="I3965" s="22" t="s">
        <v>111</v>
      </c>
      <c r="J3965" s="22" t="str">
        <f>""</f>
        <v/>
      </c>
      <c r="K3965" s="22" t="str">
        <f>"PFES1162675708_0001"</f>
        <v>PFES1162675708_0001</v>
      </c>
      <c r="L3965" s="22">
        <v>1</v>
      </c>
      <c r="M3965" s="22">
        <v>1</v>
      </c>
    </row>
    <row r="3966" spans="1:13">
      <c r="A3966" s="6">
        <v>43523</v>
      </c>
      <c r="B3966" s="7">
        <v>0.5625</v>
      </c>
      <c r="C3966" s="22" t="str">
        <f>"FES1162675689"</f>
        <v>FES1162675689</v>
      </c>
      <c r="D3966" s="22" t="s">
        <v>18</v>
      </c>
      <c r="E3966" s="22" t="s">
        <v>1022</v>
      </c>
      <c r="F3966" s="22" t="str">
        <f>"2170674756 "</f>
        <v xml:space="preserve">2170674756 </v>
      </c>
      <c r="G3966" s="22" t="str">
        <f t="shared" si="109"/>
        <v>ON1</v>
      </c>
      <c r="H3966" s="22" t="s">
        <v>20</v>
      </c>
      <c r="I3966" s="22" t="s">
        <v>1023</v>
      </c>
      <c r="J3966" s="22" t="str">
        <f>""</f>
        <v/>
      </c>
      <c r="K3966" s="22" t="str">
        <f>"PFES1162675689_0001"</f>
        <v>PFES1162675689_0001</v>
      </c>
      <c r="L3966" s="22">
        <v>1</v>
      </c>
      <c r="M3966" s="22">
        <v>1</v>
      </c>
    </row>
    <row r="3967" spans="1:13">
      <c r="A3967" s="6">
        <v>43523</v>
      </c>
      <c r="B3967" s="7">
        <v>0.56180555555555556</v>
      </c>
      <c r="C3967" s="22" t="str">
        <f>"FES1162675711"</f>
        <v>FES1162675711</v>
      </c>
      <c r="D3967" s="22" t="s">
        <v>18</v>
      </c>
      <c r="E3967" s="22" t="s">
        <v>482</v>
      </c>
      <c r="F3967" s="22" t="str">
        <f>"2170676025 "</f>
        <v xml:space="preserve">2170676025 </v>
      </c>
      <c r="G3967" s="22" t="str">
        <f t="shared" si="109"/>
        <v>ON1</v>
      </c>
      <c r="H3967" s="22" t="s">
        <v>20</v>
      </c>
      <c r="I3967" s="22" t="s">
        <v>272</v>
      </c>
      <c r="J3967" s="22" t="str">
        <f>""</f>
        <v/>
      </c>
      <c r="K3967" s="22" t="str">
        <f>"PFES1162675711_0001"</f>
        <v>PFES1162675711_0001</v>
      </c>
      <c r="L3967" s="22">
        <v>1</v>
      </c>
      <c r="M3967" s="22">
        <v>1</v>
      </c>
    </row>
    <row r="3968" spans="1:13">
      <c r="A3968" s="6">
        <v>43523</v>
      </c>
      <c r="B3968" s="7">
        <v>0.56180555555555556</v>
      </c>
      <c r="C3968" s="22" t="str">
        <f>"FES1162675602"</f>
        <v>FES1162675602</v>
      </c>
      <c r="D3968" s="22" t="s">
        <v>18</v>
      </c>
      <c r="E3968" s="22" t="s">
        <v>549</v>
      </c>
      <c r="F3968" s="22" t="str">
        <f>"2170673352 "</f>
        <v xml:space="preserve">2170673352 </v>
      </c>
      <c r="G3968" s="22" t="str">
        <f t="shared" si="109"/>
        <v>ON1</v>
      </c>
      <c r="H3968" s="22" t="s">
        <v>20</v>
      </c>
      <c r="I3968" s="22" t="s">
        <v>130</v>
      </c>
      <c r="J3968" s="22" t="str">
        <f>""</f>
        <v/>
      </c>
      <c r="K3968" s="22" t="str">
        <f>"PFES1162675602_0001"</f>
        <v>PFES1162675602_0001</v>
      </c>
      <c r="L3968" s="22">
        <v>1</v>
      </c>
      <c r="M3968" s="22">
        <v>8</v>
      </c>
    </row>
    <row r="3969" spans="1:13">
      <c r="A3969" s="6">
        <v>43523</v>
      </c>
      <c r="B3969" s="7">
        <v>0.56111111111111112</v>
      </c>
      <c r="C3969" s="22" t="str">
        <f>"FES1162675709"</f>
        <v>FES1162675709</v>
      </c>
      <c r="D3969" s="22" t="s">
        <v>18</v>
      </c>
      <c r="E3969" s="22" t="s">
        <v>246</v>
      </c>
      <c r="F3969" s="22" t="str">
        <f>"2170675287 "</f>
        <v xml:space="preserve">2170675287 </v>
      </c>
      <c r="G3969" s="22" t="str">
        <f t="shared" si="109"/>
        <v>ON1</v>
      </c>
      <c r="H3969" s="22" t="s">
        <v>20</v>
      </c>
      <c r="I3969" s="22" t="s">
        <v>53</v>
      </c>
      <c r="J3969" s="22" t="str">
        <f>""</f>
        <v/>
      </c>
      <c r="K3969" s="22" t="str">
        <f>"PFES1162675709_0001"</f>
        <v>PFES1162675709_0001</v>
      </c>
      <c r="L3969" s="22">
        <v>1</v>
      </c>
      <c r="M3969" s="22">
        <v>1</v>
      </c>
    </row>
    <row r="3970" spans="1:13">
      <c r="A3970" s="6">
        <v>43523</v>
      </c>
      <c r="B3970" s="7">
        <v>0.56041666666666667</v>
      </c>
      <c r="C3970" s="22" t="str">
        <f>"FES1162675744"</f>
        <v>FES1162675744</v>
      </c>
      <c r="D3970" s="22" t="s">
        <v>18</v>
      </c>
      <c r="E3970" s="22" t="s">
        <v>66</v>
      </c>
      <c r="F3970" s="22" t="str">
        <f>"2170662419 "</f>
        <v xml:space="preserve">2170662419 </v>
      </c>
      <c r="G3970" s="22" t="str">
        <f t="shared" si="109"/>
        <v>ON1</v>
      </c>
      <c r="H3970" s="22" t="s">
        <v>20</v>
      </c>
      <c r="I3970" s="22" t="s">
        <v>67</v>
      </c>
      <c r="J3970" s="22" t="str">
        <f>""</f>
        <v/>
      </c>
      <c r="K3970" s="22" t="str">
        <f>"PFES1162675744_0001"</f>
        <v>PFES1162675744_0001</v>
      </c>
      <c r="L3970" s="22">
        <v>1</v>
      </c>
      <c r="M3970" s="22">
        <v>16</v>
      </c>
    </row>
    <row r="3971" spans="1:13">
      <c r="A3971" s="6">
        <v>43523</v>
      </c>
      <c r="B3971" s="7">
        <v>0.55902777777777779</v>
      </c>
      <c r="C3971" s="22" t="str">
        <f>"FES1162675641"</f>
        <v>FES1162675641</v>
      </c>
      <c r="D3971" s="22" t="s">
        <v>18</v>
      </c>
      <c r="E3971" s="22" t="s">
        <v>887</v>
      </c>
      <c r="F3971" s="22" t="str">
        <f>"2170676445 "</f>
        <v xml:space="preserve">2170676445 </v>
      </c>
      <c r="G3971" s="22" t="str">
        <f t="shared" si="109"/>
        <v>ON1</v>
      </c>
      <c r="H3971" s="22" t="s">
        <v>20</v>
      </c>
      <c r="I3971" s="22" t="s">
        <v>586</v>
      </c>
      <c r="J3971" s="22" t="str">
        <f>""</f>
        <v/>
      </c>
      <c r="K3971" s="22" t="str">
        <f>"PFES1162675641_0001"</f>
        <v>PFES1162675641_0001</v>
      </c>
      <c r="L3971" s="22">
        <v>1</v>
      </c>
      <c r="M3971" s="22">
        <v>9</v>
      </c>
    </row>
    <row r="3972" spans="1:13">
      <c r="A3972" s="6">
        <v>43523</v>
      </c>
      <c r="B3972" s="7">
        <v>0.55763888888888891</v>
      </c>
      <c r="C3972" s="22" t="str">
        <f>"FES1162675568"</f>
        <v>FES1162675568</v>
      </c>
      <c r="D3972" s="22" t="s">
        <v>18</v>
      </c>
      <c r="E3972" s="22" t="s">
        <v>1039</v>
      </c>
      <c r="F3972" s="22" t="str">
        <f>"2170676408 "</f>
        <v xml:space="preserve">2170676408 </v>
      </c>
      <c r="G3972" s="22" t="str">
        <f t="shared" si="109"/>
        <v>ON1</v>
      </c>
      <c r="H3972" s="22" t="s">
        <v>20</v>
      </c>
      <c r="I3972" s="22" t="s">
        <v>153</v>
      </c>
      <c r="J3972" s="22" t="str">
        <f>""</f>
        <v/>
      </c>
      <c r="K3972" s="22" t="str">
        <f>"PFES1162675568_0001"</f>
        <v>PFES1162675568_0001</v>
      </c>
      <c r="L3972" s="22">
        <v>1</v>
      </c>
      <c r="M3972" s="22">
        <v>5</v>
      </c>
    </row>
    <row r="3973" spans="1:13">
      <c r="A3973" s="6">
        <v>43523</v>
      </c>
      <c r="B3973" s="7">
        <v>0.55625000000000002</v>
      </c>
      <c r="C3973" s="22" t="str">
        <f>"FES1162675722"</f>
        <v>FES1162675722</v>
      </c>
      <c r="D3973" s="22" t="s">
        <v>18</v>
      </c>
      <c r="E3973" s="22" t="s">
        <v>1207</v>
      </c>
      <c r="F3973" s="22" t="str">
        <f>"2170676472 "</f>
        <v xml:space="preserve">2170676472 </v>
      </c>
      <c r="G3973" s="22" t="str">
        <f t="shared" si="109"/>
        <v>ON1</v>
      </c>
      <c r="H3973" s="22" t="s">
        <v>20</v>
      </c>
      <c r="I3973" s="22" t="s">
        <v>1208</v>
      </c>
      <c r="J3973" s="22" t="str">
        <f>""</f>
        <v/>
      </c>
      <c r="K3973" s="22" t="str">
        <f>"PFES1162675722_0001"</f>
        <v>PFES1162675722_0001</v>
      </c>
      <c r="L3973" s="22">
        <v>1</v>
      </c>
      <c r="M3973" s="22">
        <v>2</v>
      </c>
    </row>
    <row r="3974" spans="1:13">
      <c r="A3974" s="6">
        <v>43523</v>
      </c>
      <c r="B3974" s="7">
        <v>0.5541666666666667</v>
      </c>
      <c r="C3974" s="22" t="str">
        <f>"FES1162675572"</f>
        <v>FES1162675572</v>
      </c>
      <c r="D3974" s="22" t="s">
        <v>18</v>
      </c>
      <c r="E3974" s="22" t="s">
        <v>1170</v>
      </c>
      <c r="F3974" s="22" t="str">
        <f>"2170676413 "</f>
        <v xml:space="preserve">2170676413 </v>
      </c>
      <c r="G3974" s="22" t="str">
        <f t="shared" si="109"/>
        <v>ON1</v>
      </c>
      <c r="H3974" s="22" t="s">
        <v>20</v>
      </c>
      <c r="I3974" s="22" t="s">
        <v>256</v>
      </c>
      <c r="J3974" s="22" t="str">
        <f>""</f>
        <v/>
      </c>
      <c r="K3974" s="22" t="str">
        <f>"PFES1162675572_0001"</f>
        <v>PFES1162675572_0001</v>
      </c>
      <c r="L3974" s="22">
        <v>1</v>
      </c>
      <c r="M3974" s="22">
        <v>2</v>
      </c>
    </row>
    <row r="3975" spans="1:13">
      <c r="A3975" s="6">
        <v>43523</v>
      </c>
      <c r="B3975" s="7">
        <v>0.55277777777777781</v>
      </c>
      <c r="C3975" s="22" t="str">
        <f>"FES1162675630"</f>
        <v>FES1162675630</v>
      </c>
      <c r="D3975" s="22" t="s">
        <v>18</v>
      </c>
      <c r="E3975" s="22" t="s">
        <v>148</v>
      </c>
      <c r="F3975" s="22" t="str">
        <f>"2170676436 "</f>
        <v xml:space="preserve">2170676436 </v>
      </c>
      <c r="G3975" s="22" t="str">
        <f t="shared" si="109"/>
        <v>ON1</v>
      </c>
      <c r="H3975" s="22" t="s">
        <v>20</v>
      </c>
      <c r="I3975" s="22" t="s">
        <v>149</v>
      </c>
      <c r="J3975" s="22" t="str">
        <f>""</f>
        <v/>
      </c>
      <c r="K3975" s="22" t="str">
        <f>"PFES1162675630_0001"</f>
        <v>PFES1162675630_0001</v>
      </c>
      <c r="L3975" s="22">
        <v>1</v>
      </c>
      <c r="M3975" s="22">
        <v>2</v>
      </c>
    </row>
    <row r="3976" spans="1:13">
      <c r="A3976" s="6">
        <v>43523</v>
      </c>
      <c r="B3976" s="7">
        <v>0.55138888888888882</v>
      </c>
      <c r="C3976" s="22" t="str">
        <f>"FES1162675546"</f>
        <v>FES1162675546</v>
      </c>
      <c r="D3976" s="22" t="s">
        <v>18</v>
      </c>
      <c r="E3976" s="22" t="s">
        <v>928</v>
      </c>
      <c r="F3976" s="22" t="str">
        <f>"2170676396 "</f>
        <v xml:space="preserve">2170676396 </v>
      </c>
      <c r="G3976" s="22" t="str">
        <f t="shared" si="109"/>
        <v>ON1</v>
      </c>
      <c r="H3976" s="22" t="s">
        <v>20</v>
      </c>
      <c r="I3976" s="22" t="s">
        <v>679</v>
      </c>
      <c r="J3976" s="22" t="str">
        <f>""</f>
        <v/>
      </c>
      <c r="K3976" s="22" t="str">
        <f>"PFES1162675546_0001"</f>
        <v>PFES1162675546_0001</v>
      </c>
      <c r="L3976" s="22">
        <v>1</v>
      </c>
      <c r="M3976" s="22">
        <v>8</v>
      </c>
    </row>
    <row r="3977" spans="1:13">
      <c r="A3977" s="6">
        <v>43523</v>
      </c>
      <c r="B3977" s="7">
        <v>0.54999999999999993</v>
      </c>
      <c r="C3977" s="22" t="str">
        <f>"FES1162675542"</f>
        <v>FES1162675542</v>
      </c>
      <c r="D3977" s="22" t="s">
        <v>18</v>
      </c>
      <c r="E3977" s="22" t="s">
        <v>399</v>
      </c>
      <c r="F3977" s="22" t="str">
        <f>"2170675866 "</f>
        <v xml:space="preserve">2170675866 </v>
      </c>
      <c r="G3977" s="22" t="str">
        <f t="shared" si="109"/>
        <v>ON1</v>
      </c>
      <c r="H3977" s="22" t="s">
        <v>20</v>
      </c>
      <c r="I3977" s="22" t="s">
        <v>29</v>
      </c>
      <c r="J3977" s="22" t="str">
        <f>""</f>
        <v/>
      </c>
      <c r="K3977" s="22" t="str">
        <f>"PFES1162675542_0001"</f>
        <v>PFES1162675542_0001</v>
      </c>
      <c r="L3977" s="22">
        <v>1</v>
      </c>
      <c r="M3977" s="22">
        <v>4</v>
      </c>
    </row>
    <row r="3978" spans="1:13">
      <c r="A3978" s="6">
        <v>43523</v>
      </c>
      <c r="B3978" s="7">
        <v>0.5493055555555556</v>
      </c>
      <c r="C3978" s="22" t="str">
        <f>"FES1162675591"</f>
        <v>FES1162675591</v>
      </c>
      <c r="D3978" s="22" t="s">
        <v>18</v>
      </c>
      <c r="E3978" s="22" t="s">
        <v>447</v>
      </c>
      <c r="F3978" s="22" t="str">
        <f>"2170672534 "</f>
        <v xml:space="preserve">2170672534 </v>
      </c>
      <c r="G3978" s="22" t="str">
        <f t="shared" si="109"/>
        <v>ON1</v>
      </c>
      <c r="H3978" s="22" t="s">
        <v>20</v>
      </c>
      <c r="I3978" s="22" t="s">
        <v>182</v>
      </c>
      <c r="J3978" s="22" t="str">
        <f>""</f>
        <v/>
      </c>
      <c r="K3978" s="22" t="str">
        <f>"PFES1162675591_0001"</f>
        <v>PFES1162675591_0001</v>
      </c>
      <c r="L3978" s="22">
        <v>1</v>
      </c>
      <c r="M3978" s="22">
        <v>18</v>
      </c>
    </row>
    <row r="3979" spans="1:13">
      <c r="A3979" s="6">
        <v>43523</v>
      </c>
      <c r="B3979" s="7">
        <v>0.54791666666666672</v>
      </c>
      <c r="C3979" s="22" t="str">
        <f>"FES1162675583"</f>
        <v>FES1162675583</v>
      </c>
      <c r="D3979" s="22" t="s">
        <v>18</v>
      </c>
      <c r="E3979" s="22" t="s">
        <v>1209</v>
      </c>
      <c r="F3979" s="22" t="str">
        <f>"2170676423 "</f>
        <v xml:space="preserve">2170676423 </v>
      </c>
      <c r="G3979" s="22" t="str">
        <f t="shared" si="109"/>
        <v>ON1</v>
      </c>
      <c r="H3979" s="22" t="s">
        <v>20</v>
      </c>
      <c r="I3979" s="22" t="s">
        <v>886</v>
      </c>
      <c r="J3979" s="22" t="str">
        <f>""</f>
        <v/>
      </c>
      <c r="K3979" s="22" t="str">
        <f>"PFES1162675583_0001"</f>
        <v>PFES1162675583_0001</v>
      </c>
      <c r="L3979" s="22">
        <v>1</v>
      </c>
      <c r="M3979" s="22">
        <v>1</v>
      </c>
    </row>
    <row r="3980" spans="1:13">
      <c r="A3980" s="6">
        <v>43523</v>
      </c>
      <c r="B3980" s="7">
        <v>0.54722222222222217</v>
      </c>
      <c r="C3980" s="22" t="str">
        <f>"FES1162675632"</f>
        <v>FES1162675632</v>
      </c>
      <c r="D3980" s="22" t="s">
        <v>18</v>
      </c>
      <c r="E3980" s="22" t="s">
        <v>212</v>
      </c>
      <c r="F3980" s="22" t="str">
        <f>"2170676437 "</f>
        <v xml:space="preserve">2170676437 </v>
      </c>
      <c r="G3980" s="22" t="str">
        <f t="shared" si="109"/>
        <v>ON1</v>
      </c>
      <c r="H3980" s="22" t="s">
        <v>20</v>
      </c>
      <c r="I3980" s="22" t="s">
        <v>213</v>
      </c>
      <c r="J3980" s="22" t="str">
        <f>""</f>
        <v/>
      </c>
      <c r="K3980" s="22" t="str">
        <f>"PFES1162675632_0001"</f>
        <v>PFES1162675632_0001</v>
      </c>
      <c r="L3980" s="22">
        <v>1</v>
      </c>
      <c r="M3980" s="22">
        <v>9</v>
      </c>
    </row>
    <row r="3981" spans="1:13">
      <c r="A3981" s="6">
        <v>43523</v>
      </c>
      <c r="B3981" s="7">
        <v>0.54652777777777783</v>
      </c>
      <c r="C3981" s="22" t="str">
        <f>"FES1162675112"</f>
        <v>FES1162675112</v>
      </c>
      <c r="D3981" s="22" t="s">
        <v>18</v>
      </c>
      <c r="E3981" s="22" t="s">
        <v>69</v>
      </c>
      <c r="F3981" s="22" t="str">
        <f>"2170676071 "</f>
        <v xml:space="preserve">2170676071 </v>
      </c>
      <c r="G3981" s="22" t="str">
        <f t="shared" si="109"/>
        <v>ON1</v>
      </c>
      <c r="H3981" s="22" t="s">
        <v>20</v>
      </c>
      <c r="I3981" s="22" t="s">
        <v>70</v>
      </c>
      <c r="J3981" s="22" t="str">
        <f>""</f>
        <v/>
      </c>
      <c r="K3981" s="22" t="str">
        <f>"PFES1162675112_0001"</f>
        <v>PFES1162675112_0001</v>
      </c>
      <c r="L3981" s="22">
        <v>1</v>
      </c>
      <c r="M3981" s="22">
        <v>1</v>
      </c>
    </row>
    <row r="3982" spans="1:13">
      <c r="A3982" s="6">
        <v>43523</v>
      </c>
      <c r="B3982" s="7">
        <v>0.54652777777777783</v>
      </c>
      <c r="C3982" s="22" t="str">
        <f>"FES1162675652"</f>
        <v>FES1162675652</v>
      </c>
      <c r="D3982" s="22" t="s">
        <v>18</v>
      </c>
      <c r="E3982" s="22" t="s">
        <v>913</v>
      </c>
      <c r="F3982" s="22" t="str">
        <f>"2170676425 "</f>
        <v xml:space="preserve">2170676425 </v>
      </c>
      <c r="G3982" s="22" t="str">
        <f t="shared" si="109"/>
        <v>ON1</v>
      </c>
      <c r="H3982" s="22" t="s">
        <v>20</v>
      </c>
      <c r="I3982" s="22" t="s">
        <v>761</v>
      </c>
      <c r="J3982" s="22" t="str">
        <f>""</f>
        <v/>
      </c>
      <c r="K3982" s="22" t="str">
        <f>"PFES1162675652_0001"</f>
        <v>PFES1162675652_0001</v>
      </c>
      <c r="L3982" s="22">
        <v>1</v>
      </c>
      <c r="M3982" s="22">
        <v>1</v>
      </c>
    </row>
    <row r="3983" spans="1:13">
      <c r="A3983" s="6">
        <v>43523</v>
      </c>
      <c r="B3983" s="7">
        <v>0.54652777777777783</v>
      </c>
      <c r="C3983" s="22" t="str">
        <f>"FES1162675703"</f>
        <v>FES1162675703</v>
      </c>
      <c r="D3983" s="22" t="s">
        <v>18</v>
      </c>
      <c r="E3983" s="22" t="s">
        <v>516</v>
      </c>
      <c r="F3983" s="22" t="str">
        <f>"2170674904 "</f>
        <v xml:space="preserve">2170674904 </v>
      </c>
      <c r="G3983" s="22" t="str">
        <f t="shared" si="109"/>
        <v>ON1</v>
      </c>
      <c r="H3983" s="22" t="s">
        <v>20</v>
      </c>
      <c r="I3983" s="22" t="s">
        <v>237</v>
      </c>
      <c r="J3983" s="22" t="str">
        <f>""</f>
        <v/>
      </c>
      <c r="K3983" s="22" t="str">
        <f>"PFES1162675703_0001"</f>
        <v>PFES1162675703_0001</v>
      </c>
      <c r="L3983" s="22">
        <v>1</v>
      </c>
      <c r="M3983" s="22">
        <v>2</v>
      </c>
    </row>
    <row r="3984" spans="1:13">
      <c r="A3984" s="6">
        <v>43523</v>
      </c>
      <c r="B3984" s="7">
        <v>0.54652777777777783</v>
      </c>
      <c r="C3984" s="22" t="str">
        <f>"FES1162675673"</f>
        <v>FES1162675673</v>
      </c>
      <c r="D3984" s="22" t="s">
        <v>18</v>
      </c>
      <c r="E3984" s="22" t="s">
        <v>779</v>
      </c>
      <c r="F3984" s="22" t="str">
        <f>"2170674204 "</f>
        <v xml:space="preserve">2170674204 </v>
      </c>
      <c r="G3984" s="22" t="str">
        <f t="shared" si="109"/>
        <v>ON1</v>
      </c>
      <c r="H3984" s="22" t="s">
        <v>20</v>
      </c>
      <c r="I3984" s="22" t="s">
        <v>635</v>
      </c>
      <c r="J3984" s="22" t="str">
        <f>""</f>
        <v/>
      </c>
      <c r="K3984" s="22" t="str">
        <f>"PFES1162675673_0001"</f>
        <v>PFES1162675673_0001</v>
      </c>
      <c r="L3984" s="22">
        <v>1</v>
      </c>
      <c r="M3984" s="22">
        <v>1</v>
      </c>
    </row>
    <row r="3985" spans="1:13">
      <c r="A3985" s="6">
        <v>43523</v>
      </c>
      <c r="B3985" s="7">
        <v>0.54583333333333328</v>
      </c>
      <c r="C3985" s="22" t="str">
        <f>"FES1162675671"</f>
        <v>FES1162675671</v>
      </c>
      <c r="D3985" s="22" t="s">
        <v>18</v>
      </c>
      <c r="E3985" s="22" t="s">
        <v>19</v>
      </c>
      <c r="F3985" s="22" t="str">
        <f>"2170674156 "</f>
        <v xml:space="preserve">2170674156 </v>
      </c>
      <c r="G3985" s="22" t="str">
        <f t="shared" si="109"/>
        <v>ON1</v>
      </c>
      <c r="H3985" s="22" t="s">
        <v>20</v>
      </c>
      <c r="I3985" s="22" t="s">
        <v>21</v>
      </c>
      <c r="J3985" s="22" t="str">
        <f>""</f>
        <v/>
      </c>
      <c r="K3985" s="22" t="str">
        <f>"PFES1162675671_0001"</f>
        <v>PFES1162675671_0001</v>
      </c>
      <c r="L3985" s="22">
        <v>1</v>
      </c>
      <c r="M3985" s="22">
        <v>1</v>
      </c>
    </row>
    <row r="3986" spans="1:13">
      <c r="A3986" s="6">
        <v>43523</v>
      </c>
      <c r="B3986" s="7">
        <v>0.54583333333333328</v>
      </c>
      <c r="C3986" s="22" t="str">
        <f>"FES1162675675"</f>
        <v>FES1162675675</v>
      </c>
      <c r="D3986" s="22" t="s">
        <v>18</v>
      </c>
      <c r="E3986" s="22" t="s">
        <v>432</v>
      </c>
      <c r="F3986" s="22" t="str">
        <f>"2170674262 "</f>
        <v xml:space="preserve">2170674262 </v>
      </c>
      <c r="G3986" s="22" t="str">
        <f t="shared" si="109"/>
        <v>ON1</v>
      </c>
      <c r="H3986" s="22" t="s">
        <v>20</v>
      </c>
      <c r="I3986" s="22" t="s">
        <v>433</v>
      </c>
      <c r="J3986" s="22" t="str">
        <f>""</f>
        <v/>
      </c>
      <c r="K3986" s="22" t="str">
        <f>"PFES1162675675_0001"</f>
        <v>PFES1162675675_0001</v>
      </c>
      <c r="L3986" s="22">
        <v>1</v>
      </c>
      <c r="M3986" s="22">
        <v>1</v>
      </c>
    </row>
    <row r="3987" spans="1:13">
      <c r="A3987" s="6">
        <v>43523</v>
      </c>
      <c r="B3987" s="7">
        <v>0.54513888888888895</v>
      </c>
      <c r="C3987" s="22" t="str">
        <f>"FES1162675588"</f>
        <v>FES1162675588</v>
      </c>
      <c r="D3987" s="22" t="s">
        <v>18</v>
      </c>
      <c r="E3987" s="22" t="s">
        <v>315</v>
      </c>
      <c r="F3987" s="22" t="str">
        <f>"2170670189 "</f>
        <v xml:space="preserve">2170670189 </v>
      </c>
      <c r="G3987" s="22" t="str">
        <f t="shared" si="109"/>
        <v>ON1</v>
      </c>
      <c r="H3987" s="22" t="s">
        <v>20</v>
      </c>
      <c r="I3987" s="22" t="s">
        <v>239</v>
      </c>
      <c r="J3987" s="22" t="str">
        <f>""</f>
        <v/>
      </c>
      <c r="K3987" s="22" t="str">
        <f>"PFES1162675588_0001"</f>
        <v>PFES1162675588_0001</v>
      </c>
      <c r="L3987" s="22">
        <v>1</v>
      </c>
      <c r="M3987" s="22">
        <v>1</v>
      </c>
    </row>
    <row r="3988" spans="1:13">
      <c r="A3988" s="6">
        <v>43523</v>
      </c>
      <c r="B3988" s="7">
        <v>0.54513888888888895</v>
      </c>
      <c r="C3988" s="22" t="str">
        <f>"FES1162675598"</f>
        <v>FES1162675598</v>
      </c>
      <c r="D3988" s="22" t="s">
        <v>18</v>
      </c>
      <c r="E3988" s="22" t="s">
        <v>154</v>
      </c>
      <c r="F3988" s="22" t="str">
        <f>"2170672977 "</f>
        <v xml:space="preserve">2170672977 </v>
      </c>
      <c r="G3988" s="22" t="str">
        <f t="shared" si="109"/>
        <v>ON1</v>
      </c>
      <c r="H3988" s="22" t="s">
        <v>20</v>
      </c>
      <c r="I3988" s="22" t="s">
        <v>67</v>
      </c>
      <c r="J3988" s="22" t="str">
        <f>""</f>
        <v/>
      </c>
      <c r="K3988" s="22" t="str">
        <f>"PFES1162675598_0001"</f>
        <v>PFES1162675598_0001</v>
      </c>
      <c r="L3988" s="22">
        <v>1</v>
      </c>
      <c r="M3988" s="22">
        <v>1</v>
      </c>
    </row>
    <row r="3989" spans="1:13">
      <c r="A3989" s="6">
        <v>43523</v>
      </c>
      <c r="B3989" s="7">
        <v>0.54513888888888895</v>
      </c>
      <c r="C3989" s="22" t="str">
        <f>"FES1162675705"</f>
        <v>FES1162675705</v>
      </c>
      <c r="D3989" s="22" t="s">
        <v>18</v>
      </c>
      <c r="E3989" s="22" t="s">
        <v>19</v>
      </c>
      <c r="F3989" s="22" t="str">
        <f>"2170674946 "</f>
        <v xml:space="preserve">2170674946 </v>
      </c>
      <c r="G3989" s="22" t="str">
        <f t="shared" ref="G3989:G4052" si="110">"ON1"</f>
        <v>ON1</v>
      </c>
      <c r="H3989" s="22" t="s">
        <v>20</v>
      </c>
      <c r="I3989" s="22" t="s">
        <v>21</v>
      </c>
      <c r="J3989" s="22" t="str">
        <f>""</f>
        <v/>
      </c>
      <c r="K3989" s="22" t="str">
        <f>"PFES1162675705_0001"</f>
        <v>PFES1162675705_0001</v>
      </c>
      <c r="L3989" s="22">
        <v>1</v>
      </c>
      <c r="M3989" s="22">
        <v>1</v>
      </c>
    </row>
    <row r="3990" spans="1:13">
      <c r="A3990" s="6">
        <v>43523</v>
      </c>
      <c r="B3990" s="7">
        <v>0.5444444444444444</v>
      </c>
      <c r="C3990" s="22" t="str">
        <f>"FES1162675638"</f>
        <v>FES1162675638</v>
      </c>
      <c r="D3990" s="22" t="s">
        <v>18</v>
      </c>
      <c r="E3990" s="22" t="s">
        <v>66</v>
      </c>
      <c r="F3990" s="22" t="str">
        <f>"2170659701 "</f>
        <v xml:space="preserve">2170659701 </v>
      </c>
      <c r="G3990" s="22" t="str">
        <f t="shared" si="110"/>
        <v>ON1</v>
      </c>
      <c r="H3990" s="22" t="s">
        <v>20</v>
      </c>
      <c r="I3990" s="22" t="s">
        <v>67</v>
      </c>
      <c r="J3990" s="22" t="str">
        <f>""</f>
        <v/>
      </c>
      <c r="K3990" s="22" t="str">
        <f>"PFES1162675638_0001"</f>
        <v>PFES1162675638_0001</v>
      </c>
      <c r="L3990" s="22">
        <v>1</v>
      </c>
      <c r="M3990" s="22">
        <v>1</v>
      </c>
    </row>
    <row r="3991" spans="1:13">
      <c r="A3991" s="6">
        <v>43523</v>
      </c>
      <c r="B3991" s="7">
        <v>0.5444444444444444</v>
      </c>
      <c r="C3991" s="22" t="str">
        <f>"FES1162675609"</f>
        <v>FES1162675609</v>
      </c>
      <c r="D3991" s="22" t="s">
        <v>18</v>
      </c>
      <c r="E3991" s="22" t="s">
        <v>19</v>
      </c>
      <c r="F3991" s="22" t="str">
        <f>"217067317 "</f>
        <v xml:space="preserve">217067317 </v>
      </c>
      <c r="G3991" s="22" t="str">
        <f t="shared" si="110"/>
        <v>ON1</v>
      </c>
      <c r="H3991" s="22" t="s">
        <v>20</v>
      </c>
      <c r="I3991" s="22" t="s">
        <v>21</v>
      </c>
      <c r="J3991" s="22" t="str">
        <f>""</f>
        <v/>
      </c>
      <c r="K3991" s="22" t="str">
        <f>"PFES1162675609_0001"</f>
        <v>PFES1162675609_0001</v>
      </c>
      <c r="L3991" s="22">
        <v>1</v>
      </c>
      <c r="M3991" s="22">
        <v>1</v>
      </c>
    </row>
    <row r="3992" spans="1:13">
      <c r="A3992" s="6">
        <v>43523</v>
      </c>
      <c r="B3992" s="7">
        <v>0.54375000000000007</v>
      </c>
      <c r="C3992" s="22" t="str">
        <f>"FES1162675672"</f>
        <v>FES1162675672</v>
      </c>
      <c r="D3992" s="22" t="s">
        <v>18</v>
      </c>
      <c r="E3992" s="22" t="s">
        <v>858</v>
      </c>
      <c r="F3992" s="22" t="str">
        <f>"2170674194 "</f>
        <v xml:space="preserve">2170674194 </v>
      </c>
      <c r="G3992" s="22" t="str">
        <f t="shared" si="110"/>
        <v>ON1</v>
      </c>
      <c r="H3992" s="22" t="s">
        <v>20</v>
      </c>
      <c r="I3992" s="22" t="s">
        <v>153</v>
      </c>
      <c r="J3992" s="22" t="str">
        <f>""</f>
        <v/>
      </c>
      <c r="K3992" s="22" t="str">
        <f>"PFES1162675672_0001"</f>
        <v>PFES1162675672_0001</v>
      </c>
      <c r="L3992" s="22">
        <v>1</v>
      </c>
      <c r="M3992" s="22">
        <v>1</v>
      </c>
    </row>
    <row r="3993" spans="1:13">
      <c r="A3993" s="6">
        <v>43523</v>
      </c>
      <c r="B3993" s="7">
        <v>0.54375000000000007</v>
      </c>
      <c r="C3993" s="22" t="str">
        <f>"FES1162675693"</f>
        <v>FES1162675693</v>
      </c>
      <c r="D3993" s="22" t="s">
        <v>18</v>
      </c>
      <c r="E3993" s="22" t="s">
        <v>19</v>
      </c>
      <c r="F3993" s="22" t="str">
        <f>"2170674783 "</f>
        <v xml:space="preserve">2170674783 </v>
      </c>
      <c r="G3993" s="22" t="str">
        <f t="shared" si="110"/>
        <v>ON1</v>
      </c>
      <c r="H3993" s="22" t="s">
        <v>20</v>
      </c>
      <c r="I3993" s="22" t="s">
        <v>21</v>
      </c>
      <c r="J3993" s="22" t="str">
        <f>""</f>
        <v/>
      </c>
      <c r="K3993" s="22" t="str">
        <f>"PFES1162675693_0001"</f>
        <v>PFES1162675693_0001</v>
      </c>
      <c r="L3993" s="22">
        <v>1</v>
      </c>
      <c r="M3993" s="22">
        <v>1</v>
      </c>
    </row>
    <row r="3994" spans="1:13">
      <c r="A3994" s="6">
        <v>43523</v>
      </c>
      <c r="B3994" s="7">
        <v>0.54375000000000007</v>
      </c>
      <c r="C3994" s="22" t="str">
        <f>"FES1162675553"</f>
        <v>FES1162675553</v>
      </c>
      <c r="D3994" s="22" t="s">
        <v>18</v>
      </c>
      <c r="E3994" s="22" t="s">
        <v>1084</v>
      </c>
      <c r="F3994" s="22" t="str">
        <f>"2170672878 "</f>
        <v xml:space="preserve">2170672878 </v>
      </c>
      <c r="G3994" s="22" t="str">
        <f t="shared" si="110"/>
        <v>ON1</v>
      </c>
      <c r="H3994" s="22" t="s">
        <v>20</v>
      </c>
      <c r="I3994" s="22" t="s">
        <v>81</v>
      </c>
      <c r="J3994" s="22" t="str">
        <f>""</f>
        <v/>
      </c>
      <c r="K3994" s="22" t="str">
        <f>"PFES1162675553_0001"</f>
        <v>PFES1162675553_0001</v>
      </c>
      <c r="L3994" s="22">
        <v>1</v>
      </c>
      <c r="M3994" s="22">
        <v>1</v>
      </c>
    </row>
    <row r="3995" spans="1:13">
      <c r="A3995" s="6">
        <v>43523</v>
      </c>
      <c r="B3995" s="7">
        <v>0.54305555555555551</v>
      </c>
      <c r="C3995" s="22" t="str">
        <f>"FES1162675674"</f>
        <v>FES1162675674</v>
      </c>
      <c r="D3995" s="22" t="s">
        <v>18</v>
      </c>
      <c r="E3995" s="22" t="s">
        <v>19</v>
      </c>
      <c r="F3995" s="22" t="str">
        <f>"2170674255 "</f>
        <v xml:space="preserve">2170674255 </v>
      </c>
      <c r="G3995" s="22" t="str">
        <f t="shared" si="110"/>
        <v>ON1</v>
      </c>
      <c r="H3995" s="22" t="s">
        <v>20</v>
      </c>
      <c r="I3995" s="22" t="s">
        <v>21</v>
      </c>
      <c r="J3995" s="22" t="str">
        <f>""</f>
        <v/>
      </c>
      <c r="K3995" s="22" t="str">
        <f>"PFES1162675674_0001"</f>
        <v>PFES1162675674_0001</v>
      </c>
      <c r="L3995" s="22">
        <v>1</v>
      </c>
      <c r="M3995" s="22">
        <v>1</v>
      </c>
    </row>
    <row r="3996" spans="1:13">
      <c r="A3996" s="6">
        <v>43523</v>
      </c>
      <c r="B3996" s="7">
        <v>0.54305555555555551</v>
      </c>
      <c r="C3996" s="22" t="str">
        <f>"FES1162675704"</f>
        <v>FES1162675704</v>
      </c>
      <c r="D3996" s="22" t="s">
        <v>18</v>
      </c>
      <c r="E3996" s="22" t="s">
        <v>64</v>
      </c>
      <c r="F3996" s="22" t="str">
        <f>"2170674923 "</f>
        <v xml:space="preserve">2170674923 </v>
      </c>
      <c r="G3996" s="22" t="str">
        <f t="shared" si="110"/>
        <v>ON1</v>
      </c>
      <c r="H3996" s="22" t="s">
        <v>20</v>
      </c>
      <c r="I3996" s="22" t="s">
        <v>65</v>
      </c>
      <c r="J3996" s="22" t="str">
        <f>""</f>
        <v/>
      </c>
      <c r="K3996" s="22" t="str">
        <f>"PFES1162675704_0001"</f>
        <v>PFES1162675704_0001</v>
      </c>
      <c r="L3996" s="22">
        <v>1</v>
      </c>
      <c r="M3996" s="22">
        <v>1</v>
      </c>
    </row>
    <row r="3997" spans="1:13">
      <c r="A3997" s="6">
        <v>43523</v>
      </c>
      <c r="B3997" s="7">
        <v>0.54236111111111118</v>
      </c>
      <c r="C3997" s="22" t="str">
        <f>"FES1162675582"</f>
        <v>FES1162675582</v>
      </c>
      <c r="D3997" s="22" t="s">
        <v>18</v>
      </c>
      <c r="E3997" s="22" t="s">
        <v>422</v>
      </c>
      <c r="F3997" s="22" t="str">
        <f>"2170676420 "</f>
        <v xml:space="preserve">2170676420 </v>
      </c>
      <c r="G3997" s="22" t="str">
        <f t="shared" si="110"/>
        <v>ON1</v>
      </c>
      <c r="H3997" s="22" t="s">
        <v>20</v>
      </c>
      <c r="I3997" s="22" t="s">
        <v>130</v>
      </c>
      <c r="J3997" s="22" t="str">
        <f>""</f>
        <v/>
      </c>
      <c r="K3997" s="22" t="str">
        <f>"PFES1162675582_0001"</f>
        <v>PFES1162675582_0001</v>
      </c>
      <c r="L3997" s="22">
        <v>1</v>
      </c>
      <c r="M3997" s="22">
        <v>1</v>
      </c>
    </row>
    <row r="3998" spans="1:13">
      <c r="A3998" s="6">
        <v>43523</v>
      </c>
      <c r="B3998" s="7">
        <v>0.54236111111111118</v>
      </c>
      <c r="C3998" s="22" t="str">
        <f>"FES1162675690"</f>
        <v>FES1162675690</v>
      </c>
      <c r="D3998" s="22" t="s">
        <v>18</v>
      </c>
      <c r="E3998" s="22" t="s">
        <v>606</v>
      </c>
      <c r="F3998" s="22" t="str">
        <f>"2170674758 "</f>
        <v xml:space="preserve">2170674758 </v>
      </c>
      <c r="G3998" s="22" t="str">
        <f t="shared" si="110"/>
        <v>ON1</v>
      </c>
      <c r="H3998" s="22" t="s">
        <v>20</v>
      </c>
      <c r="I3998" s="22" t="s">
        <v>124</v>
      </c>
      <c r="J3998" s="22" t="str">
        <f>""</f>
        <v/>
      </c>
      <c r="K3998" s="22" t="str">
        <f>"PFES1162675690_0001"</f>
        <v>PFES1162675690_0001</v>
      </c>
      <c r="L3998" s="22">
        <v>1</v>
      </c>
      <c r="M3998" s="22">
        <v>2</v>
      </c>
    </row>
    <row r="3999" spans="1:13">
      <c r="A3999" s="6">
        <v>43523</v>
      </c>
      <c r="B3999" s="7">
        <v>0.54236111111111118</v>
      </c>
      <c r="C3999" s="22" t="str">
        <f>"FES1162675718"</f>
        <v>FES1162675718</v>
      </c>
      <c r="D3999" s="22" t="s">
        <v>18</v>
      </c>
      <c r="E3999" s="22" t="s">
        <v>752</v>
      </c>
      <c r="F3999" s="22" t="str">
        <f>"2170676474 "</f>
        <v xml:space="preserve">2170676474 </v>
      </c>
      <c r="G3999" s="22" t="str">
        <f t="shared" si="110"/>
        <v>ON1</v>
      </c>
      <c r="H3999" s="22" t="s">
        <v>20</v>
      </c>
      <c r="I3999" s="22" t="s">
        <v>53</v>
      </c>
      <c r="J3999" s="22" t="str">
        <f>""</f>
        <v/>
      </c>
      <c r="K3999" s="22" t="str">
        <f>"PFES1162675718_0001"</f>
        <v>PFES1162675718_0001</v>
      </c>
      <c r="L3999" s="22">
        <v>1</v>
      </c>
      <c r="M3999" s="22">
        <v>1</v>
      </c>
    </row>
    <row r="4000" spans="1:13">
      <c r="A4000" s="6">
        <v>43523</v>
      </c>
      <c r="B4000" s="7">
        <v>0.54236111111111118</v>
      </c>
      <c r="C4000" s="22" t="str">
        <f>"FES1162675567"</f>
        <v>FES1162675567</v>
      </c>
      <c r="D4000" s="22" t="s">
        <v>18</v>
      </c>
      <c r="E4000" s="22" t="s">
        <v>521</v>
      </c>
      <c r="F4000" s="22" t="str">
        <f>"2170676404 "</f>
        <v xml:space="preserve">2170676404 </v>
      </c>
      <c r="G4000" s="22" t="str">
        <f t="shared" si="110"/>
        <v>ON1</v>
      </c>
      <c r="H4000" s="22" t="s">
        <v>20</v>
      </c>
      <c r="I4000" s="22" t="s">
        <v>445</v>
      </c>
      <c r="J4000" s="22" t="str">
        <f>""</f>
        <v/>
      </c>
      <c r="K4000" s="22" t="str">
        <f>"PFES1162675567_0001"</f>
        <v>PFES1162675567_0001</v>
      </c>
      <c r="L4000" s="22">
        <v>1</v>
      </c>
      <c r="M4000" s="22">
        <v>1</v>
      </c>
    </row>
    <row r="4001" spans="1:13">
      <c r="A4001" s="6">
        <v>43523</v>
      </c>
      <c r="B4001" s="7">
        <v>0.54166666666666663</v>
      </c>
      <c r="C4001" s="22" t="str">
        <f>"FES1162675681"</f>
        <v>FES1162675681</v>
      </c>
      <c r="D4001" s="22" t="s">
        <v>18</v>
      </c>
      <c r="E4001" s="22" t="s">
        <v>670</v>
      </c>
      <c r="F4001" s="22" t="str">
        <f>"2170674509 "</f>
        <v xml:space="preserve">2170674509 </v>
      </c>
      <c r="G4001" s="22" t="str">
        <f t="shared" si="110"/>
        <v>ON1</v>
      </c>
      <c r="H4001" s="22" t="s">
        <v>20</v>
      </c>
      <c r="I4001" s="22" t="s">
        <v>213</v>
      </c>
      <c r="J4001" s="22" t="str">
        <f>""</f>
        <v/>
      </c>
      <c r="K4001" s="22" t="str">
        <f>"PFES1162675681_0001"</f>
        <v>PFES1162675681_0001</v>
      </c>
      <c r="L4001" s="22">
        <v>1</v>
      </c>
      <c r="M4001" s="22">
        <v>1</v>
      </c>
    </row>
    <row r="4002" spans="1:13">
      <c r="A4002" s="6">
        <v>43523</v>
      </c>
      <c r="B4002" s="7">
        <v>0.54166666666666663</v>
      </c>
      <c r="C4002" s="22" t="str">
        <f>"FES1162675743"</f>
        <v>FES1162675743</v>
      </c>
      <c r="D4002" s="22" t="s">
        <v>18</v>
      </c>
      <c r="E4002" s="22" t="s">
        <v>66</v>
      </c>
      <c r="F4002" s="22" t="str">
        <f>"2170660971 "</f>
        <v xml:space="preserve">2170660971 </v>
      </c>
      <c r="G4002" s="22" t="str">
        <f t="shared" si="110"/>
        <v>ON1</v>
      </c>
      <c r="H4002" s="22" t="s">
        <v>20</v>
      </c>
      <c r="I4002" s="22" t="s">
        <v>67</v>
      </c>
      <c r="J4002" s="22" t="str">
        <f>""</f>
        <v/>
      </c>
      <c r="K4002" s="22" t="str">
        <f>"PFES1162675743_0001"</f>
        <v>PFES1162675743_0001</v>
      </c>
      <c r="L4002" s="22">
        <v>1</v>
      </c>
      <c r="M4002" s="22">
        <v>16</v>
      </c>
    </row>
    <row r="4003" spans="1:13">
      <c r="A4003" s="6">
        <v>43523</v>
      </c>
      <c r="B4003" s="7">
        <v>0.54097222222222219</v>
      </c>
      <c r="C4003" s="22" t="str">
        <f>"FES1162675664"</f>
        <v>FES1162675664</v>
      </c>
      <c r="D4003" s="22" t="s">
        <v>18</v>
      </c>
      <c r="E4003" s="22" t="s">
        <v>339</v>
      </c>
      <c r="F4003" s="22" t="str">
        <f>"2170673718 "</f>
        <v xml:space="preserve">2170673718 </v>
      </c>
      <c r="G4003" s="22" t="str">
        <f t="shared" si="110"/>
        <v>ON1</v>
      </c>
      <c r="H4003" s="22" t="s">
        <v>20</v>
      </c>
      <c r="I4003" s="22" t="s">
        <v>37</v>
      </c>
      <c r="J4003" s="22" t="str">
        <f>""</f>
        <v/>
      </c>
      <c r="K4003" s="22" t="str">
        <f>"PFES1162675664_0001"</f>
        <v>PFES1162675664_0001</v>
      </c>
      <c r="L4003" s="22">
        <v>1</v>
      </c>
      <c r="M4003" s="22">
        <v>1</v>
      </c>
    </row>
    <row r="4004" spans="1:13">
      <c r="A4004" s="6">
        <v>43523</v>
      </c>
      <c r="B4004" s="7">
        <v>0.54097222222222219</v>
      </c>
      <c r="C4004" s="22" t="str">
        <f>"FES1162675666"</f>
        <v>FES1162675666</v>
      </c>
      <c r="D4004" s="22" t="s">
        <v>18</v>
      </c>
      <c r="E4004" s="22" t="s">
        <v>779</v>
      </c>
      <c r="F4004" s="22" t="str">
        <f>"2170674059 "</f>
        <v xml:space="preserve">2170674059 </v>
      </c>
      <c r="G4004" s="22" t="str">
        <f t="shared" si="110"/>
        <v>ON1</v>
      </c>
      <c r="H4004" s="22" t="s">
        <v>20</v>
      </c>
      <c r="I4004" s="22" t="s">
        <v>635</v>
      </c>
      <c r="J4004" s="22" t="str">
        <f>""</f>
        <v/>
      </c>
      <c r="K4004" s="22" t="str">
        <f>"PFES1162675666_0001"</f>
        <v>PFES1162675666_0001</v>
      </c>
      <c r="L4004" s="22">
        <v>1</v>
      </c>
      <c r="M4004" s="22">
        <v>1</v>
      </c>
    </row>
    <row r="4005" spans="1:13">
      <c r="A4005" s="6">
        <v>43523</v>
      </c>
      <c r="B4005" s="7">
        <v>0.54027777777777775</v>
      </c>
      <c r="C4005" s="22" t="str">
        <f>"FES1162675564"</f>
        <v>FES1162675564</v>
      </c>
      <c r="D4005" s="22" t="s">
        <v>18</v>
      </c>
      <c r="E4005" s="22" t="s">
        <v>667</v>
      </c>
      <c r="F4005" s="22" t="str">
        <f>"2170676172 "</f>
        <v xml:space="preserve">2170676172 </v>
      </c>
      <c r="G4005" s="22" t="str">
        <f t="shared" si="110"/>
        <v>ON1</v>
      </c>
      <c r="H4005" s="22" t="s">
        <v>20</v>
      </c>
      <c r="I4005" s="22" t="s">
        <v>111</v>
      </c>
      <c r="J4005" s="22" t="str">
        <f>""</f>
        <v/>
      </c>
      <c r="K4005" s="22" t="str">
        <f>"PFES1162675564_0001"</f>
        <v>PFES1162675564_0001</v>
      </c>
      <c r="L4005" s="22">
        <v>1</v>
      </c>
      <c r="M4005" s="22">
        <v>1</v>
      </c>
    </row>
    <row r="4006" spans="1:13">
      <c r="A4006" s="6">
        <v>43523</v>
      </c>
      <c r="B4006" s="7">
        <v>0.54027777777777775</v>
      </c>
      <c r="C4006" s="22" t="str">
        <f>"FES1162675680"</f>
        <v>FES1162675680</v>
      </c>
      <c r="D4006" s="22" t="s">
        <v>18</v>
      </c>
      <c r="E4006" s="22" t="s">
        <v>151</v>
      </c>
      <c r="F4006" s="22" t="str">
        <f>"2170674487 "</f>
        <v xml:space="preserve">2170674487 </v>
      </c>
      <c r="G4006" s="22" t="str">
        <f t="shared" si="110"/>
        <v>ON1</v>
      </c>
      <c r="H4006" s="22" t="s">
        <v>20</v>
      </c>
      <c r="I4006" s="22" t="s">
        <v>63</v>
      </c>
      <c r="J4006" s="22" t="str">
        <f>""</f>
        <v/>
      </c>
      <c r="K4006" s="22" t="str">
        <f>"PFES1162675680_0001"</f>
        <v>PFES1162675680_0001</v>
      </c>
      <c r="L4006" s="22">
        <v>1</v>
      </c>
      <c r="M4006" s="22">
        <v>1</v>
      </c>
    </row>
    <row r="4007" spans="1:13">
      <c r="A4007" s="6">
        <v>43523</v>
      </c>
      <c r="B4007" s="7">
        <v>0.54027777777777775</v>
      </c>
      <c r="C4007" s="22" t="str">
        <f>"FES1162675600"</f>
        <v>FES1162675600</v>
      </c>
      <c r="D4007" s="22" t="s">
        <v>18</v>
      </c>
      <c r="E4007" s="22" t="s">
        <v>102</v>
      </c>
      <c r="F4007" s="22" t="str">
        <f>"2170673058 "</f>
        <v xml:space="preserve">2170673058 </v>
      </c>
      <c r="G4007" s="22" t="str">
        <f t="shared" si="110"/>
        <v>ON1</v>
      </c>
      <c r="H4007" s="22" t="s">
        <v>20</v>
      </c>
      <c r="I4007" s="22" t="s">
        <v>103</v>
      </c>
      <c r="J4007" s="22" t="str">
        <f>""</f>
        <v/>
      </c>
      <c r="K4007" s="22" t="str">
        <f>"PFES1162675600_0001"</f>
        <v>PFES1162675600_0001</v>
      </c>
      <c r="L4007" s="22">
        <v>1</v>
      </c>
      <c r="M4007" s="22">
        <v>1</v>
      </c>
    </row>
    <row r="4008" spans="1:13">
      <c r="A4008" s="6">
        <v>43523</v>
      </c>
      <c r="B4008" s="7">
        <v>0.5395833333333333</v>
      </c>
      <c r="C4008" s="22" t="str">
        <f>"FES1162675698"</f>
        <v>FES1162675698</v>
      </c>
      <c r="D4008" s="22" t="s">
        <v>18</v>
      </c>
      <c r="E4008" s="22" t="s">
        <v>425</v>
      </c>
      <c r="F4008" s="22" t="str">
        <f>"2170674837 "</f>
        <v xml:space="preserve">2170674837 </v>
      </c>
      <c r="G4008" s="22" t="str">
        <f t="shared" si="110"/>
        <v>ON1</v>
      </c>
      <c r="H4008" s="22" t="s">
        <v>20</v>
      </c>
      <c r="I4008" s="22" t="s">
        <v>213</v>
      </c>
      <c r="J4008" s="22" t="str">
        <f>""</f>
        <v/>
      </c>
      <c r="K4008" s="22" t="str">
        <f>"PFES1162675698_0001"</f>
        <v>PFES1162675698_0001</v>
      </c>
      <c r="L4008" s="22">
        <v>1</v>
      </c>
      <c r="M4008" s="22">
        <v>1</v>
      </c>
    </row>
    <row r="4009" spans="1:13">
      <c r="A4009" s="6">
        <v>43523</v>
      </c>
      <c r="B4009" s="7">
        <v>0.5395833333333333</v>
      </c>
      <c r="C4009" s="22" t="str">
        <f>"FES1162675624"</f>
        <v>FES1162675624</v>
      </c>
      <c r="D4009" s="22" t="s">
        <v>18</v>
      </c>
      <c r="E4009" s="22" t="s">
        <v>144</v>
      </c>
      <c r="F4009" s="22" t="str">
        <f>"2170674778 "</f>
        <v xml:space="preserve">2170674778 </v>
      </c>
      <c r="G4009" s="22" t="str">
        <f t="shared" si="110"/>
        <v>ON1</v>
      </c>
      <c r="H4009" s="22" t="s">
        <v>20</v>
      </c>
      <c r="I4009" s="22" t="s">
        <v>145</v>
      </c>
      <c r="J4009" s="22" t="str">
        <f>""</f>
        <v/>
      </c>
      <c r="K4009" s="22" t="str">
        <f>"PFES1162675624_0001"</f>
        <v>PFES1162675624_0001</v>
      </c>
      <c r="L4009" s="22">
        <v>1</v>
      </c>
      <c r="M4009" s="22">
        <v>5</v>
      </c>
    </row>
    <row r="4010" spans="1:13">
      <c r="A4010" s="6">
        <v>43523</v>
      </c>
      <c r="B4010" s="7">
        <v>0.5395833333333333</v>
      </c>
      <c r="C4010" s="22" t="str">
        <f>"FES1162675667"</f>
        <v>FES1162675667</v>
      </c>
      <c r="D4010" s="22" t="s">
        <v>18</v>
      </c>
      <c r="E4010" s="22" t="s">
        <v>337</v>
      </c>
      <c r="F4010" s="22" t="str">
        <f>"2170674083 "</f>
        <v xml:space="preserve">2170674083 </v>
      </c>
      <c r="G4010" s="22" t="str">
        <f t="shared" si="110"/>
        <v>ON1</v>
      </c>
      <c r="H4010" s="22" t="s">
        <v>20</v>
      </c>
      <c r="I4010" s="22" t="s">
        <v>338</v>
      </c>
      <c r="J4010" s="22" t="str">
        <f>""</f>
        <v/>
      </c>
      <c r="K4010" s="22" t="str">
        <f>"PFES1162675667_0001"</f>
        <v>PFES1162675667_0001</v>
      </c>
      <c r="L4010" s="22">
        <v>1</v>
      </c>
      <c r="M4010" s="22">
        <v>1</v>
      </c>
    </row>
    <row r="4011" spans="1:13">
      <c r="A4011" s="6">
        <v>43523</v>
      </c>
      <c r="B4011" s="7">
        <v>0.5395833333333333</v>
      </c>
      <c r="C4011" s="22" t="str">
        <f>"FES1162675574"</f>
        <v>FES1162675574</v>
      </c>
      <c r="D4011" s="22" t="s">
        <v>18</v>
      </c>
      <c r="E4011" s="22" t="s">
        <v>702</v>
      </c>
      <c r="F4011" s="22" t="str">
        <f>"2170676415 "</f>
        <v xml:space="preserve">2170676415 </v>
      </c>
      <c r="G4011" s="22" t="str">
        <f t="shared" si="110"/>
        <v>ON1</v>
      </c>
      <c r="H4011" s="22" t="s">
        <v>20</v>
      </c>
      <c r="I4011" s="22" t="s">
        <v>703</v>
      </c>
      <c r="J4011" s="22" t="str">
        <f>""</f>
        <v/>
      </c>
      <c r="K4011" s="22" t="str">
        <f>"PFES1162675574_0001"</f>
        <v>PFES1162675574_0001</v>
      </c>
      <c r="L4011" s="22">
        <v>1</v>
      </c>
      <c r="M4011" s="22">
        <v>1</v>
      </c>
    </row>
    <row r="4012" spans="1:13">
      <c r="A4012" s="6">
        <v>43523</v>
      </c>
      <c r="B4012" s="7">
        <v>0.53888888888888886</v>
      </c>
      <c r="C4012" s="22" t="str">
        <f>"FES1162675685"</f>
        <v>FES1162675685</v>
      </c>
      <c r="D4012" s="22" t="s">
        <v>18</v>
      </c>
      <c r="E4012" s="22" t="s">
        <v>1210</v>
      </c>
      <c r="F4012" s="22" t="str">
        <f>"2170674641 "</f>
        <v xml:space="preserve">2170674641 </v>
      </c>
      <c r="G4012" s="22" t="str">
        <f t="shared" si="110"/>
        <v>ON1</v>
      </c>
      <c r="H4012" s="22" t="s">
        <v>20</v>
      </c>
      <c r="I4012" s="22" t="s">
        <v>890</v>
      </c>
      <c r="J4012" s="22" t="str">
        <f>""</f>
        <v/>
      </c>
      <c r="K4012" s="22" t="str">
        <f>"PFES1162675685_0001"</f>
        <v>PFES1162675685_0001</v>
      </c>
      <c r="L4012" s="22">
        <v>1</v>
      </c>
      <c r="M4012" s="22">
        <v>1</v>
      </c>
    </row>
    <row r="4013" spans="1:13">
      <c r="A4013" s="6">
        <v>43523</v>
      </c>
      <c r="B4013" s="7">
        <v>0.53888888888888886</v>
      </c>
      <c r="C4013" s="22" t="str">
        <f>"FES1162675622"</f>
        <v>FES1162675622</v>
      </c>
      <c r="D4013" s="22" t="s">
        <v>18</v>
      </c>
      <c r="E4013" s="22" t="s">
        <v>1211</v>
      </c>
      <c r="F4013" s="22" t="str">
        <f>"2170674740 "</f>
        <v xml:space="preserve">2170674740 </v>
      </c>
      <c r="G4013" s="22" t="str">
        <f t="shared" si="110"/>
        <v>ON1</v>
      </c>
      <c r="H4013" s="22" t="s">
        <v>20</v>
      </c>
      <c r="I4013" s="22" t="s">
        <v>99</v>
      </c>
      <c r="J4013" s="22" t="str">
        <f>""</f>
        <v/>
      </c>
      <c r="K4013" s="22" t="str">
        <f>"PFES1162675622_0001"</f>
        <v>PFES1162675622_0001</v>
      </c>
      <c r="L4013" s="22">
        <v>1</v>
      </c>
      <c r="M4013" s="22">
        <v>1</v>
      </c>
    </row>
    <row r="4014" spans="1:13">
      <c r="A4014" s="6">
        <v>43523</v>
      </c>
      <c r="B4014" s="7">
        <v>0.53888888888888886</v>
      </c>
      <c r="C4014" s="22" t="str">
        <f>"FES1162675714"</f>
        <v>FES1162675714</v>
      </c>
      <c r="D4014" s="22" t="s">
        <v>18</v>
      </c>
      <c r="E4014" s="22" t="s">
        <v>746</v>
      </c>
      <c r="F4014" s="22" t="str">
        <f>"2170676453 "</f>
        <v xml:space="preserve">2170676453 </v>
      </c>
      <c r="G4014" s="22" t="str">
        <f t="shared" si="110"/>
        <v>ON1</v>
      </c>
      <c r="H4014" s="22" t="s">
        <v>20</v>
      </c>
      <c r="I4014" s="22" t="s">
        <v>747</v>
      </c>
      <c r="J4014" s="22" t="str">
        <f>""</f>
        <v/>
      </c>
      <c r="K4014" s="22" t="str">
        <f>"PFES1162675714_0001"</f>
        <v>PFES1162675714_0001</v>
      </c>
      <c r="L4014" s="22">
        <v>1</v>
      </c>
      <c r="M4014" s="22">
        <v>1</v>
      </c>
    </row>
    <row r="4015" spans="1:13">
      <c r="A4015" s="6">
        <v>43523</v>
      </c>
      <c r="B4015" s="7">
        <v>0.53819444444444442</v>
      </c>
      <c r="C4015" s="22" t="str">
        <f>"FES1162675668"</f>
        <v>FES1162675668</v>
      </c>
      <c r="D4015" s="22" t="s">
        <v>18</v>
      </c>
      <c r="E4015" s="22" t="s">
        <v>297</v>
      </c>
      <c r="F4015" s="22" t="str">
        <f>"2170674123 "</f>
        <v xml:space="preserve">2170674123 </v>
      </c>
      <c r="G4015" s="22" t="str">
        <f t="shared" si="110"/>
        <v>ON1</v>
      </c>
      <c r="H4015" s="22" t="s">
        <v>20</v>
      </c>
      <c r="I4015" s="22" t="s">
        <v>210</v>
      </c>
      <c r="J4015" s="22" t="str">
        <f>""</f>
        <v/>
      </c>
      <c r="K4015" s="22" t="str">
        <f>"PFES1162675668_0001"</f>
        <v>PFES1162675668_0001</v>
      </c>
      <c r="L4015" s="22">
        <v>1</v>
      </c>
      <c r="M4015" s="22">
        <v>1</v>
      </c>
    </row>
    <row r="4016" spans="1:13">
      <c r="A4016" s="6">
        <v>43523</v>
      </c>
      <c r="B4016" s="7">
        <v>0.53819444444444442</v>
      </c>
      <c r="C4016" s="22" t="str">
        <f>"FES1162675566"</f>
        <v>FES1162675566</v>
      </c>
      <c r="D4016" s="22" t="s">
        <v>18</v>
      </c>
      <c r="E4016" s="22" t="s">
        <v>297</v>
      </c>
      <c r="F4016" s="22" t="str">
        <f>"2170676350 "</f>
        <v xml:space="preserve">2170676350 </v>
      </c>
      <c r="G4016" s="22" t="str">
        <f t="shared" si="110"/>
        <v>ON1</v>
      </c>
      <c r="H4016" s="22" t="s">
        <v>20</v>
      </c>
      <c r="I4016" s="22" t="s">
        <v>210</v>
      </c>
      <c r="J4016" s="22" t="str">
        <f>""</f>
        <v/>
      </c>
      <c r="K4016" s="22" t="str">
        <f>"PFES1162675566_0001"</f>
        <v>PFES1162675566_0001</v>
      </c>
      <c r="L4016" s="22">
        <v>1</v>
      </c>
      <c r="M4016" s="22">
        <v>1</v>
      </c>
    </row>
    <row r="4017" spans="1:13">
      <c r="A4017" s="6">
        <v>43523</v>
      </c>
      <c r="B4017" s="7">
        <v>0.53819444444444442</v>
      </c>
      <c r="C4017" s="22" t="str">
        <f>"FES1162675612"</f>
        <v>FES1162675612</v>
      </c>
      <c r="D4017" s="22" t="s">
        <v>18</v>
      </c>
      <c r="E4017" s="22" t="s">
        <v>234</v>
      </c>
      <c r="F4017" s="22" t="str">
        <f>"2170674407 "</f>
        <v xml:space="preserve">2170674407 </v>
      </c>
      <c r="G4017" s="22" t="str">
        <f t="shared" si="110"/>
        <v>ON1</v>
      </c>
      <c r="H4017" s="22" t="s">
        <v>20</v>
      </c>
      <c r="I4017" s="22" t="s">
        <v>233</v>
      </c>
      <c r="J4017" s="22" t="str">
        <f>""</f>
        <v/>
      </c>
      <c r="K4017" s="22" t="str">
        <f>"PFES1162675612_0001"</f>
        <v>PFES1162675612_0001</v>
      </c>
      <c r="L4017" s="22">
        <v>1</v>
      </c>
      <c r="M4017" s="22">
        <v>1</v>
      </c>
    </row>
    <row r="4018" spans="1:13">
      <c r="A4018" s="6">
        <v>43523</v>
      </c>
      <c r="B4018" s="7">
        <v>0.6791666666666667</v>
      </c>
      <c r="C4018" s="22" t="str">
        <f>"FES1162675837"</f>
        <v>FES1162675837</v>
      </c>
      <c r="D4018" s="22" t="s">
        <v>18</v>
      </c>
      <c r="E4018" s="22" t="s">
        <v>1212</v>
      </c>
      <c r="F4018" s="22" t="str">
        <f>"2170676605 "</f>
        <v xml:space="preserve">2170676605 </v>
      </c>
      <c r="G4018" s="22" t="str">
        <f t="shared" si="110"/>
        <v>ON1</v>
      </c>
      <c r="H4018" s="22" t="s">
        <v>20</v>
      </c>
      <c r="I4018" s="22" t="s">
        <v>228</v>
      </c>
      <c r="J4018" s="22" t="str">
        <f>""</f>
        <v/>
      </c>
      <c r="K4018" s="22" t="str">
        <f>"PFES1162675837_0001"</f>
        <v>PFES1162675837_0001</v>
      </c>
      <c r="L4018" s="22">
        <v>1</v>
      </c>
      <c r="M4018" s="22">
        <v>10</v>
      </c>
    </row>
    <row r="4019" spans="1:13">
      <c r="A4019" s="6">
        <v>43523</v>
      </c>
      <c r="B4019" s="7">
        <v>0.6777777777777777</v>
      </c>
      <c r="C4019" s="22" t="str">
        <f>"009935723022"</f>
        <v>009935723022</v>
      </c>
      <c r="D4019" s="22" t="s">
        <v>18</v>
      </c>
      <c r="E4019" s="22" t="s">
        <v>1055</v>
      </c>
      <c r="F4019" s="22" t="str">
        <f>"1162673865 "</f>
        <v xml:space="preserve">1162673865 </v>
      </c>
      <c r="G4019" s="22" t="str">
        <f t="shared" si="110"/>
        <v>ON1</v>
      </c>
      <c r="H4019" s="22" t="s">
        <v>20</v>
      </c>
      <c r="I4019" s="22" t="s">
        <v>103</v>
      </c>
      <c r="J4019" s="22" t="str">
        <f>"RE SEND PARCEL ON 08H00 DELIVERY"</f>
        <v>RE SEND PARCEL ON 08H00 DELIVERY</v>
      </c>
      <c r="K4019" s="22" t="str">
        <f>"P009935723022_0001"</f>
        <v>P009935723022_0001</v>
      </c>
      <c r="L4019" s="22">
        <v>1</v>
      </c>
      <c r="M4019" s="22">
        <v>3</v>
      </c>
    </row>
    <row r="4020" spans="1:13">
      <c r="A4020" s="6">
        <v>43523</v>
      </c>
      <c r="B4020" s="7">
        <v>0.65972222222222221</v>
      </c>
      <c r="C4020" s="22" t="str">
        <f>"FES1162675814"</f>
        <v>FES1162675814</v>
      </c>
      <c r="D4020" s="22" t="s">
        <v>18</v>
      </c>
      <c r="E4020" s="22" t="s">
        <v>281</v>
      </c>
      <c r="F4020" s="22" t="str">
        <f>"2170676583 "</f>
        <v xml:space="preserve">2170676583 </v>
      </c>
      <c r="G4020" s="22" t="str">
        <f t="shared" si="110"/>
        <v>ON1</v>
      </c>
      <c r="H4020" s="22" t="s">
        <v>20</v>
      </c>
      <c r="I4020" s="22" t="s">
        <v>282</v>
      </c>
      <c r="J4020" s="22" t="str">
        <f>""</f>
        <v/>
      </c>
      <c r="K4020" s="22" t="str">
        <f>"PFES1162675814_0001"</f>
        <v>PFES1162675814_0001</v>
      </c>
      <c r="L4020" s="22">
        <v>1</v>
      </c>
      <c r="M4020" s="22">
        <v>9</v>
      </c>
    </row>
    <row r="4021" spans="1:13">
      <c r="A4021" s="6">
        <v>43523</v>
      </c>
      <c r="B4021" s="7">
        <v>0.65902777777777777</v>
      </c>
      <c r="C4021" s="22" t="str">
        <f>"FES1162675813"</f>
        <v>FES1162675813</v>
      </c>
      <c r="D4021" s="22" t="s">
        <v>18</v>
      </c>
      <c r="E4021" s="22" t="s">
        <v>459</v>
      </c>
      <c r="F4021" s="22" t="str">
        <f>"2170668255 "</f>
        <v xml:space="preserve">2170668255 </v>
      </c>
      <c r="G4021" s="22" t="str">
        <f t="shared" si="110"/>
        <v>ON1</v>
      </c>
      <c r="H4021" s="22" t="s">
        <v>20</v>
      </c>
      <c r="I4021" s="22" t="s">
        <v>37</v>
      </c>
      <c r="J4021" s="22" t="str">
        <f>""</f>
        <v/>
      </c>
      <c r="K4021" s="22" t="str">
        <f>"PFES1162675813_0001"</f>
        <v>PFES1162675813_0001</v>
      </c>
      <c r="L4021" s="22">
        <v>1</v>
      </c>
      <c r="M4021" s="22">
        <v>2</v>
      </c>
    </row>
    <row r="4022" spans="1:13">
      <c r="A4022" s="6">
        <v>43523</v>
      </c>
      <c r="B4022" s="7">
        <v>0.65763888888888888</v>
      </c>
      <c r="C4022" s="22" t="str">
        <f>"FES1162675555"</f>
        <v>FES1162675555</v>
      </c>
      <c r="D4022" s="22" t="s">
        <v>18</v>
      </c>
      <c r="E4022" s="22" t="s">
        <v>218</v>
      </c>
      <c r="F4022" s="22" t="str">
        <f>"2170673548 "</f>
        <v xml:space="preserve">2170673548 </v>
      </c>
      <c r="G4022" s="22" t="str">
        <f t="shared" si="110"/>
        <v>ON1</v>
      </c>
      <c r="H4022" s="22" t="s">
        <v>20</v>
      </c>
      <c r="I4022" s="22" t="s">
        <v>219</v>
      </c>
      <c r="J4022" s="22" t="str">
        <f>""</f>
        <v/>
      </c>
      <c r="K4022" s="22" t="str">
        <f>"PFES1162675555_0001"</f>
        <v>PFES1162675555_0001</v>
      </c>
      <c r="L4022" s="22">
        <v>1</v>
      </c>
      <c r="M4022" s="22">
        <v>18</v>
      </c>
    </row>
    <row r="4023" spans="1:13">
      <c r="A4023" s="6">
        <v>43523</v>
      </c>
      <c r="B4023" s="7">
        <v>0.65555555555555556</v>
      </c>
      <c r="C4023" s="22" t="str">
        <f>"FES1162675594"</f>
        <v>FES1162675594</v>
      </c>
      <c r="D4023" s="22" t="s">
        <v>18</v>
      </c>
      <c r="E4023" s="22" t="s">
        <v>1167</v>
      </c>
      <c r="F4023" s="22" t="str">
        <f>"2170672601 "</f>
        <v xml:space="preserve">2170672601 </v>
      </c>
      <c r="G4023" s="22" t="str">
        <f t="shared" si="110"/>
        <v>ON1</v>
      </c>
      <c r="H4023" s="22" t="s">
        <v>20</v>
      </c>
      <c r="I4023" s="22" t="s">
        <v>276</v>
      </c>
      <c r="J4023" s="22" t="str">
        <f>""</f>
        <v/>
      </c>
      <c r="K4023" s="22" t="str">
        <f>"PFES1162675594_0001"</f>
        <v>PFES1162675594_0001</v>
      </c>
      <c r="L4023" s="22">
        <v>1</v>
      </c>
      <c r="M4023" s="22">
        <v>6</v>
      </c>
    </row>
    <row r="4024" spans="1:13">
      <c r="A4024" s="6">
        <v>43523</v>
      </c>
      <c r="B4024" s="7">
        <v>0.65486111111111112</v>
      </c>
      <c r="C4024" s="22" t="str">
        <f>"FES1162675552"</f>
        <v>FES1162675552</v>
      </c>
      <c r="D4024" s="22" t="s">
        <v>18</v>
      </c>
      <c r="E4024" s="22" t="s">
        <v>185</v>
      </c>
      <c r="F4024" s="22" t="str">
        <f>"2170671330 "</f>
        <v xml:space="preserve">2170671330 </v>
      </c>
      <c r="G4024" s="22" t="str">
        <f t="shared" si="110"/>
        <v>ON1</v>
      </c>
      <c r="H4024" s="22" t="s">
        <v>20</v>
      </c>
      <c r="I4024" s="22" t="s">
        <v>93</v>
      </c>
      <c r="J4024" s="22" t="str">
        <f>""</f>
        <v/>
      </c>
      <c r="K4024" s="22" t="str">
        <f>"PFES1162675552_0001"</f>
        <v>PFES1162675552_0001</v>
      </c>
      <c r="L4024" s="22">
        <v>1</v>
      </c>
      <c r="M4024" s="22">
        <v>2</v>
      </c>
    </row>
    <row r="4025" spans="1:13">
      <c r="A4025" s="6">
        <v>43523</v>
      </c>
      <c r="B4025" s="7">
        <v>0.65416666666666667</v>
      </c>
      <c r="C4025" s="22" t="str">
        <f>"FES1162675551"</f>
        <v>FES1162675551</v>
      </c>
      <c r="D4025" s="22" t="s">
        <v>18</v>
      </c>
      <c r="E4025" s="22" t="s">
        <v>185</v>
      </c>
      <c r="F4025" s="22" t="str">
        <f>"2170671281 "</f>
        <v xml:space="preserve">2170671281 </v>
      </c>
      <c r="G4025" s="22" t="str">
        <f t="shared" si="110"/>
        <v>ON1</v>
      </c>
      <c r="H4025" s="22" t="s">
        <v>20</v>
      </c>
      <c r="I4025" s="22" t="s">
        <v>93</v>
      </c>
      <c r="J4025" s="22" t="str">
        <f>""</f>
        <v/>
      </c>
      <c r="K4025" s="22" t="str">
        <f>"PFES1162675551_0001"</f>
        <v>PFES1162675551_0001</v>
      </c>
      <c r="L4025" s="22">
        <v>1</v>
      </c>
      <c r="M4025" s="22">
        <v>2</v>
      </c>
    </row>
    <row r="4026" spans="1:13">
      <c r="A4026" s="6">
        <v>43523</v>
      </c>
      <c r="B4026" s="7">
        <v>0.65277777777777779</v>
      </c>
      <c r="C4026" s="22" t="str">
        <f>"FES1162675788"</f>
        <v>FES1162675788</v>
      </c>
      <c r="D4026" s="22" t="s">
        <v>18</v>
      </c>
      <c r="E4026" s="22" t="s">
        <v>730</v>
      </c>
      <c r="F4026" s="22" t="str">
        <f>"2170676549 "</f>
        <v xml:space="preserve">2170676549 </v>
      </c>
      <c r="G4026" s="22" t="str">
        <f t="shared" si="110"/>
        <v>ON1</v>
      </c>
      <c r="H4026" s="22" t="s">
        <v>20</v>
      </c>
      <c r="I4026" s="22" t="s">
        <v>139</v>
      </c>
      <c r="J4026" s="22" t="str">
        <f>""</f>
        <v/>
      </c>
      <c r="K4026" s="22" t="str">
        <f>"PFES1162675788_0001"</f>
        <v>PFES1162675788_0001</v>
      </c>
      <c r="L4026" s="22">
        <v>1</v>
      </c>
      <c r="M4026" s="22">
        <v>8</v>
      </c>
    </row>
    <row r="4027" spans="1:13">
      <c r="A4027" s="6">
        <v>43523</v>
      </c>
      <c r="B4027" s="7">
        <v>0.65138888888888891</v>
      </c>
      <c r="C4027" s="22" t="str">
        <f>"FES1162675136"</f>
        <v>FES1162675136</v>
      </c>
      <c r="D4027" s="22" t="s">
        <v>18</v>
      </c>
      <c r="E4027" s="22" t="s">
        <v>202</v>
      </c>
      <c r="F4027" s="22" t="str">
        <f>"2170676105 "</f>
        <v xml:space="preserve">2170676105 </v>
      </c>
      <c r="G4027" s="22" t="str">
        <f t="shared" si="110"/>
        <v>ON1</v>
      </c>
      <c r="H4027" s="22" t="s">
        <v>20</v>
      </c>
      <c r="I4027" s="22" t="s">
        <v>143</v>
      </c>
      <c r="J4027" s="22" t="str">
        <f>""</f>
        <v/>
      </c>
      <c r="K4027" s="22" t="str">
        <f>"PFES1162675136_0001"</f>
        <v>PFES1162675136_0001</v>
      </c>
      <c r="L4027" s="22">
        <v>1</v>
      </c>
      <c r="M4027" s="22">
        <v>2</v>
      </c>
    </row>
    <row r="4028" spans="1:13">
      <c r="A4028" s="6">
        <v>43523</v>
      </c>
      <c r="B4028" s="7">
        <v>0.65069444444444446</v>
      </c>
      <c r="C4028" s="22" t="str">
        <f>"FES1162675800"</f>
        <v>FES1162675800</v>
      </c>
      <c r="D4028" s="22" t="s">
        <v>18</v>
      </c>
      <c r="E4028" s="22" t="s">
        <v>30</v>
      </c>
      <c r="F4028" s="22" t="str">
        <f>"2170676563 "</f>
        <v xml:space="preserve">2170676563 </v>
      </c>
      <c r="G4028" s="22" t="str">
        <f t="shared" si="110"/>
        <v>ON1</v>
      </c>
      <c r="H4028" s="22" t="s">
        <v>20</v>
      </c>
      <c r="I4028" s="22" t="s">
        <v>31</v>
      </c>
      <c r="J4028" s="22" t="str">
        <f>""</f>
        <v/>
      </c>
      <c r="K4028" s="22" t="str">
        <f>"PFES1162675800_0001"</f>
        <v>PFES1162675800_0001</v>
      </c>
      <c r="L4028" s="22">
        <v>1</v>
      </c>
      <c r="M4028" s="22">
        <v>2</v>
      </c>
    </row>
    <row r="4029" spans="1:13">
      <c r="A4029" s="6">
        <v>43523</v>
      </c>
      <c r="B4029" s="7">
        <v>0.65</v>
      </c>
      <c r="C4029" s="22" t="str">
        <f>"FES1162675089"</f>
        <v>FES1162675089</v>
      </c>
      <c r="D4029" s="22" t="s">
        <v>18</v>
      </c>
      <c r="E4029" s="22" t="s">
        <v>863</v>
      </c>
      <c r="F4029" s="22" t="str">
        <f>"2170673914 "</f>
        <v xml:space="preserve">2170673914 </v>
      </c>
      <c r="G4029" s="22" t="str">
        <f t="shared" si="110"/>
        <v>ON1</v>
      </c>
      <c r="H4029" s="22" t="s">
        <v>20</v>
      </c>
      <c r="I4029" s="22" t="s">
        <v>390</v>
      </c>
      <c r="J4029" s="22" t="str">
        <f>""</f>
        <v/>
      </c>
      <c r="K4029" s="22" t="str">
        <f>"PFES1162675089_0001"</f>
        <v>PFES1162675089_0001</v>
      </c>
      <c r="L4029" s="22">
        <v>1</v>
      </c>
      <c r="M4029" s="22">
        <v>1</v>
      </c>
    </row>
    <row r="4030" spans="1:13">
      <c r="A4030" s="6">
        <v>43523</v>
      </c>
      <c r="B4030" s="7">
        <v>0.65</v>
      </c>
      <c r="C4030" s="22" t="str">
        <f>"FES1162675790"</f>
        <v>FES1162675790</v>
      </c>
      <c r="D4030" s="22" t="s">
        <v>18</v>
      </c>
      <c r="E4030" s="22" t="s">
        <v>138</v>
      </c>
      <c r="F4030" s="22" t="str">
        <f>"2170676552 "</f>
        <v xml:space="preserve">2170676552 </v>
      </c>
      <c r="G4030" s="22" t="str">
        <f t="shared" si="110"/>
        <v>ON1</v>
      </c>
      <c r="H4030" s="22" t="s">
        <v>20</v>
      </c>
      <c r="I4030" s="22" t="s">
        <v>139</v>
      </c>
      <c r="J4030" s="22" t="str">
        <f>""</f>
        <v/>
      </c>
      <c r="K4030" s="22" t="str">
        <f>"PFES1162675790_0001"</f>
        <v>PFES1162675790_0001</v>
      </c>
      <c r="L4030" s="22">
        <v>1</v>
      </c>
      <c r="M4030" s="22">
        <v>2</v>
      </c>
    </row>
    <row r="4031" spans="1:13">
      <c r="A4031" s="6">
        <v>43523</v>
      </c>
      <c r="B4031" s="7">
        <v>0.65</v>
      </c>
      <c r="C4031" s="22" t="str">
        <f>"FES1162675097"</f>
        <v>FES1162675097</v>
      </c>
      <c r="D4031" s="22" t="s">
        <v>18</v>
      </c>
      <c r="E4031" s="22" t="s">
        <v>306</v>
      </c>
      <c r="F4031" s="22" t="str">
        <f>"217067668226 "</f>
        <v xml:space="preserve">217067668226 </v>
      </c>
      <c r="G4031" s="22" t="str">
        <f t="shared" si="110"/>
        <v>ON1</v>
      </c>
      <c r="H4031" s="22" t="s">
        <v>20</v>
      </c>
      <c r="I4031" s="22" t="s">
        <v>237</v>
      </c>
      <c r="J4031" s="22" t="str">
        <f>""</f>
        <v/>
      </c>
      <c r="K4031" s="22" t="str">
        <f>"PFES1162675097_0001"</f>
        <v>PFES1162675097_0001</v>
      </c>
      <c r="L4031" s="22">
        <v>1</v>
      </c>
      <c r="M4031" s="22">
        <v>1</v>
      </c>
    </row>
    <row r="4032" spans="1:13">
      <c r="A4032" s="6">
        <v>43523</v>
      </c>
      <c r="B4032" s="7">
        <v>0.64930555555555558</v>
      </c>
      <c r="C4032" s="22" t="str">
        <f>"FES1162675829"</f>
        <v>FES1162675829</v>
      </c>
      <c r="D4032" s="22" t="s">
        <v>18</v>
      </c>
      <c r="E4032" s="22" t="s">
        <v>44</v>
      </c>
      <c r="F4032" s="22" t="str">
        <f>"217067216 "</f>
        <v xml:space="preserve">217067216 </v>
      </c>
      <c r="G4032" s="22" t="str">
        <f t="shared" si="110"/>
        <v>ON1</v>
      </c>
      <c r="H4032" s="22" t="s">
        <v>20</v>
      </c>
      <c r="I4032" s="22" t="s">
        <v>39</v>
      </c>
      <c r="J4032" s="22" t="str">
        <f>""</f>
        <v/>
      </c>
      <c r="K4032" s="22" t="str">
        <f>"PFES1162675829_0001"</f>
        <v>PFES1162675829_0001</v>
      </c>
      <c r="L4032" s="22">
        <v>1</v>
      </c>
      <c r="M4032" s="22">
        <v>1</v>
      </c>
    </row>
    <row r="4033" spans="1:13">
      <c r="A4033" s="6">
        <v>43523</v>
      </c>
      <c r="B4033" s="7">
        <v>0.64930555555555558</v>
      </c>
      <c r="C4033" s="22" t="str">
        <f>"FES1162675103"</f>
        <v>FES1162675103</v>
      </c>
      <c r="D4033" s="22" t="s">
        <v>18</v>
      </c>
      <c r="E4033" s="22" t="s">
        <v>474</v>
      </c>
      <c r="F4033" s="22" t="str">
        <f>"2170676056 "</f>
        <v xml:space="preserve">2170676056 </v>
      </c>
      <c r="G4033" s="22" t="str">
        <f t="shared" si="110"/>
        <v>ON1</v>
      </c>
      <c r="H4033" s="22" t="s">
        <v>20</v>
      </c>
      <c r="I4033" s="22" t="s">
        <v>475</v>
      </c>
      <c r="J4033" s="22" t="str">
        <f>""</f>
        <v/>
      </c>
      <c r="K4033" s="22" t="str">
        <f>"PFES1162675103_0001"</f>
        <v>PFES1162675103_0001</v>
      </c>
      <c r="L4033" s="22">
        <v>1</v>
      </c>
      <c r="M4033" s="22">
        <v>1</v>
      </c>
    </row>
    <row r="4034" spans="1:13">
      <c r="A4034" s="6">
        <v>43523</v>
      </c>
      <c r="B4034" s="7">
        <v>0.64930555555555558</v>
      </c>
      <c r="C4034" s="22" t="str">
        <f>"FES1162675798"</f>
        <v>FES1162675798</v>
      </c>
      <c r="D4034" s="22" t="s">
        <v>18</v>
      </c>
      <c r="E4034" s="22" t="s">
        <v>68</v>
      </c>
      <c r="F4034" s="22" t="str">
        <f>"2170676561 "</f>
        <v xml:space="preserve">2170676561 </v>
      </c>
      <c r="G4034" s="22" t="str">
        <f t="shared" si="110"/>
        <v>ON1</v>
      </c>
      <c r="H4034" s="22" t="s">
        <v>20</v>
      </c>
      <c r="I4034" s="22" t="s">
        <v>929</v>
      </c>
      <c r="J4034" s="22" t="str">
        <f>""</f>
        <v/>
      </c>
      <c r="K4034" s="22" t="str">
        <f>"PFES1162675798_0001"</f>
        <v>PFES1162675798_0001</v>
      </c>
      <c r="L4034" s="22">
        <v>1</v>
      </c>
      <c r="M4034" s="22">
        <v>4</v>
      </c>
    </row>
    <row r="4035" spans="1:13">
      <c r="A4035" s="6">
        <v>43523</v>
      </c>
      <c r="B4035" s="7">
        <v>0.64930555555555558</v>
      </c>
      <c r="C4035" s="22" t="str">
        <f>"FES1162675834"</f>
        <v>FES1162675834</v>
      </c>
      <c r="D4035" s="22" t="s">
        <v>18</v>
      </c>
      <c r="E4035" s="22" t="s">
        <v>134</v>
      </c>
      <c r="F4035" s="22" t="str">
        <f>"2170676600 "</f>
        <v xml:space="preserve">2170676600 </v>
      </c>
      <c r="G4035" s="22" t="str">
        <f t="shared" si="110"/>
        <v>ON1</v>
      </c>
      <c r="H4035" s="22" t="s">
        <v>20</v>
      </c>
      <c r="I4035" s="22" t="s">
        <v>135</v>
      </c>
      <c r="J4035" s="22" t="str">
        <f>""</f>
        <v/>
      </c>
      <c r="K4035" s="22" t="str">
        <f>"PFES1162675834_0001"</f>
        <v>PFES1162675834_0001</v>
      </c>
      <c r="L4035" s="22">
        <v>1</v>
      </c>
      <c r="M4035" s="22">
        <v>1</v>
      </c>
    </row>
    <row r="4036" spans="1:13">
      <c r="A4036" s="6">
        <v>43523</v>
      </c>
      <c r="B4036" s="7">
        <v>0.64861111111111114</v>
      </c>
      <c r="C4036" s="22" t="str">
        <f>"FES1162675822"</f>
        <v>FES1162675822</v>
      </c>
      <c r="D4036" s="22" t="s">
        <v>18</v>
      </c>
      <c r="E4036" s="22" t="s">
        <v>44</v>
      </c>
      <c r="F4036" s="22" t="str">
        <f>"2170676168 "</f>
        <v xml:space="preserve">2170676168 </v>
      </c>
      <c r="G4036" s="22" t="str">
        <f t="shared" si="110"/>
        <v>ON1</v>
      </c>
      <c r="H4036" s="22" t="s">
        <v>20</v>
      </c>
      <c r="I4036" s="22" t="s">
        <v>39</v>
      </c>
      <c r="J4036" s="22" t="str">
        <f>""</f>
        <v/>
      </c>
      <c r="K4036" s="22" t="str">
        <f>"PFES1162675822_0001"</f>
        <v>PFES1162675822_0001</v>
      </c>
      <c r="L4036" s="22">
        <v>1</v>
      </c>
      <c r="M4036" s="22">
        <v>1</v>
      </c>
    </row>
    <row r="4037" spans="1:13">
      <c r="A4037" s="6">
        <v>43523</v>
      </c>
      <c r="B4037" s="7">
        <v>0.64861111111111114</v>
      </c>
      <c r="C4037" s="22" t="str">
        <f>"FES1162675833"</f>
        <v>FES1162675833</v>
      </c>
      <c r="D4037" s="22" t="s">
        <v>18</v>
      </c>
      <c r="E4037" s="22" t="s">
        <v>44</v>
      </c>
      <c r="F4037" s="22" t="str">
        <f>"2170672264 "</f>
        <v xml:space="preserve">2170672264 </v>
      </c>
      <c r="G4037" s="22" t="str">
        <f t="shared" si="110"/>
        <v>ON1</v>
      </c>
      <c r="H4037" s="22" t="s">
        <v>20</v>
      </c>
      <c r="I4037" s="22" t="s">
        <v>39</v>
      </c>
      <c r="J4037" s="22" t="str">
        <f>""</f>
        <v/>
      </c>
      <c r="K4037" s="22" t="str">
        <f>"PFES1162675833_0001"</f>
        <v>PFES1162675833_0001</v>
      </c>
      <c r="L4037" s="22">
        <v>1</v>
      </c>
      <c r="M4037" s="22">
        <v>1</v>
      </c>
    </row>
    <row r="4038" spans="1:13">
      <c r="A4038" s="6">
        <v>43523</v>
      </c>
      <c r="B4038" s="7">
        <v>0.64861111111111114</v>
      </c>
      <c r="C4038" s="22" t="str">
        <f>"FES1162675835"</f>
        <v>FES1162675835</v>
      </c>
      <c r="D4038" s="22" t="s">
        <v>18</v>
      </c>
      <c r="E4038" s="22" t="s">
        <v>162</v>
      </c>
      <c r="F4038" s="22" t="str">
        <f>"2170676602 "</f>
        <v xml:space="preserve">2170676602 </v>
      </c>
      <c r="G4038" s="22" t="str">
        <f t="shared" si="110"/>
        <v>ON1</v>
      </c>
      <c r="H4038" s="22" t="s">
        <v>20</v>
      </c>
      <c r="I4038" s="22" t="s">
        <v>163</v>
      </c>
      <c r="J4038" s="22" t="str">
        <f>""</f>
        <v/>
      </c>
      <c r="K4038" s="22" t="str">
        <f>"PFES1162675835_0001"</f>
        <v>PFES1162675835_0001</v>
      </c>
      <c r="L4038" s="22">
        <v>1</v>
      </c>
      <c r="M4038" s="22">
        <v>1</v>
      </c>
    </row>
    <row r="4039" spans="1:13">
      <c r="A4039" s="6">
        <v>43523</v>
      </c>
      <c r="B4039" s="7">
        <v>0.6479166666666667</v>
      </c>
      <c r="C4039" s="22" t="str">
        <f>"FES1162675815"</f>
        <v>FES1162675815</v>
      </c>
      <c r="D4039" s="22" t="s">
        <v>18</v>
      </c>
      <c r="E4039" s="22" t="s">
        <v>289</v>
      </c>
      <c r="F4039" s="22" t="str">
        <f>"2170672393 "</f>
        <v xml:space="preserve">2170672393 </v>
      </c>
      <c r="G4039" s="22" t="str">
        <f t="shared" si="110"/>
        <v>ON1</v>
      </c>
      <c r="H4039" s="22" t="s">
        <v>20</v>
      </c>
      <c r="I4039" s="22" t="s">
        <v>290</v>
      </c>
      <c r="J4039" s="22" t="str">
        <f>""</f>
        <v/>
      </c>
      <c r="K4039" s="22" t="str">
        <f>"PFES1162675815_0001"</f>
        <v>PFES1162675815_0001</v>
      </c>
      <c r="L4039" s="22">
        <v>1</v>
      </c>
      <c r="M4039" s="22">
        <v>1</v>
      </c>
    </row>
    <row r="4040" spans="1:13">
      <c r="A4040" s="6">
        <v>43523</v>
      </c>
      <c r="B4040" s="7">
        <v>0.6479166666666667</v>
      </c>
      <c r="C4040" s="22" t="str">
        <f>"FES1162675769"</f>
        <v>FES1162675769</v>
      </c>
      <c r="D4040" s="22" t="s">
        <v>18</v>
      </c>
      <c r="E4040" s="22" t="s">
        <v>178</v>
      </c>
      <c r="F4040" s="22" t="str">
        <f>"2170676532 "</f>
        <v xml:space="preserve">2170676532 </v>
      </c>
      <c r="G4040" s="22" t="str">
        <f t="shared" si="110"/>
        <v>ON1</v>
      </c>
      <c r="H4040" s="22" t="s">
        <v>20</v>
      </c>
      <c r="I4040" s="22" t="s">
        <v>390</v>
      </c>
      <c r="J4040" s="22" t="str">
        <f>""</f>
        <v/>
      </c>
      <c r="K4040" s="22" t="str">
        <f>"PFES1162675769_0001"</f>
        <v>PFES1162675769_0001</v>
      </c>
      <c r="L4040" s="22">
        <v>1</v>
      </c>
      <c r="M4040" s="22">
        <v>1</v>
      </c>
    </row>
    <row r="4041" spans="1:13">
      <c r="A4041" s="6">
        <v>43523</v>
      </c>
      <c r="B4041" s="7">
        <v>0.64722222222222225</v>
      </c>
      <c r="C4041" s="22" t="str">
        <f>"FES1162675734"</f>
        <v>FES1162675734</v>
      </c>
      <c r="D4041" s="22" t="s">
        <v>18</v>
      </c>
      <c r="E4041" s="22" t="s">
        <v>1202</v>
      </c>
      <c r="F4041" s="22" t="str">
        <f>"2170676506 "</f>
        <v xml:space="preserve">2170676506 </v>
      </c>
      <c r="G4041" s="22" t="str">
        <f t="shared" si="110"/>
        <v>ON1</v>
      </c>
      <c r="H4041" s="22" t="s">
        <v>20</v>
      </c>
      <c r="I4041" s="22" t="s">
        <v>433</v>
      </c>
      <c r="J4041" s="22" t="str">
        <f>""</f>
        <v/>
      </c>
      <c r="K4041" s="22" t="str">
        <f>"PFES1162675734_0001"</f>
        <v>PFES1162675734_0001</v>
      </c>
      <c r="L4041" s="22">
        <v>1</v>
      </c>
      <c r="M4041" s="22">
        <v>1</v>
      </c>
    </row>
    <row r="4042" spans="1:13">
      <c r="A4042" s="6">
        <v>43523</v>
      </c>
      <c r="B4042" s="7">
        <v>0.64722222222222225</v>
      </c>
      <c r="C4042" s="22" t="str">
        <f>"FES1162675828"</f>
        <v>FES1162675828</v>
      </c>
      <c r="D4042" s="22" t="s">
        <v>18</v>
      </c>
      <c r="E4042" s="22" t="s">
        <v>44</v>
      </c>
      <c r="F4042" s="22" t="str">
        <f>"2170675829 "</f>
        <v xml:space="preserve">2170675829 </v>
      </c>
      <c r="G4042" s="22" t="str">
        <f t="shared" si="110"/>
        <v>ON1</v>
      </c>
      <c r="H4042" s="22" t="s">
        <v>20</v>
      </c>
      <c r="I4042" s="22" t="s">
        <v>39</v>
      </c>
      <c r="J4042" s="22" t="str">
        <f>""</f>
        <v/>
      </c>
      <c r="K4042" s="22" t="str">
        <f>"PFES1162675828_0001"</f>
        <v>PFES1162675828_0001</v>
      </c>
      <c r="L4042" s="22">
        <v>1</v>
      </c>
      <c r="M4042" s="22">
        <v>1</v>
      </c>
    </row>
    <row r="4043" spans="1:13">
      <c r="A4043" s="6">
        <v>43523</v>
      </c>
      <c r="B4043" s="7">
        <v>0.63958333333333328</v>
      </c>
      <c r="C4043" s="22" t="str">
        <f>"FES1162675799"</f>
        <v>FES1162675799</v>
      </c>
      <c r="D4043" s="22" t="s">
        <v>18</v>
      </c>
      <c r="E4043" s="22" t="s">
        <v>138</v>
      </c>
      <c r="F4043" s="22" t="str">
        <f>"2170676562 "</f>
        <v xml:space="preserve">2170676562 </v>
      </c>
      <c r="G4043" s="22" t="str">
        <f t="shared" si="110"/>
        <v>ON1</v>
      </c>
      <c r="H4043" s="22" t="s">
        <v>20</v>
      </c>
      <c r="I4043" s="22" t="s">
        <v>139</v>
      </c>
      <c r="J4043" s="22" t="str">
        <f>""</f>
        <v/>
      </c>
      <c r="K4043" s="22" t="str">
        <f>"PFES1162675799_0001"</f>
        <v>PFES1162675799_0001</v>
      </c>
      <c r="L4043" s="22">
        <v>1</v>
      </c>
      <c r="M4043" s="22">
        <v>1</v>
      </c>
    </row>
    <row r="4044" spans="1:13">
      <c r="A4044" s="6">
        <v>43523</v>
      </c>
      <c r="B4044" s="7">
        <v>0.63958333333333328</v>
      </c>
      <c r="C4044" s="22" t="str">
        <f>"FES1162675797"</f>
        <v>FES1162675797</v>
      </c>
      <c r="D4044" s="22" t="s">
        <v>18</v>
      </c>
      <c r="E4044" s="22" t="s">
        <v>739</v>
      </c>
      <c r="F4044" s="22" t="str">
        <f>"2170676560 "</f>
        <v xml:space="preserve">2170676560 </v>
      </c>
      <c r="G4044" s="22" t="str">
        <f t="shared" si="110"/>
        <v>ON1</v>
      </c>
      <c r="H4044" s="22" t="s">
        <v>20</v>
      </c>
      <c r="I4044" s="22" t="s">
        <v>130</v>
      </c>
      <c r="J4044" s="22" t="str">
        <f>""</f>
        <v/>
      </c>
      <c r="K4044" s="22" t="str">
        <f>"PFES1162675797_0001"</f>
        <v>PFES1162675797_0001</v>
      </c>
      <c r="L4044" s="22">
        <v>1</v>
      </c>
      <c r="M4044" s="22">
        <v>1</v>
      </c>
    </row>
    <row r="4045" spans="1:13">
      <c r="A4045" s="6">
        <v>43523</v>
      </c>
      <c r="B4045" s="7">
        <v>0.63958333333333328</v>
      </c>
      <c r="C4045" s="22" t="str">
        <f>"FES1162675805"</f>
        <v>FES1162675805</v>
      </c>
      <c r="D4045" s="22" t="s">
        <v>18</v>
      </c>
      <c r="E4045" s="22" t="s">
        <v>382</v>
      </c>
      <c r="F4045" s="22" t="str">
        <f>"2170676571 "</f>
        <v xml:space="preserve">2170676571 </v>
      </c>
      <c r="G4045" s="22" t="str">
        <f t="shared" si="110"/>
        <v>ON1</v>
      </c>
      <c r="H4045" s="22" t="s">
        <v>20</v>
      </c>
      <c r="I4045" s="22" t="s">
        <v>383</v>
      </c>
      <c r="J4045" s="22" t="str">
        <f>""</f>
        <v/>
      </c>
      <c r="K4045" s="22" t="str">
        <f>"PFES1162675805_0001"</f>
        <v>PFES1162675805_0001</v>
      </c>
      <c r="L4045" s="22">
        <v>1</v>
      </c>
      <c r="M4045" s="22">
        <v>1</v>
      </c>
    </row>
    <row r="4046" spans="1:13">
      <c r="A4046" s="6">
        <v>43523</v>
      </c>
      <c r="B4046" s="7">
        <v>0.63888888888888895</v>
      </c>
      <c r="C4046" s="22" t="str">
        <f>"FES1162675760"</f>
        <v>FES1162675760</v>
      </c>
      <c r="D4046" s="22" t="s">
        <v>18</v>
      </c>
      <c r="E4046" s="22" t="s">
        <v>140</v>
      </c>
      <c r="F4046" s="22" t="str">
        <f>"2170675807 "</f>
        <v xml:space="preserve">2170675807 </v>
      </c>
      <c r="G4046" s="22" t="str">
        <f t="shared" si="110"/>
        <v>ON1</v>
      </c>
      <c r="H4046" s="22" t="s">
        <v>20</v>
      </c>
      <c r="I4046" s="22" t="s">
        <v>141</v>
      </c>
      <c r="J4046" s="22" t="str">
        <f>""</f>
        <v/>
      </c>
      <c r="K4046" s="22" t="str">
        <f>"PFES1162675760_0001"</f>
        <v>PFES1162675760_0001</v>
      </c>
      <c r="L4046" s="22">
        <v>1</v>
      </c>
      <c r="M4046" s="22">
        <v>1</v>
      </c>
    </row>
    <row r="4047" spans="1:13">
      <c r="A4047" s="6">
        <v>43523</v>
      </c>
      <c r="B4047" s="7">
        <v>0.63888888888888895</v>
      </c>
      <c r="C4047" s="22" t="str">
        <f>"FES1162675138"</f>
        <v>FES1162675138</v>
      </c>
      <c r="D4047" s="22" t="s">
        <v>18</v>
      </c>
      <c r="E4047" s="22" t="s">
        <v>136</v>
      </c>
      <c r="F4047" s="22" t="str">
        <f>"2170675922 "</f>
        <v xml:space="preserve">2170675922 </v>
      </c>
      <c r="G4047" s="22" t="str">
        <f t="shared" si="110"/>
        <v>ON1</v>
      </c>
      <c r="H4047" s="22" t="s">
        <v>20</v>
      </c>
      <c r="I4047" s="22" t="s">
        <v>137</v>
      </c>
      <c r="J4047" s="22" t="str">
        <f>""</f>
        <v/>
      </c>
      <c r="K4047" s="22" t="str">
        <f>"PFES1162675138_0001"</f>
        <v>PFES1162675138_0001</v>
      </c>
      <c r="L4047" s="22">
        <v>1</v>
      </c>
      <c r="M4047" s="22">
        <v>1</v>
      </c>
    </row>
    <row r="4048" spans="1:13">
      <c r="A4048" s="6">
        <v>43523</v>
      </c>
      <c r="B4048" s="7">
        <v>0.63888888888888895</v>
      </c>
      <c r="C4048" s="22" t="str">
        <f>"FES1162675785"</f>
        <v>FES1162675785</v>
      </c>
      <c r="D4048" s="22" t="s">
        <v>18</v>
      </c>
      <c r="E4048" s="22" t="s">
        <v>162</v>
      </c>
      <c r="F4048" s="22" t="str">
        <f>"2170676112 "</f>
        <v xml:space="preserve">2170676112 </v>
      </c>
      <c r="G4048" s="22" t="str">
        <f t="shared" si="110"/>
        <v>ON1</v>
      </c>
      <c r="H4048" s="22" t="s">
        <v>20</v>
      </c>
      <c r="I4048" s="22" t="s">
        <v>163</v>
      </c>
      <c r="J4048" s="22" t="str">
        <f>""</f>
        <v/>
      </c>
      <c r="K4048" s="22" t="str">
        <f>"PFES1162675785_0001"</f>
        <v>PFES1162675785_0001</v>
      </c>
      <c r="L4048" s="22">
        <v>1</v>
      </c>
      <c r="M4048" s="22">
        <v>1</v>
      </c>
    </row>
    <row r="4049" spans="1:13">
      <c r="A4049" s="6">
        <v>43523</v>
      </c>
      <c r="B4049" s="7">
        <v>0.6381944444444444</v>
      </c>
      <c r="C4049" s="22" t="str">
        <f>"FES1162675141"</f>
        <v>FES1162675141</v>
      </c>
      <c r="D4049" s="22" t="s">
        <v>18</v>
      </c>
      <c r="E4049" s="22" t="s">
        <v>162</v>
      </c>
      <c r="F4049" s="22" t="str">
        <f>"2170676112 "</f>
        <v xml:space="preserve">2170676112 </v>
      </c>
      <c r="G4049" s="22" t="str">
        <f t="shared" si="110"/>
        <v>ON1</v>
      </c>
      <c r="H4049" s="22" t="s">
        <v>20</v>
      </c>
      <c r="I4049" s="22" t="s">
        <v>163</v>
      </c>
      <c r="J4049" s="22" t="str">
        <f>""</f>
        <v/>
      </c>
      <c r="K4049" s="22" t="str">
        <f>"PFES1162675141_0001"</f>
        <v>PFES1162675141_0001</v>
      </c>
      <c r="L4049" s="22">
        <v>1</v>
      </c>
      <c r="M4049" s="22">
        <v>1</v>
      </c>
    </row>
    <row r="4050" spans="1:13">
      <c r="A4050" s="6">
        <v>43523</v>
      </c>
      <c r="B4050" s="7">
        <v>0.6381944444444444</v>
      </c>
      <c r="C4050" s="22" t="str">
        <f>"FES1162675789"</f>
        <v>FES1162675789</v>
      </c>
      <c r="D4050" s="22" t="s">
        <v>18</v>
      </c>
      <c r="E4050" s="22" t="s">
        <v>839</v>
      </c>
      <c r="F4050" s="22" t="str">
        <f>"2170676550 "</f>
        <v xml:space="preserve">2170676550 </v>
      </c>
      <c r="G4050" s="22" t="str">
        <f t="shared" si="110"/>
        <v>ON1</v>
      </c>
      <c r="H4050" s="22" t="s">
        <v>20</v>
      </c>
      <c r="I4050" s="22" t="s">
        <v>260</v>
      </c>
      <c r="J4050" s="22" t="str">
        <f>""</f>
        <v/>
      </c>
      <c r="K4050" s="22" t="str">
        <f>"PFES1162675789_0001"</f>
        <v>PFES1162675789_0001</v>
      </c>
      <c r="L4050" s="22">
        <v>1</v>
      </c>
      <c r="M4050" s="22">
        <v>1</v>
      </c>
    </row>
    <row r="4051" spans="1:13">
      <c r="A4051" s="6">
        <v>43523</v>
      </c>
      <c r="B4051" s="7">
        <v>0.6381944444444444</v>
      </c>
      <c r="C4051" s="22" t="str">
        <f>"FES1162675115"</f>
        <v>FES1162675115</v>
      </c>
      <c r="D4051" s="22" t="s">
        <v>18</v>
      </c>
      <c r="E4051" s="22" t="s">
        <v>58</v>
      </c>
      <c r="F4051" s="22" t="str">
        <f>"2170676007 "</f>
        <v xml:space="preserve">2170676007 </v>
      </c>
      <c r="G4051" s="22" t="str">
        <f t="shared" si="110"/>
        <v>ON1</v>
      </c>
      <c r="H4051" s="22" t="s">
        <v>20</v>
      </c>
      <c r="I4051" s="22" t="s">
        <v>59</v>
      </c>
      <c r="J4051" s="22" t="str">
        <f>""</f>
        <v/>
      </c>
      <c r="K4051" s="22" t="str">
        <f>"PFES1162675115_0001"</f>
        <v>PFES1162675115_0001</v>
      </c>
      <c r="L4051" s="22">
        <v>1</v>
      </c>
      <c r="M4051" s="22">
        <v>1</v>
      </c>
    </row>
    <row r="4052" spans="1:13">
      <c r="A4052" s="6">
        <v>43523</v>
      </c>
      <c r="B4052" s="7">
        <v>0.63750000000000007</v>
      </c>
      <c r="C4052" s="22" t="str">
        <f>"FES1162675737"</f>
        <v>FES1162675737</v>
      </c>
      <c r="D4052" s="22" t="s">
        <v>18</v>
      </c>
      <c r="E4052" s="22" t="s">
        <v>482</v>
      </c>
      <c r="F4052" s="22" t="str">
        <f>"2170673710 "</f>
        <v xml:space="preserve">2170673710 </v>
      </c>
      <c r="G4052" s="22" t="str">
        <f t="shared" si="110"/>
        <v>ON1</v>
      </c>
      <c r="H4052" s="22" t="s">
        <v>20</v>
      </c>
      <c r="I4052" s="22" t="s">
        <v>272</v>
      </c>
      <c r="J4052" s="22" t="str">
        <f>""</f>
        <v/>
      </c>
      <c r="K4052" s="22" t="str">
        <f>"PFES1162675737_0001"</f>
        <v>PFES1162675737_0001</v>
      </c>
      <c r="L4052" s="22">
        <v>1</v>
      </c>
      <c r="M4052" s="22">
        <v>1</v>
      </c>
    </row>
    <row r="4053" spans="1:13">
      <c r="A4053" s="6">
        <v>43523</v>
      </c>
      <c r="B4053" s="7">
        <v>0.63750000000000007</v>
      </c>
      <c r="C4053" s="22" t="str">
        <f>"FES1162675728"</f>
        <v>FES1162675728</v>
      </c>
      <c r="D4053" s="22" t="s">
        <v>18</v>
      </c>
      <c r="E4053" s="22" t="s">
        <v>58</v>
      </c>
      <c r="F4053" s="22" t="str">
        <f>"21706764697 "</f>
        <v xml:space="preserve">21706764697 </v>
      </c>
      <c r="G4053" s="22" t="str">
        <f t="shared" ref="G4053:G4071" si="111">"ON1"</f>
        <v>ON1</v>
      </c>
      <c r="H4053" s="22" t="s">
        <v>20</v>
      </c>
      <c r="I4053" s="22" t="s">
        <v>59</v>
      </c>
      <c r="J4053" s="22" t="str">
        <f>""</f>
        <v/>
      </c>
      <c r="K4053" s="22" t="str">
        <f>"PFES1162675728_0001"</f>
        <v>PFES1162675728_0001</v>
      </c>
      <c r="L4053" s="22">
        <v>1</v>
      </c>
      <c r="M4053" s="22">
        <v>1</v>
      </c>
    </row>
    <row r="4054" spans="1:13">
      <c r="A4054" s="6">
        <v>43523</v>
      </c>
      <c r="B4054" s="7">
        <v>0.63750000000000007</v>
      </c>
      <c r="C4054" s="22" t="str">
        <f>"FES1162675782"</f>
        <v>FES1162675782</v>
      </c>
      <c r="D4054" s="22" t="s">
        <v>18</v>
      </c>
      <c r="E4054" s="22" t="s">
        <v>154</v>
      </c>
      <c r="F4054" s="22" t="str">
        <f>"2170676456 "</f>
        <v xml:space="preserve">2170676456 </v>
      </c>
      <c r="G4054" s="22" t="str">
        <f t="shared" si="111"/>
        <v>ON1</v>
      </c>
      <c r="H4054" s="22" t="s">
        <v>20</v>
      </c>
      <c r="I4054" s="22" t="s">
        <v>237</v>
      </c>
      <c r="J4054" s="22" t="str">
        <f>""</f>
        <v/>
      </c>
      <c r="K4054" s="22" t="str">
        <f>"PFES1162675782_0001"</f>
        <v>PFES1162675782_0001</v>
      </c>
      <c r="L4054" s="22">
        <v>1</v>
      </c>
      <c r="M4054" s="22">
        <v>1</v>
      </c>
    </row>
    <row r="4055" spans="1:13">
      <c r="A4055" s="6">
        <v>43523</v>
      </c>
      <c r="B4055" s="7">
        <v>0.63750000000000007</v>
      </c>
      <c r="C4055" s="22" t="str">
        <f>"FES1162675803"</f>
        <v>FES1162675803</v>
      </c>
      <c r="D4055" s="22" t="s">
        <v>18</v>
      </c>
      <c r="E4055" s="22" t="s">
        <v>1039</v>
      </c>
      <c r="F4055" s="22" t="str">
        <f>"2170676567 "</f>
        <v xml:space="preserve">2170676567 </v>
      </c>
      <c r="G4055" s="22" t="str">
        <f t="shared" si="111"/>
        <v>ON1</v>
      </c>
      <c r="H4055" s="22" t="s">
        <v>20</v>
      </c>
      <c r="I4055" s="22" t="s">
        <v>153</v>
      </c>
      <c r="J4055" s="22" t="str">
        <f>""</f>
        <v/>
      </c>
      <c r="K4055" s="22" t="str">
        <f>"PFES1162675803_0001"</f>
        <v>PFES1162675803_0001</v>
      </c>
      <c r="L4055" s="22">
        <v>1</v>
      </c>
      <c r="M4055" s="22">
        <v>1</v>
      </c>
    </row>
    <row r="4056" spans="1:13">
      <c r="A4056" s="6">
        <v>43523</v>
      </c>
      <c r="B4056" s="7">
        <v>0.63680555555555551</v>
      </c>
      <c r="C4056" s="22" t="str">
        <f>"FES1162675791"</f>
        <v>FES1162675791</v>
      </c>
      <c r="D4056" s="22" t="s">
        <v>18</v>
      </c>
      <c r="E4056" s="22" t="s">
        <v>19</v>
      </c>
      <c r="F4056" s="22" t="str">
        <f>"2170676554 "</f>
        <v xml:space="preserve">2170676554 </v>
      </c>
      <c r="G4056" s="22" t="str">
        <f t="shared" si="111"/>
        <v>ON1</v>
      </c>
      <c r="H4056" s="22" t="s">
        <v>20</v>
      </c>
      <c r="I4056" s="22" t="s">
        <v>21</v>
      </c>
      <c r="J4056" s="22" t="str">
        <f>""</f>
        <v/>
      </c>
      <c r="K4056" s="22" t="str">
        <f>"PFES1162675791_0001"</f>
        <v>PFES1162675791_0001</v>
      </c>
      <c r="L4056" s="22">
        <v>1</v>
      </c>
      <c r="M4056" s="22">
        <v>1</v>
      </c>
    </row>
    <row r="4057" spans="1:13">
      <c r="A4057" s="6">
        <v>43523</v>
      </c>
      <c r="B4057" s="7">
        <v>0.63680555555555551</v>
      </c>
      <c r="C4057" s="22" t="str">
        <f>"FES1162675738"</f>
        <v>FES1162675738</v>
      </c>
      <c r="D4057" s="22" t="s">
        <v>18</v>
      </c>
      <c r="E4057" s="22" t="s">
        <v>482</v>
      </c>
      <c r="F4057" s="22" t="str">
        <f>"2170675142 "</f>
        <v xml:space="preserve">2170675142 </v>
      </c>
      <c r="G4057" s="22" t="str">
        <f t="shared" si="111"/>
        <v>ON1</v>
      </c>
      <c r="H4057" s="22" t="s">
        <v>20</v>
      </c>
      <c r="I4057" s="22" t="s">
        <v>272</v>
      </c>
      <c r="J4057" s="22" t="str">
        <f>""</f>
        <v/>
      </c>
      <c r="K4057" s="22" t="str">
        <f>"PFES1162675738_0001"</f>
        <v>PFES1162675738_0001</v>
      </c>
      <c r="L4057" s="22">
        <v>1</v>
      </c>
      <c r="M4057" s="22">
        <v>1</v>
      </c>
    </row>
    <row r="4058" spans="1:13">
      <c r="A4058" s="6">
        <v>43523</v>
      </c>
      <c r="B4058" s="7">
        <v>0.63680555555555551</v>
      </c>
      <c r="C4058" s="22" t="str">
        <f>"FES1162675801"</f>
        <v>FES1162675801</v>
      </c>
      <c r="D4058" s="22" t="s">
        <v>18</v>
      </c>
      <c r="E4058" s="22" t="s">
        <v>581</v>
      </c>
      <c r="F4058" s="22" t="str">
        <f>"2170676565 "</f>
        <v xml:space="preserve">2170676565 </v>
      </c>
      <c r="G4058" s="22" t="str">
        <f t="shared" si="111"/>
        <v>ON1</v>
      </c>
      <c r="H4058" s="22" t="s">
        <v>20</v>
      </c>
      <c r="I4058" s="22" t="s">
        <v>504</v>
      </c>
      <c r="J4058" s="22" t="str">
        <f>""</f>
        <v/>
      </c>
      <c r="K4058" s="22" t="str">
        <f>"PFES1162675801_0001"</f>
        <v>PFES1162675801_0001</v>
      </c>
      <c r="L4058" s="22">
        <v>1</v>
      </c>
      <c r="M4058" s="22">
        <v>1</v>
      </c>
    </row>
    <row r="4059" spans="1:13">
      <c r="A4059" s="6">
        <v>43523</v>
      </c>
      <c r="B4059" s="7">
        <v>0.63611111111111118</v>
      </c>
      <c r="C4059" s="22" t="str">
        <f>"FES1162675146"</f>
        <v>FES1162675146</v>
      </c>
      <c r="D4059" s="22" t="s">
        <v>18</v>
      </c>
      <c r="E4059" s="22" t="s">
        <v>1213</v>
      </c>
      <c r="F4059" s="22" t="str">
        <f>"2170676119 "</f>
        <v xml:space="preserve">2170676119 </v>
      </c>
      <c r="G4059" s="22" t="str">
        <f t="shared" si="111"/>
        <v>ON1</v>
      </c>
      <c r="H4059" s="22" t="s">
        <v>20</v>
      </c>
      <c r="I4059" s="22" t="s">
        <v>345</v>
      </c>
      <c r="J4059" s="22" t="str">
        <f>""</f>
        <v/>
      </c>
      <c r="K4059" s="22" t="str">
        <f>"PFES1162675146_0001"</f>
        <v>PFES1162675146_0001</v>
      </c>
      <c r="L4059" s="22">
        <v>1</v>
      </c>
      <c r="M4059" s="22">
        <v>1</v>
      </c>
    </row>
    <row r="4060" spans="1:13">
      <c r="A4060" s="6">
        <v>43523</v>
      </c>
      <c r="B4060" s="7">
        <v>0.63611111111111118</v>
      </c>
      <c r="C4060" s="22" t="str">
        <f>"FES1162675807"</f>
        <v>FES1162675807</v>
      </c>
      <c r="D4060" s="22" t="s">
        <v>18</v>
      </c>
      <c r="E4060" s="22" t="s">
        <v>913</v>
      </c>
      <c r="F4060" s="22" t="str">
        <f>"2170675279 "</f>
        <v xml:space="preserve">2170675279 </v>
      </c>
      <c r="G4060" s="22" t="str">
        <f t="shared" si="111"/>
        <v>ON1</v>
      </c>
      <c r="H4060" s="22" t="s">
        <v>20</v>
      </c>
      <c r="I4060" s="22" t="s">
        <v>635</v>
      </c>
      <c r="J4060" s="22" t="str">
        <f>""</f>
        <v/>
      </c>
      <c r="K4060" s="22" t="str">
        <f>"PFES1162675807_0001"</f>
        <v>PFES1162675807_0001</v>
      </c>
      <c r="L4060" s="22">
        <v>1</v>
      </c>
      <c r="M4060" s="22">
        <v>1</v>
      </c>
    </row>
    <row r="4061" spans="1:13">
      <c r="A4061" s="6">
        <v>43523</v>
      </c>
      <c r="B4061" s="7">
        <v>0.63541666666666663</v>
      </c>
      <c r="C4061" s="22" t="str">
        <f>"FES1162675808"</f>
        <v>FES1162675808</v>
      </c>
      <c r="D4061" s="22" t="s">
        <v>18</v>
      </c>
      <c r="E4061" s="22" t="s">
        <v>913</v>
      </c>
      <c r="F4061" s="22" t="str">
        <f>"2170676279 "</f>
        <v xml:space="preserve">2170676279 </v>
      </c>
      <c r="G4061" s="22" t="str">
        <f t="shared" si="111"/>
        <v>ON1</v>
      </c>
      <c r="H4061" s="22" t="s">
        <v>20</v>
      </c>
      <c r="I4061" s="22" t="s">
        <v>635</v>
      </c>
      <c r="J4061" s="22" t="str">
        <f>""</f>
        <v/>
      </c>
      <c r="K4061" s="22" t="str">
        <f>"PFES1162675808_0001"</f>
        <v>PFES1162675808_0001</v>
      </c>
      <c r="L4061" s="22">
        <v>1</v>
      </c>
      <c r="M4061" s="22">
        <v>1</v>
      </c>
    </row>
    <row r="4062" spans="1:13">
      <c r="A4062" s="6">
        <v>43523</v>
      </c>
      <c r="B4062" s="7">
        <v>0.63541666666666663</v>
      </c>
      <c r="C4062" s="22" t="str">
        <f>"FES1162675752"</f>
        <v>FES1162675752</v>
      </c>
      <c r="D4062" s="22" t="s">
        <v>18</v>
      </c>
      <c r="E4062" s="22" t="s">
        <v>289</v>
      </c>
      <c r="F4062" s="22" t="str">
        <f>"2170671939 "</f>
        <v xml:space="preserve">2170671939 </v>
      </c>
      <c r="G4062" s="22" t="str">
        <f t="shared" si="111"/>
        <v>ON1</v>
      </c>
      <c r="H4062" s="22" t="s">
        <v>20</v>
      </c>
      <c r="I4062" s="22" t="s">
        <v>290</v>
      </c>
      <c r="J4062" s="22" t="str">
        <f>""</f>
        <v/>
      </c>
      <c r="K4062" s="22" t="str">
        <f>"PFES1162675752_0001"</f>
        <v>PFES1162675752_0001</v>
      </c>
      <c r="L4062" s="22">
        <v>1</v>
      </c>
      <c r="M4062" s="22">
        <v>3</v>
      </c>
    </row>
    <row r="4063" spans="1:13">
      <c r="A4063" s="6">
        <v>43523</v>
      </c>
      <c r="B4063" s="7">
        <v>0.63472222222222219</v>
      </c>
      <c r="C4063" s="22" t="str">
        <f>"FES1162675792"</f>
        <v>FES1162675792</v>
      </c>
      <c r="D4063" s="22" t="s">
        <v>18</v>
      </c>
      <c r="E4063" s="22" t="s">
        <v>1214</v>
      </c>
      <c r="F4063" s="22" t="str">
        <f>"2170676556 "</f>
        <v xml:space="preserve">2170676556 </v>
      </c>
      <c r="G4063" s="22" t="str">
        <f t="shared" si="111"/>
        <v>ON1</v>
      </c>
      <c r="H4063" s="22" t="s">
        <v>20</v>
      </c>
      <c r="I4063" s="22" t="s">
        <v>310</v>
      </c>
      <c r="J4063" s="22" t="str">
        <f>""</f>
        <v/>
      </c>
      <c r="K4063" s="22" t="str">
        <f>"PFES1162675792_0001"</f>
        <v>PFES1162675792_0001</v>
      </c>
      <c r="L4063" s="22">
        <v>1</v>
      </c>
      <c r="M4063" s="22">
        <v>2</v>
      </c>
    </row>
    <row r="4064" spans="1:13">
      <c r="A4064" s="6">
        <v>43523</v>
      </c>
      <c r="B4064" s="7">
        <v>0.63472222222222219</v>
      </c>
      <c r="C4064" s="22" t="str">
        <f>"FES1162675783"</f>
        <v>FES1162675783</v>
      </c>
      <c r="D4064" s="22" t="s">
        <v>18</v>
      </c>
      <c r="E4064" s="22" t="s">
        <v>356</v>
      </c>
      <c r="F4064" s="22" t="str">
        <f>"2170673261 "</f>
        <v xml:space="preserve">2170673261 </v>
      </c>
      <c r="G4064" s="22" t="str">
        <f t="shared" si="111"/>
        <v>ON1</v>
      </c>
      <c r="H4064" s="22" t="s">
        <v>20</v>
      </c>
      <c r="I4064" s="22" t="s">
        <v>357</v>
      </c>
      <c r="J4064" s="22" t="str">
        <f>""</f>
        <v/>
      </c>
      <c r="K4064" s="22" t="str">
        <f>"PFES1162675783_0001"</f>
        <v>PFES1162675783_0001</v>
      </c>
      <c r="L4064" s="22">
        <v>1</v>
      </c>
      <c r="M4064" s="22">
        <v>1</v>
      </c>
    </row>
    <row r="4065" spans="1:13">
      <c r="A4065" s="6">
        <v>43523</v>
      </c>
      <c r="B4065" s="7">
        <v>0.63472222222222219</v>
      </c>
      <c r="C4065" s="22" t="str">
        <f>"FES1162675113"</f>
        <v>FES1162675113</v>
      </c>
      <c r="D4065" s="22" t="s">
        <v>18</v>
      </c>
      <c r="E4065" s="22" t="s">
        <v>140</v>
      </c>
      <c r="F4065" s="22" t="str">
        <f>"2170676074 "</f>
        <v xml:space="preserve">2170676074 </v>
      </c>
      <c r="G4065" s="22" t="str">
        <f t="shared" si="111"/>
        <v>ON1</v>
      </c>
      <c r="H4065" s="22" t="s">
        <v>20</v>
      </c>
      <c r="I4065" s="22" t="s">
        <v>141</v>
      </c>
      <c r="J4065" s="22" t="str">
        <f>""</f>
        <v/>
      </c>
      <c r="K4065" s="22" t="str">
        <f>"PFES1162675113_0001"</f>
        <v>PFES1162675113_0001</v>
      </c>
      <c r="L4065" s="22">
        <v>1</v>
      </c>
      <c r="M4065" s="22">
        <v>4</v>
      </c>
    </row>
    <row r="4066" spans="1:13">
      <c r="A4066" s="6">
        <v>43523</v>
      </c>
      <c r="B4066" s="7">
        <v>0.63402777777777775</v>
      </c>
      <c r="C4066" s="22" t="str">
        <f>"FES1162675781"</f>
        <v>FES1162675781</v>
      </c>
      <c r="D4066" s="22" t="s">
        <v>18</v>
      </c>
      <c r="E4066" s="22" t="s">
        <v>787</v>
      </c>
      <c r="F4066" s="22" t="str">
        <f>"2170646545 "</f>
        <v xml:space="preserve">2170646545 </v>
      </c>
      <c r="G4066" s="22" t="str">
        <f t="shared" si="111"/>
        <v>ON1</v>
      </c>
      <c r="H4066" s="22" t="s">
        <v>20</v>
      </c>
      <c r="I4066" s="22" t="s">
        <v>788</v>
      </c>
      <c r="J4066" s="22" t="str">
        <f>""</f>
        <v/>
      </c>
      <c r="K4066" s="22" t="str">
        <f>"PFES1162675781_0001"</f>
        <v>PFES1162675781_0001</v>
      </c>
      <c r="L4066" s="22">
        <v>1</v>
      </c>
      <c r="M4066" s="22">
        <v>2</v>
      </c>
    </row>
    <row r="4067" spans="1:13">
      <c r="A4067" s="6">
        <v>43523</v>
      </c>
      <c r="B4067" s="7">
        <v>0.63402777777777775</v>
      </c>
      <c r="C4067" s="22" t="str">
        <f>"FES1162675779"</f>
        <v>FES1162675779</v>
      </c>
      <c r="D4067" s="22" t="s">
        <v>18</v>
      </c>
      <c r="E4067" s="22" t="s">
        <v>214</v>
      </c>
      <c r="F4067" s="22" t="str">
        <f>"2170646541 "</f>
        <v xml:space="preserve">2170646541 </v>
      </c>
      <c r="G4067" s="22" t="str">
        <f t="shared" si="111"/>
        <v>ON1</v>
      </c>
      <c r="H4067" s="22" t="s">
        <v>20</v>
      </c>
      <c r="I4067" s="22" t="s">
        <v>215</v>
      </c>
      <c r="J4067" s="22" t="str">
        <f>""</f>
        <v/>
      </c>
      <c r="K4067" s="22" t="str">
        <f>"PFES1162675779_0001"</f>
        <v>PFES1162675779_0001</v>
      </c>
      <c r="L4067" s="22">
        <v>1</v>
      </c>
      <c r="M4067" s="22">
        <v>5</v>
      </c>
    </row>
    <row r="4068" spans="1:13">
      <c r="A4068" s="6">
        <v>43523</v>
      </c>
      <c r="B4068" s="7">
        <v>0.63402777777777775</v>
      </c>
      <c r="C4068" s="22" t="str">
        <f>"FES1162675134"</f>
        <v>FES1162675134</v>
      </c>
      <c r="D4068" s="22" t="s">
        <v>18</v>
      </c>
      <c r="E4068" s="22" t="s">
        <v>436</v>
      </c>
      <c r="F4068" s="22" t="str">
        <f>"2170676099 "</f>
        <v xml:space="preserve">2170676099 </v>
      </c>
      <c r="G4068" s="22" t="str">
        <f t="shared" si="111"/>
        <v>ON1</v>
      </c>
      <c r="H4068" s="22" t="s">
        <v>20</v>
      </c>
      <c r="I4068" s="22" t="s">
        <v>437</v>
      </c>
      <c r="J4068" s="22" t="str">
        <f>""</f>
        <v/>
      </c>
      <c r="K4068" s="22" t="str">
        <f>"PFES1162675134_0001"</f>
        <v>PFES1162675134_0001</v>
      </c>
      <c r="L4068" s="22">
        <v>1</v>
      </c>
      <c r="M4068" s="22">
        <v>3</v>
      </c>
    </row>
    <row r="4069" spans="1:13">
      <c r="A4069" s="6">
        <v>43523</v>
      </c>
      <c r="B4069" s="7">
        <v>0.6333333333333333</v>
      </c>
      <c r="C4069" s="22" t="str">
        <f>"FES1162675753"</f>
        <v>FES1162675753</v>
      </c>
      <c r="D4069" s="22" t="s">
        <v>18</v>
      </c>
      <c r="E4069" s="22" t="s">
        <v>619</v>
      </c>
      <c r="F4069" s="22" t="str">
        <f>"2170665127 "</f>
        <v xml:space="preserve">2170665127 </v>
      </c>
      <c r="G4069" s="22" t="str">
        <f t="shared" si="111"/>
        <v>ON1</v>
      </c>
      <c r="H4069" s="22" t="s">
        <v>20</v>
      </c>
      <c r="I4069" s="22" t="s">
        <v>87</v>
      </c>
      <c r="J4069" s="22" t="str">
        <f>""</f>
        <v/>
      </c>
      <c r="K4069" s="22" t="str">
        <f>"PFES1162675753_0001"</f>
        <v>PFES1162675753_0001</v>
      </c>
      <c r="L4069" s="22">
        <v>1</v>
      </c>
      <c r="M4069" s="22">
        <v>2</v>
      </c>
    </row>
    <row r="4070" spans="1:13">
      <c r="A4070" s="6">
        <v>43523</v>
      </c>
      <c r="B4070" s="7">
        <v>0.6333333333333333</v>
      </c>
      <c r="C4070" s="22" t="str">
        <f>"FES1162675762"</f>
        <v>FES1162675762</v>
      </c>
      <c r="D4070" s="22" t="s">
        <v>18</v>
      </c>
      <c r="E4070" s="22" t="s">
        <v>202</v>
      </c>
      <c r="F4070" s="22" t="str">
        <f>"2170676249 "</f>
        <v xml:space="preserve">2170676249 </v>
      </c>
      <c r="G4070" s="22" t="str">
        <f t="shared" si="111"/>
        <v>ON1</v>
      </c>
      <c r="H4070" s="22" t="s">
        <v>20</v>
      </c>
      <c r="I4070" s="22" t="s">
        <v>143</v>
      </c>
      <c r="J4070" s="22" t="str">
        <f>""</f>
        <v/>
      </c>
      <c r="K4070" s="22" t="str">
        <f>"PFES1162675762_0001"</f>
        <v>PFES1162675762_0001</v>
      </c>
      <c r="L4070" s="22">
        <v>1</v>
      </c>
      <c r="M4070" s="22">
        <v>4</v>
      </c>
    </row>
    <row r="4071" spans="1:13">
      <c r="A4071" s="6">
        <v>43523</v>
      </c>
      <c r="B4071" s="7">
        <v>0.63263888888888886</v>
      </c>
      <c r="C4071" s="22" t="str">
        <f>"FES1162675750"</f>
        <v>FES1162675750</v>
      </c>
      <c r="D4071" s="22" t="s">
        <v>18</v>
      </c>
      <c r="E4071" s="22" t="s">
        <v>634</v>
      </c>
      <c r="F4071" s="22" t="str">
        <f>"2170674163 "</f>
        <v xml:space="preserve">2170674163 </v>
      </c>
      <c r="G4071" s="22" t="str">
        <f t="shared" si="111"/>
        <v>ON1</v>
      </c>
      <c r="H4071" s="22" t="s">
        <v>20</v>
      </c>
      <c r="I4071" s="22" t="s">
        <v>635</v>
      </c>
      <c r="J4071" s="22" t="str">
        <f>""</f>
        <v/>
      </c>
      <c r="K4071" s="22" t="str">
        <f>"PFES1162675750_0001"</f>
        <v>PFES1162675750_0001</v>
      </c>
      <c r="L4071" s="22">
        <v>1</v>
      </c>
      <c r="M4071" s="22">
        <v>19</v>
      </c>
    </row>
    <row r="4072" spans="1:13">
      <c r="A4072" s="6">
        <v>43523</v>
      </c>
      <c r="B4072" s="7">
        <v>0.63194444444444442</v>
      </c>
      <c r="C4072" s="22" t="str">
        <f>"FES1162675802"</f>
        <v>FES1162675802</v>
      </c>
      <c r="D4072" s="22" t="s">
        <v>18</v>
      </c>
      <c r="E4072" s="22" t="s">
        <v>19</v>
      </c>
      <c r="F4072" s="22" t="str">
        <f>"2170676566 "</f>
        <v xml:space="preserve">2170676566 </v>
      </c>
      <c r="G4072" s="22" t="str">
        <f>"DBC"</f>
        <v>DBC</v>
      </c>
      <c r="H4072" s="22" t="s">
        <v>20</v>
      </c>
      <c r="I4072" s="22" t="s">
        <v>21</v>
      </c>
      <c r="J4072" s="22" t="str">
        <f>"OIL"</f>
        <v>OIL</v>
      </c>
      <c r="K4072" s="22" t="str">
        <f>"PFES1162675802_0001"</f>
        <v>PFES1162675802_0001</v>
      </c>
      <c r="L4072" s="22">
        <v>2</v>
      </c>
      <c r="M4072" s="22">
        <v>30</v>
      </c>
    </row>
    <row r="4073" spans="1:13">
      <c r="A4073" s="6">
        <v>43523</v>
      </c>
      <c r="B4073" s="7">
        <v>0.63194444444444442</v>
      </c>
      <c r="C4073" s="22" t="str">
        <f>"FES1162675802"</f>
        <v>FES1162675802</v>
      </c>
      <c r="D4073" s="22" t="s">
        <v>18</v>
      </c>
      <c r="E4073" s="22" t="s">
        <v>19</v>
      </c>
      <c r="F4073" s="22" t="str">
        <f>"2170676566 "</f>
        <v xml:space="preserve">2170676566 </v>
      </c>
      <c r="G4073" s="22" t="str">
        <f>"DBC"</f>
        <v>DBC</v>
      </c>
      <c r="H4073" s="22" t="s">
        <v>20</v>
      </c>
      <c r="I4073" s="22" t="s">
        <v>21</v>
      </c>
      <c r="J4073" s="22" t="str">
        <f>"OIL"</f>
        <v>OIL</v>
      </c>
      <c r="K4073" s="22" t="str">
        <f>"PFES1162675802_0002"</f>
        <v>PFES1162675802_0002</v>
      </c>
      <c r="L4073" s="22">
        <v>2</v>
      </c>
      <c r="M4073" s="22">
        <v>30</v>
      </c>
    </row>
    <row r="4074" spans="1:13">
      <c r="A4074" s="6">
        <v>43523</v>
      </c>
      <c r="B4074" s="7">
        <v>0.63194444444444442</v>
      </c>
      <c r="C4074" s="22" t="str">
        <f>"FES1162675841"</f>
        <v>FES1162675841</v>
      </c>
      <c r="D4074" s="22" t="s">
        <v>18</v>
      </c>
      <c r="E4074" s="22" t="s">
        <v>1173</v>
      </c>
      <c r="F4074" s="22" t="str">
        <f>"2170675023 "</f>
        <v xml:space="preserve">2170675023 </v>
      </c>
      <c r="G4074" s="22" t="str">
        <f>"ON1"</f>
        <v>ON1</v>
      </c>
      <c r="H4074" s="22" t="s">
        <v>20</v>
      </c>
      <c r="I4074" s="22" t="s">
        <v>167</v>
      </c>
      <c r="J4074" s="22" t="str">
        <f>""</f>
        <v/>
      </c>
      <c r="K4074" s="22" t="str">
        <f>"PFES1162675841_0001"</f>
        <v>PFES1162675841_0001</v>
      </c>
      <c r="L4074" s="22">
        <v>1</v>
      </c>
      <c r="M4074" s="22">
        <v>9</v>
      </c>
    </row>
    <row r="4075" spans="1:13">
      <c r="A4075" s="6">
        <v>43523</v>
      </c>
      <c r="B4075" s="7">
        <v>0.63055555555555554</v>
      </c>
      <c r="C4075" s="22" t="str">
        <f>"FES1162675444"</f>
        <v>FES1162675444</v>
      </c>
      <c r="D4075" s="22" t="s">
        <v>18</v>
      </c>
      <c r="E4075" s="22" t="s">
        <v>382</v>
      </c>
      <c r="F4075" s="22" t="str">
        <f>"2170676313 "</f>
        <v xml:space="preserve">2170676313 </v>
      </c>
      <c r="G4075" s="22" t="str">
        <f>"ON1"</f>
        <v>ON1</v>
      </c>
      <c r="H4075" s="22" t="s">
        <v>20</v>
      </c>
      <c r="I4075" s="22" t="s">
        <v>383</v>
      </c>
      <c r="J4075" s="22" t="str">
        <f>""</f>
        <v/>
      </c>
      <c r="K4075" s="22" t="str">
        <f>"PFES1162675444_0001"</f>
        <v>PFES1162675444_0001</v>
      </c>
      <c r="L4075" s="22">
        <v>2</v>
      </c>
      <c r="M4075" s="22">
        <v>3</v>
      </c>
    </row>
    <row r="4076" spans="1:13">
      <c r="A4076" s="6">
        <v>43523</v>
      </c>
      <c r="B4076" s="7">
        <v>0.63055555555555554</v>
      </c>
      <c r="C4076" s="22" t="str">
        <f>"FES1162675444"</f>
        <v>FES1162675444</v>
      </c>
      <c r="D4076" s="22" t="s">
        <v>18</v>
      </c>
      <c r="E4076" s="22" t="s">
        <v>382</v>
      </c>
      <c r="F4076" s="22" t="str">
        <f>"2170676313 "</f>
        <v xml:space="preserve">2170676313 </v>
      </c>
      <c r="G4076" s="22" t="str">
        <f>"ON1"</f>
        <v>ON1</v>
      </c>
      <c r="H4076" s="22" t="s">
        <v>20</v>
      </c>
      <c r="I4076" s="22" t="s">
        <v>383</v>
      </c>
      <c r="J4076" s="22"/>
      <c r="K4076" s="22" t="str">
        <f>"PFES1162675444_0002"</f>
        <v>PFES1162675444_0002</v>
      </c>
      <c r="L4076" s="22">
        <v>2</v>
      </c>
      <c r="M4076" s="22">
        <v>3</v>
      </c>
    </row>
    <row r="4077" spans="1:13">
      <c r="A4077" s="6">
        <v>43523</v>
      </c>
      <c r="B4077" s="7">
        <v>0.62986111111111109</v>
      </c>
      <c r="C4077" s="22" t="str">
        <f>"FES1162675592"</f>
        <v>FES1162675592</v>
      </c>
      <c r="D4077" s="22" t="s">
        <v>18</v>
      </c>
      <c r="E4077" s="22" t="s">
        <v>140</v>
      </c>
      <c r="F4077" s="22" t="str">
        <f>"2170672574 "</f>
        <v xml:space="preserve">2170672574 </v>
      </c>
      <c r="G4077" s="22" t="str">
        <f t="shared" ref="G4077:G4083" si="112">"ON1"</f>
        <v>ON1</v>
      </c>
      <c r="H4077" s="22" t="s">
        <v>20</v>
      </c>
      <c r="I4077" s="22" t="s">
        <v>141</v>
      </c>
      <c r="J4077" s="22" t="str">
        <f>""</f>
        <v/>
      </c>
      <c r="K4077" s="22" t="str">
        <f>"PFES1162675592_0001"</f>
        <v>PFES1162675592_0001</v>
      </c>
      <c r="L4077" s="22">
        <v>1</v>
      </c>
      <c r="M4077" s="22">
        <v>6</v>
      </c>
    </row>
    <row r="4078" spans="1:13">
      <c r="A4078" s="6">
        <v>43523</v>
      </c>
      <c r="B4078" s="7">
        <v>0.62916666666666665</v>
      </c>
      <c r="C4078" s="22" t="str">
        <f>"FES1162675543"</f>
        <v>FES1162675543</v>
      </c>
      <c r="D4078" s="22" t="s">
        <v>18</v>
      </c>
      <c r="E4078" s="22" t="s">
        <v>1215</v>
      </c>
      <c r="F4078" s="22" t="str">
        <f>"2170676198 "</f>
        <v xml:space="preserve">2170676198 </v>
      </c>
      <c r="G4078" s="22" t="str">
        <f t="shared" si="112"/>
        <v>ON1</v>
      </c>
      <c r="H4078" s="22" t="s">
        <v>20</v>
      </c>
      <c r="I4078" s="22" t="s">
        <v>135</v>
      </c>
      <c r="J4078" s="22" t="str">
        <f>""</f>
        <v/>
      </c>
      <c r="K4078" s="22" t="str">
        <f>"PFES1162675543_0001"</f>
        <v>PFES1162675543_0001</v>
      </c>
      <c r="L4078" s="22">
        <v>1</v>
      </c>
      <c r="M4078" s="22">
        <v>8</v>
      </c>
    </row>
    <row r="4079" spans="1:13">
      <c r="A4079" s="6">
        <v>43523</v>
      </c>
      <c r="B4079" s="7">
        <v>0.62777777777777777</v>
      </c>
      <c r="C4079" s="22" t="str">
        <f>"FES1162675545"</f>
        <v>FES1162675545</v>
      </c>
      <c r="D4079" s="22" t="s">
        <v>18</v>
      </c>
      <c r="E4079" s="22" t="s">
        <v>129</v>
      </c>
      <c r="F4079" s="22" t="str">
        <f>"2170676248 "</f>
        <v xml:space="preserve">2170676248 </v>
      </c>
      <c r="G4079" s="22" t="str">
        <f t="shared" si="112"/>
        <v>ON1</v>
      </c>
      <c r="H4079" s="22" t="s">
        <v>20</v>
      </c>
      <c r="I4079" s="22" t="s">
        <v>130</v>
      </c>
      <c r="J4079" s="22" t="str">
        <f>""</f>
        <v/>
      </c>
      <c r="K4079" s="22" t="str">
        <f>"PFES1162675545_0001"</f>
        <v>PFES1162675545_0001</v>
      </c>
      <c r="L4079" s="22">
        <v>1</v>
      </c>
      <c r="M4079" s="22">
        <v>3</v>
      </c>
    </row>
    <row r="4080" spans="1:13">
      <c r="A4080" s="6">
        <v>43523</v>
      </c>
      <c r="B4080" s="7">
        <v>0.62708333333333333</v>
      </c>
      <c r="C4080" s="22" t="str">
        <f>"FES1162675538"</f>
        <v>FES1162675538</v>
      </c>
      <c r="D4080" s="22" t="s">
        <v>18</v>
      </c>
      <c r="E4080" s="22" t="s">
        <v>607</v>
      </c>
      <c r="F4080" s="22" t="str">
        <f>"2170676393 "</f>
        <v xml:space="preserve">2170676393 </v>
      </c>
      <c r="G4080" s="22" t="str">
        <f t="shared" si="112"/>
        <v>ON1</v>
      </c>
      <c r="H4080" s="22" t="s">
        <v>20</v>
      </c>
      <c r="I4080" s="22" t="s">
        <v>608</v>
      </c>
      <c r="J4080" s="22" t="str">
        <f>""</f>
        <v/>
      </c>
      <c r="K4080" s="22" t="str">
        <f>"PFES1162675538_0001"</f>
        <v>PFES1162675538_0001</v>
      </c>
      <c r="L4080" s="22">
        <v>1</v>
      </c>
      <c r="M4080" s="22">
        <v>3</v>
      </c>
    </row>
    <row r="4081" spans="1:13">
      <c r="A4081" s="6">
        <v>43523</v>
      </c>
      <c r="B4081" s="7">
        <v>0.60833333333333328</v>
      </c>
      <c r="C4081" s="22" t="str">
        <f>"FES1162675767"</f>
        <v>FES1162675767</v>
      </c>
      <c r="D4081" s="22" t="s">
        <v>18</v>
      </c>
      <c r="E4081" s="22" t="s">
        <v>1216</v>
      </c>
      <c r="F4081" s="22" t="str">
        <f>"2170676533 "</f>
        <v xml:space="preserve">2170676533 </v>
      </c>
      <c r="G4081" s="22" t="str">
        <f t="shared" si="112"/>
        <v>ON1</v>
      </c>
      <c r="H4081" s="22" t="s">
        <v>20</v>
      </c>
      <c r="I4081" s="22" t="s">
        <v>406</v>
      </c>
      <c r="J4081" s="22" t="str">
        <f>""</f>
        <v/>
      </c>
      <c r="K4081" s="22" t="str">
        <f>"PFES1162675767_0001"</f>
        <v>PFES1162675767_0001</v>
      </c>
      <c r="L4081" s="22">
        <v>1</v>
      </c>
      <c r="M4081" s="22">
        <v>6</v>
      </c>
    </row>
    <row r="4082" spans="1:13">
      <c r="A4082" s="6">
        <v>43523</v>
      </c>
      <c r="B4082" s="7">
        <v>0.60625000000000007</v>
      </c>
      <c r="C4082" s="22" t="str">
        <f>"FES1162675660"</f>
        <v>FES1162675660</v>
      </c>
      <c r="D4082" s="22" t="s">
        <v>18</v>
      </c>
      <c r="E4082" s="22" t="s">
        <v>459</v>
      </c>
      <c r="F4082" s="22" t="str">
        <f>"2170671194 "</f>
        <v xml:space="preserve">2170671194 </v>
      </c>
      <c r="G4082" s="22" t="str">
        <f t="shared" si="112"/>
        <v>ON1</v>
      </c>
      <c r="H4082" s="22" t="s">
        <v>20</v>
      </c>
      <c r="I4082" s="22" t="s">
        <v>37</v>
      </c>
      <c r="J4082" s="22" t="str">
        <f>""</f>
        <v/>
      </c>
      <c r="K4082" s="22" t="str">
        <f>"PFES1162675660_0001"</f>
        <v>PFES1162675660_0001</v>
      </c>
      <c r="L4082" s="22">
        <v>1</v>
      </c>
      <c r="M4082" s="22">
        <v>1</v>
      </c>
    </row>
    <row r="4083" spans="1:13">
      <c r="A4083" s="6">
        <v>43523</v>
      </c>
      <c r="B4083" s="7">
        <v>0.60555555555555551</v>
      </c>
      <c r="C4083" s="22" t="str">
        <f>"FES1162675773"</f>
        <v>FES1162675773</v>
      </c>
      <c r="D4083" s="22" t="s">
        <v>18</v>
      </c>
      <c r="E4083" s="22" t="s">
        <v>140</v>
      </c>
      <c r="F4083" s="22" t="str">
        <f>"2170676537 "</f>
        <v xml:space="preserve">2170676537 </v>
      </c>
      <c r="G4083" s="22" t="str">
        <f t="shared" si="112"/>
        <v>ON1</v>
      </c>
      <c r="H4083" s="22" t="s">
        <v>20</v>
      </c>
      <c r="I4083" s="22" t="s">
        <v>141</v>
      </c>
      <c r="J4083" s="22" t="str">
        <f>""</f>
        <v/>
      </c>
      <c r="K4083" s="22" t="str">
        <f>"PFES1162675773_0001"</f>
        <v>PFES1162675773_0001</v>
      </c>
      <c r="L4083" s="22">
        <v>1</v>
      </c>
      <c r="M4083" s="22">
        <v>1</v>
      </c>
    </row>
    <row r="4084" spans="1:13">
      <c r="A4084" s="6">
        <v>43523</v>
      </c>
      <c r="B4084" s="7">
        <v>0.60555555555555551</v>
      </c>
      <c r="C4084" s="22" t="str">
        <f>"FES1162675569"</f>
        <v>FES1162675569</v>
      </c>
      <c r="D4084" s="22" t="s">
        <v>18</v>
      </c>
      <c r="E4084" s="22" t="s">
        <v>1217</v>
      </c>
      <c r="F4084" s="22" t="str">
        <f>"2170676409 "</f>
        <v xml:space="preserve">2170676409 </v>
      </c>
      <c r="G4084" s="22" t="str">
        <f>"DBC"</f>
        <v>DBC</v>
      </c>
      <c r="H4084" s="22" t="s">
        <v>20</v>
      </c>
      <c r="I4084" s="22" t="s">
        <v>48</v>
      </c>
      <c r="J4084" s="22" t="str">
        <f>""</f>
        <v/>
      </c>
      <c r="K4084" s="22" t="str">
        <f>"PFES1162675569_0001"</f>
        <v>PFES1162675569_0001</v>
      </c>
      <c r="L4084" s="22">
        <v>1</v>
      </c>
      <c r="M4084" s="22">
        <v>20</v>
      </c>
    </row>
    <row r="4085" spans="1:13">
      <c r="A4085" s="6">
        <v>43523</v>
      </c>
      <c r="B4085" s="7">
        <v>0.60555555555555551</v>
      </c>
      <c r="C4085" s="22" t="str">
        <f>"FES1162675106"</f>
        <v>FES1162675106</v>
      </c>
      <c r="D4085" s="22" t="s">
        <v>18</v>
      </c>
      <c r="E4085" s="22" t="s">
        <v>1218</v>
      </c>
      <c r="F4085" s="22" t="str">
        <f>"2170676060 "</f>
        <v xml:space="preserve">2170676060 </v>
      </c>
      <c r="G4085" s="22" t="str">
        <f t="shared" ref="G4085:G4101" si="113">"ON1"</f>
        <v>ON1</v>
      </c>
      <c r="H4085" s="22" t="s">
        <v>20</v>
      </c>
      <c r="I4085" s="22" t="s">
        <v>773</v>
      </c>
      <c r="J4085" s="22" t="str">
        <f>""</f>
        <v/>
      </c>
      <c r="K4085" s="22" t="str">
        <f>"PFES1162675106_0001"</f>
        <v>PFES1162675106_0001</v>
      </c>
      <c r="L4085" s="22">
        <v>1</v>
      </c>
      <c r="M4085" s="22">
        <v>1</v>
      </c>
    </row>
    <row r="4086" spans="1:13">
      <c r="A4086" s="6">
        <v>43523</v>
      </c>
      <c r="B4086" s="7">
        <v>0.60555555555555551</v>
      </c>
      <c r="C4086" s="22" t="str">
        <f>"FES1162675793"</f>
        <v>FES1162675793</v>
      </c>
      <c r="D4086" s="22" t="s">
        <v>18</v>
      </c>
      <c r="E4086" s="22" t="s">
        <v>634</v>
      </c>
      <c r="F4086" s="22" t="str">
        <f>"2170671042 "</f>
        <v xml:space="preserve">2170671042 </v>
      </c>
      <c r="G4086" s="22" t="str">
        <f t="shared" si="113"/>
        <v>ON1</v>
      </c>
      <c r="H4086" s="22" t="s">
        <v>20</v>
      </c>
      <c r="I4086" s="22" t="s">
        <v>635</v>
      </c>
      <c r="J4086" s="22" t="str">
        <f>""</f>
        <v/>
      </c>
      <c r="K4086" s="22" t="str">
        <f>"PFES1162675793_0001"</f>
        <v>PFES1162675793_0001</v>
      </c>
      <c r="L4086" s="22">
        <v>1</v>
      </c>
      <c r="M4086" s="22">
        <v>1</v>
      </c>
    </row>
    <row r="4087" spans="1:13">
      <c r="A4087" s="6">
        <v>43523</v>
      </c>
      <c r="B4087" s="7">
        <v>0.60486111111111118</v>
      </c>
      <c r="C4087" s="22" t="str">
        <f>"FES1162675570"</f>
        <v>FES1162675570</v>
      </c>
      <c r="D4087" s="22" t="s">
        <v>18</v>
      </c>
      <c r="E4087" s="22" t="s">
        <v>704</v>
      </c>
      <c r="F4087" s="22" t="str">
        <f>"2170676410 "</f>
        <v xml:space="preserve">2170676410 </v>
      </c>
      <c r="G4087" s="22" t="str">
        <f t="shared" si="113"/>
        <v>ON1</v>
      </c>
      <c r="H4087" s="22" t="s">
        <v>20</v>
      </c>
      <c r="I4087" s="22" t="s">
        <v>228</v>
      </c>
      <c r="J4087" s="22" t="str">
        <f>""</f>
        <v/>
      </c>
      <c r="K4087" s="22" t="str">
        <f>"PFES1162675570_0001"</f>
        <v>PFES1162675570_0001</v>
      </c>
      <c r="L4087" s="22">
        <v>1</v>
      </c>
      <c r="M4087" s="22">
        <v>1</v>
      </c>
    </row>
    <row r="4088" spans="1:13">
      <c r="A4088" s="6">
        <v>43523</v>
      </c>
      <c r="B4088" s="7">
        <v>0.60486111111111118</v>
      </c>
      <c r="C4088" s="22" t="str">
        <f>"FES1162675742"</f>
        <v>FES1162675742</v>
      </c>
      <c r="D4088" s="22" t="s">
        <v>18</v>
      </c>
      <c r="E4088" s="22" t="s">
        <v>289</v>
      </c>
      <c r="F4088" s="22" t="str">
        <f>"2170669881 "</f>
        <v xml:space="preserve">2170669881 </v>
      </c>
      <c r="G4088" s="22" t="str">
        <f t="shared" si="113"/>
        <v>ON1</v>
      </c>
      <c r="H4088" s="22" t="s">
        <v>20</v>
      </c>
      <c r="I4088" s="22" t="s">
        <v>290</v>
      </c>
      <c r="J4088" s="22" t="str">
        <f>""</f>
        <v/>
      </c>
      <c r="K4088" s="22" t="str">
        <f>"PFES1162675742_0001"</f>
        <v>PFES1162675742_0001</v>
      </c>
      <c r="L4088" s="22">
        <v>1</v>
      </c>
      <c r="M4088" s="22">
        <v>1</v>
      </c>
    </row>
    <row r="4089" spans="1:13">
      <c r="A4089" s="6">
        <v>43523</v>
      </c>
      <c r="B4089" s="7">
        <v>0.60486111111111118</v>
      </c>
      <c r="C4089" s="22" t="str">
        <f>"FES1162675761"</f>
        <v>FES1162675761</v>
      </c>
      <c r="D4089" s="22" t="s">
        <v>18</v>
      </c>
      <c r="E4089" s="22" t="s">
        <v>229</v>
      </c>
      <c r="F4089" s="22" t="str">
        <f>"2170676103 "</f>
        <v xml:space="preserve">2170676103 </v>
      </c>
      <c r="G4089" s="22" t="str">
        <f t="shared" si="113"/>
        <v>ON1</v>
      </c>
      <c r="H4089" s="22" t="s">
        <v>20</v>
      </c>
      <c r="I4089" s="22" t="s">
        <v>111</v>
      </c>
      <c r="J4089" s="22" t="str">
        <f>""</f>
        <v/>
      </c>
      <c r="K4089" s="22" t="str">
        <f>"PFES1162675761_0001"</f>
        <v>PFES1162675761_0001</v>
      </c>
      <c r="L4089" s="22">
        <v>1</v>
      </c>
      <c r="M4089" s="22">
        <v>1</v>
      </c>
    </row>
    <row r="4090" spans="1:13">
      <c r="A4090" s="6">
        <v>43523</v>
      </c>
      <c r="B4090" s="7">
        <v>0.60416666666666663</v>
      </c>
      <c r="C4090" s="22" t="str">
        <f>"FES1162675562"</f>
        <v>FES1162675562</v>
      </c>
      <c r="D4090" s="22" t="s">
        <v>18</v>
      </c>
      <c r="E4090" s="22" t="s">
        <v>129</v>
      </c>
      <c r="F4090" s="22" t="str">
        <f>"2170675867 "</f>
        <v xml:space="preserve">2170675867 </v>
      </c>
      <c r="G4090" s="22" t="str">
        <f t="shared" si="113"/>
        <v>ON1</v>
      </c>
      <c r="H4090" s="22" t="s">
        <v>20</v>
      </c>
      <c r="I4090" s="22" t="s">
        <v>130</v>
      </c>
      <c r="J4090" s="22" t="str">
        <f>""</f>
        <v/>
      </c>
      <c r="K4090" s="22" t="str">
        <f>"PFES1162675562_0001"</f>
        <v>PFES1162675562_0001</v>
      </c>
      <c r="L4090" s="22">
        <v>1</v>
      </c>
      <c r="M4090" s="22">
        <v>8</v>
      </c>
    </row>
    <row r="4091" spans="1:13">
      <c r="A4091" s="6">
        <v>43523</v>
      </c>
      <c r="B4091" s="7">
        <v>0.60416666666666663</v>
      </c>
      <c r="C4091" s="22" t="str">
        <f>"FES1162675766"</f>
        <v>FES1162675766</v>
      </c>
      <c r="D4091" s="22" t="s">
        <v>18</v>
      </c>
      <c r="E4091" s="22" t="s">
        <v>19</v>
      </c>
      <c r="F4091" s="22" t="str">
        <f>"21706765308 "</f>
        <v xml:space="preserve">21706765308 </v>
      </c>
      <c r="G4091" s="22" t="str">
        <f t="shared" si="113"/>
        <v>ON1</v>
      </c>
      <c r="H4091" s="22" t="s">
        <v>20</v>
      </c>
      <c r="I4091" s="22" t="s">
        <v>21</v>
      </c>
      <c r="J4091" s="22" t="str">
        <f>""</f>
        <v/>
      </c>
      <c r="K4091" s="22" t="str">
        <f>"PFES1162675766_0001"</f>
        <v>PFES1162675766_0001</v>
      </c>
      <c r="L4091" s="22">
        <v>1</v>
      </c>
      <c r="M4091" s="22">
        <v>1</v>
      </c>
    </row>
    <row r="4092" spans="1:13">
      <c r="A4092" s="6">
        <v>43523</v>
      </c>
      <c r="B4092" s="7">
        <v>0.60416666666666663</v>
      </c>
      <c r="C4092" s="22" t="str">
        <f>"FES1162675745"</f>
        <v>FES1162675745</v>
      </c>
      <c r="D4092" s="22" t="s">
        <v>18</v>
      </c>
      <c r="E4092" s="22" t="s">
        <v>234</v>
      </c>
      <c r="F4092" s="22" t="str">
        <f>"2170676479 "</f>
        <v xml:space="preserve">2170676479 </v>
      </c>
      <c r="G4092" s="22" t="str">
        <f t="shared" si="113"/>
        <v>ON1</v>
      </c>
      <c r="H4092" s="22" t="s">
        <v>20</v>
      </c>
      <c r="I4092" s="22" t="s">
        <v>233</v>
      </c>
      <c r="J4092" s="22" t="str">
        <f>""</f>
        <v/>
      </c>
      <c r="K4092" s="22" t="str">
        <f>"PFES1162675745_0001"</f>
        <v>PFES1162675745_0001</v>
      </c>
      <c r="L4092" s="22">
        <v>1</v>
      </c>
      <c r="M4092" s="22">
        <v>1</v>
      </c>
    </row>
    <row r="4093" spans="1:13">
      <c r="A4093" s="6">
        <v>43523</v>
      </c>
      <c r="B4093" s="7">
        <v>0.60416666666666663</v>
      </c>
      <c r="C4093" s="22" t="str">
        <f>"FES1162675756"</f>
        <v>FES1162675756</v>
      </c>
      <c r="D4093" s="22" t="s">
        <v>18</v>
      </c>
      <c r="E4093" s="22" t="s">
        <v>19</v>
      </c>
      <c r="F4093" s="22" t="str">
        <f>"2170676520 "</f>
        <v xml:space="preserve">2170676520 </v>
      </c>
      <c r="G4093" s="22" t="str">
        <f t="shared" si="113"/>
        <v>ON1</v>
      </c>
      <c r="H4093" s="22" t="s">
        <v>20</v>
      </c>
      <c r="I4093" s="22" t="s">
        <v>21</v>
      </c>
      <c r="J4093" s="22" t="str">
        <f>""</f>
        <v/>
      </c>
      <c r="K4093" s="22" t="str">
        <f>"PFES1162675756_0001"</f>
        <v>PFES1162675756_0001</v>
      </c>
      <c r="L4093" s="22">
        <v>1</v>
      </c>
      <c r="M4093" s="22">
        <v>1</v>
      </c>
    </row>
    <row r="4094" spans="1:13">
      <c r="A4094" s="6">
        <v>43523</v>
      </c>
      <c r="B4094" s="7">
        <v>0.60347222222222219</v>
      </c>
      <c r="C4094" s="22" t="str">
        <f>"FES1162675740"</f>
        <v>FES1162675740</v>
      </c>
      <c r="D4094" s="22" t="s">
        <v>18</v>
      </c>
      <c r="E4094" s="22" t="s">
        <v>234</v>
      </c>
      <c r="F4094" s="22" t="str">
        <f>"2170676487 "</f>
        <v xml:space="preserve">2170676487 </v>
      </c>
      <c r="G4094" s="22" t="str">
        <f t="shared" si="113"/>
        <v>ON1</v>
      </c>
      <c r="H4094" s="22" t="s">
        <v>20</v>
      </c>
      <c r="I4094" s="22" t="s">
        <v>233</v>
      </c>
      <c r="J4094" s="22" t="str">
        <f>""</f>
        <v/>
      </c>
      <c r="K4094" s="22" t="str">
        <f>"PFES1162675740_0001"</f>
        <v>PFES1162675740_0001</v>
      </c>
      <c r="L4094" s="22">
        <v>1</v>
      </c>
      <c r="M4094" s="22">
        <v>1</v>
      </c>
    </row>
    <row r="4095" spans="1:13">
      <c r="A4095" s="6">
        <v>43523</v>
      </c>
      <c r="B4095" s="7">
        <v>0.60347222222222219</v>
      </c>
      <c r="C4095" s="22" t="str">
        <f>"FES1162675731"</f>
        <v>FES1162675731</v>
      </c>
      <c r="D4095" s="22" t="s">
        <v>18</v>
      </c>
      <c r="E4095" s="22" t="s">
        <v>1015</v>
      </c>
      <c r="F4095" s="22" t="str">
        <f>"2170676502 "</f>
        <v xml:space="preserve">2170676502 </v>
      </c>
      <c r="G4095" s="22" t="str">
        <f t="shared" si="113"/>
        <v>ON1</v>
      </c>
      <c r="H4095" s="22" t="s">
        <v>20</v>
      </c>
      <c r="I4095" s="22" t="s">
        <v>182</v>
      </c>
      <c r="J4095" s="22" t="str">
        <f>""</f>
        <v/>
      </c>
      <c r="K4095" s="22" t="str">
        <f>"PFES1162675731_0001"</f>
        <v>PFES1162675731_0001</v>
      </c>
      <c r="L4095" s="22">
        <v>1</v>
      </c>
      <c r="M4095" s="22">
        <v>4</v>
      </c>
    </row>
    <row r="4096" spans="1:13">
      <c r="A4096" s="6">
        <v>43523</v>
      </c>
      <c r="B4096" s="7">
        <v>0.60347222222222219</v>
      </c>
      <c r="C4096" s="22" t="str">
        <f>"FES1162675741"</f>
        <v>FES1162675741</v>
      </c>
      <c r="D4096" s="22" t="s">
        <v>18</v>
      </c>
      <c r="E4096" s="22" t="s">
        <v>405</v>
      </c>
      <c r="F4096" s="22" t="str">
        <f>"2170676511 "</f>
        <v xml:space="preserve">2170676511 </v>
      </c>
      <c r="G4096" s="22" t="str">
        <f t="shared" si="113"/>
        <v>ON1</v>
      </c>
      <c r="H4096" s="22" t="s">
        <v>20</v>
      </c>
      <c r="I4096" s="22" t="s">
        <v>239</v>
      </c>
      <c r="J4096" s="22" t="str">
        <f>""</f>
        <v/>
      </c>
      <c r="K4096" s="22" t="str">
        <f>"PFES1162675741_0001"</f>
        <v>PFES1162675741_0001</v>
      </c>
      <c r="L4096" s="22">
        <v>1</v>
      </c>
      <c r="M4096" s="22">
        <v>1</v>
      </c>
    </row>
    <row r="4097" spans="1:13">
      <c r="A4097" s="6">
        <v>43523</v>
      </c>
      <c r="B4097" s="7">
        <v>0.60277777777777775</v>
      </c>
      <c r="C4097" s="22" t="str">
        <f>"FES1162675109"</f>
        <v>FES1162675109</v>
      </c>
      <c r="D4097" s="22" t="s">
        <v>18</v>
      </c>
      <c r="E4097" s="22" t="s">
        <v>1219</v>
      </c>
      <c r="F4097" s="22" t="str">
        <f>"2170676067 "</f>
        <v xml:space="preserve">2170676067 </v>
      </c>
      <c r="G4097" s="22" t="str">
        <f t="shared" si="113"/>
        <v>ON1</v>
      </c>
      <c r="H4097" s="22" t="s">
        <v>20</v>
      </c>
      <c r="I4097" s="22" t="s">
        <v>1220</v>
      </c>
      <c r="J4097" s="22" t="str">
        <f>""</f>
        <v/>
      </c>
      <c r="K4097" s="22" t="str">
        <f>"PFES1162675109_0001"</f>
        <v>PFES1162675109_0001</v>
      </c>
      <c r="L4097" s="22">
        <v>1</v>
      </c>
      <c r="M4097" s="22">
        <v>1</v>
      </c>
    </row>
    <row r="4098" spans="1:13">
      <c r="A4098" s="6">
        <v>43523</v>
      </c>
      <c r="B4098" s="7">
        <v>0.60277777777777775</v>
      </c>
      <c r="C4098" s="22" t="str">
        <f>"FES1162675139"</f>
        <v>FES1162675139</v>
      </c>
      <c r="D4098" s="22" t="s">
        <v>18</v>
      </c>
      <c r="E4098" s="22" t="s">
        <v>263</v>
      </c>
      <c r="F4098" s="22" t="str">
        <f>"2170676021 "</f>
        <v xml:space="preserve">2170676021 </v>
      </c>
      <c r="G4098" s="22" t="str">
        <f t="shared" si="113"/>
        <v>ON1</v>
      </c>
      <c r="H4098" s="22" t="s">
        <v>20</v>
      </c>
      <c r="I4098" s="22" t="s">
        <v>182</v>
      </c>
      <c r="J4098" s="22" t="str">
        <f>""</f>
        <v/>
      </c>
      <c r="K4098" s="22" t="str">
        <f>"PFES1162675139_0001"</f>
        <v>PFES1162675139_0001</v>
      </c>
      <c r="L4098" s="22">
        <v>1</v>
      </c>
      <c r="M4098" s="22">
        <v>1</v>
      </c>
    </row>
    <row r="4099" spans="1:13">
      <c r="A4099" s="6">
        <v>43523</v>
      </c>
      <c r="B4099" s="7">
        <v>0.6020833333333333</v>
      </c>
      <c r="C4099" s="22" t="str">
        <f>"FES1162675796"</f>
        <v>FES1162675796</v>
      </c>
      <c r="D4099" s="22" t="s">
        <v>18</v>
      </c>
      <c r="E4099" s="22" t="s">
        <v>739</v>
      </c>
      <c r="F4099" s="22" t="str">
        <f>"2170676559 "</f>
        <v xml:space="preserve">2170676559 </v>
      </c>
      <c r="G4099" s="22" t="str">
        <f t="shared" si="113"/>
        <v>ON1</v>
      </c>
      <c r="H4099" s="22" t="s">
        <v>20</v>
      </c>
      <c r="I4099" s="22" t="s">
        <v>130</v>
      </c>
      <c r="J4099" s="22" t="str">
        <f>""</f>
        <v/>
      </c>
      <c r="K4099" s="22" t="str">
        <f>"PFES1162675796_0001"</f>
        <v>PFES1162675796_0001</v>
      </c>
      <c r="L4099" s="22">
        <v>1</v>
      </c>
      <c r="M4099" s="22">
        <v>1</v>
      </c>
    </row>
    <row r="4100" spans="1:13">
      <c r="A4100" s="6">
        <v>43523</v>
      </c>
      <c r="B4100" s="7">
        <v>0.6020833333333333</v>
      </c>
      <c r="C4100" s="22" t="str">
        <f>"FES1162675725"</f>
        <v>FES1162675725</v>
      </c>
      <c r="D4100" s="22" t="s">
        <v>18</v>
      </c>
      <c r="E4100" s="22" t="s">
        <v>1160</v>
      </c>
      <c r="F4100" s="22" t="str">
        <f>"2170676492 "</f>
        <v xml:space="preserve">2170676492 </v>
      </c>
      <c r="G4100" s="22" t="str">
        <f t="shared" si="113"/>
        <v>ON1</v>
      </c>
      <c r="H4100" s="22" t="s">
        <v>20</v>
      </c>
      <c r="I4100" s="22" t="s">
        <v>555</v>
      </c>
      <c r="J4100" s="22" t="str">
        <f>""</f>
        <v/>
      </c>
      <c r="K4100" s="22" t="str">
        <f>"PFES1162675725_0001"</f>
        <v>PFES1162675725_0001</v>
      </c>
      <c r="L4100" s="22">
        <v>1</v>
      </c>
      <c r="M4100" s="22">
        <v>2</v>
      </c>
    </row>
    <row r="4101" spans="1:13">
      <c r="A4101" s="6">
        <v>43523</v>
      </c>
      <c r="B4101" s="7">
        <v>0.6020833333333333</v>
      </c>
      <c r="C4101" s="22" t="str">
        <f>"FES1162675795"</f>
        <v>FES1162675795</v>
      </c>
      <c r="D4101" s="22" t="s">
        <v>18</v>
      </c>
      <c r="E4101" s="22" t="s">
        <v>1221</v>
      </c>
      <c r="F4101" s="22" t="str">
        <f>"2170676558 "</f>
        <v xml:space="preserve">2170676558 </v>
      </c>
      <c r="G4101" s="22" t="str">
        <f t="shared" si="113"/>
        <v>ON1</v>
      </c>
      <c r="H4101" s="22" t="s">
        <v>20</v>
      </c>
      <c r="I4101" s="22" t="s">
        <v>1222</v>
      </c>
      <c r="J4101" s="22" t="str">
        <f>""</f>
        <v/>
      </c>
      <c r="K4101" s="22" t="str">
        <f>"PFES1162675795_0001"</f>
        <v>PFES1162675795_0001</v>
      </c>
      <c r="L4101" s="22">
        <v>1</v>
      </c>
      <c r="M4101" s="22">
        <v>1</v>
      </c>
    </row>
    <row r="4102" spans="1:13">
      <c r="A4102" s="6">
        <v>43523</v>
      </c>
      <c r="B4102" s="7">
        <v>0.60138888888888886</v>
      </c>
      <c r="C4102" s="22" t="str">
        <f>"FES1162675748"</f>
        <v>FES1162675748</v>
      </c>
      <c r="D4102" s="22" t="s">
        <v>18</v>
      </c>
      <c r="E4102" s="22" t="s">
        <v>150</v>
      </c>
      <c r="F4102" s="22" t="str">
        <f>"2170672069 "</f>
        <v xml:space="preserve">2170672069 </v>
      </c>
      <c r="G4102" s="22" t="str">
        <f>"DBC"</f>
        <v>DBC</v>
      </c>
      <c r="H4102" s="22" t="s">
        <v>20</v>
      </c>
      <c r="I4102" s="22" t="s">
        <v>137</v>
      </c>
      <c r="J4102" s="22" t="str">
        <f>""</f>
        <v/>
      </c>
      <c r="K4102" s="22" t="str">
        <f>"PFES1162675748_0001"</f>
        <v>PFES1162675748_0001</v>
      </c>
      <c r="L4102" s="22">
        <v>3</v>
      </c>
      <c r="M4102" s="22">
        <v>30</v>
      </c>
    </row>
    <row r="4103" spans="1:13">
      <c r="A4103" s="6">
        <v>43523</v>
      </c>
      <c r="B4103" s="7">
        <v>0.60138888888888886</v>
      </c>
      <c r="C4103" s="22" t="str">
        <f>"FES1162675748"</f>
        <v>FES1162675748</v>
      </c>
      <c r="D4103" s="22" t="s">
        <v>18</v>
      </c>
      <c r="E4103" s="22" t="s">
        <v>150</v>
      </c>
      <c r="F4103" s="22" t="str">
        <f t="shared" ref="F4103:F4104" si="114">"2170672069 "</f>
        <v xml:space="preserve">2170672069 </v>
      </c>
      <c r="G4103" s="22" t="str">
        <f t="shared" ref="G4103:G4104" si="115">"DBC"</f>
        <v>DBC</v>
      </c>
      <c r="H4103" s="22" t="s">
        <v>20</v>
      </c>
      <c r="I4103" s="22" t="s">
        <v>137</v>
      </c>
      <c r="J4103" s="22"/>
      <c r="K4103" s="22" t="str">
        <f>"PFES1162675748_0002"</f>
        <v>PFES1162675748_0002</v>
      </c>
      <c r="L4103" s="22">
        <v>3</v>
      </c>
      <c r="M4103" s="22">
        <v>30</v>
      </c>
    </row>
    <row r="4104" spans="1:13">
      <c r="A4104" s="6">
        <v>43523</v>
      </c>
      <c r="B4104" s="7">
        <v>0.60138888888888886</v>
      </c>
      <c r="C4104" s="22" t="str">
        <f>"FES1162675748"</f>
        <v>FES1162675748</v>
      </c>
      <c r="D4104" s="22" t="s">
        <v>18</v>
      </c>
      <c r="E4104" s="22" t="s">
        <v>150</v>
      </c>
      <c r="F4104" s="22" t="str">
        <f t="shared" si="114"/>
        <v xml:space="preserve">2170672069 </v>
      </c>
      <c r="G4104" s="22" t="str">
        <f t="shared" si="115"/>
        <v>DBC</v>
      </c>
      <c r="H4104" s="22" t="s">
        <v>20</v>
      </c>
      <c r="I4104" s="22" t="s">
        <v>137</v>
      </c>
      <c r="J4104" s="22"/>
      <c r="K4104" s="22" t="str">
        <f>"PFES1162675748_0003"</f>
        <v>PFES1162675748_0003</v>
      </c>
      <c r="L4104" s="22">
        <v>3</v>
      </c>
      <c r="M4104" s="22">
        <v>30</v>
      </c>
    </row>
    <row r="4105" spans="1:13">
      <c r="A4105" s="6">
        <v>43523</v>
      </c>
      <c r="B4105" s="7">
        <v>0.60069444444444442</v>
      </c>
      <c r="C4105" s="22" t="str">
        <f>"FES1162675670"</f>
        <v>FES1162675670</v>
      </c>
      <c r="D4105" s="22" t="s">
        <v>18</v>
      </c>
      <c r="E4105" s="22" t="s">
        <v>380</v>
      </c>
      <c r="F4105" s="22" t="str">
        <f>"2170674129 "</f>
        <v xml:space="preserve">2170674129 </v>
      </c>
      <c r="G4105" s="22" t="str">
        <f>"DBC"</f>
        <v>DBC</v>
      </c>
      <c r="H4105" s="22" t="s">
        <v>20</v>
      </c>
      <c r="I4105" s="22" t="s">
        <v>213</v>
      </c>
      <c r="J4105" s="22" t="str">
        <f>""</f>
        <v/>
      </c>
      <c r="K4105" s="22" t="str">
        <f>"PFES1162675670_0001"</f>
        <v>PFES1162675670_0001</v>
      </c>
      <c r="L4105" s="22">
        <v>1</v>
      </c>
      <c r="M4105" s="22">
        <v>24</v>
      </c>
    </row>
    <row r="4106" spans="1:13">
      <c r="A4106" s="6">
        <v>43523</v>
      </c>
      <c r="B4106" s="7">
        <v>0.60069444444444442</v>
      </c>
      <c r="C4106" s="22" t="str">
        <f>"FES1162675765"</f>
        <v>FES1162675765</v>
      </c>
      <c r="D4106" s="22" t="s">
        <v>18</v>
      </c>
      <c r="E4106" s="22" t="s">
        <v>623</v>
      </c>
      <c r="F4106" s="22" t="str">
        <f>"2170646529 "</f>
        <v xml:space="preserve">2170646529 </v>
      </c>
      <c r="G4106" s="22" t="str">
        <f t="shared" ref="G4106:G4169" si="116">"ON1"</f>
        <v>ON1</v>
      </c>
      <c r="H4106" s="22" t="s">
        <v>20</v>
      </c>
      <c r="I4106" s="22" t="s">
        <v>429</v>
      </c>
      <c r="J4106" s="22" t="str">
        <f>""</f>
        <v/>
      </c>
      <c r="K4106" s="22" t="str">
        <f>"PFES1162675765_0001"</f>
        <v>PFES1162675765_0001</v>
      </c>
      <c r="L4106" s="22">
        <v>1</v>
      </c>
      <c r="M4106" s="22">
        <v>5</v>
      </c>
    </row>
    <row r="4107" spans="1:13">
      <c r="A4107" s="6">
        <v>43523</v>
      </c>
      <c r="B4107" s="7">
        <v>0.60069444444444442</v>
      </c>
      <c r="C4107" s="22" t="str">
        <f>"FES1162675758"</f>
        <v>FES1162675758</v>
      </c>
      <c r="D4107" s="22" t="s">
        <v>18</v>
      </c>
      <c r="E4107" s="22" t="s">
        <v>176</v>
      </c>
      <c r="F4107" s="22" t="str">
        <f>"2170646251 "</f>
        <v xml:space="preserve">2170646251 </v>
      </c>
      <c r="G4107" s="22" t="str">
        <f t="shared" si="116"/>
        <v>ON1</v>
      </c>
      <c r="H4107" s="22" t="s">
        <v>20</v>
      </c>
      <c r="I4107" s="22" t="s">
        <v>708</v>
      </c>
      <c r="J4107" s="22" t="str">
        <f>""</f>
        <v/>
      </c>
      <c r="K4107" s="22" t="str">
        <f>"PFES1162675758_0001"</f>
        <v>PFES1162675758_0001</v>
      </c>
      <c r="L4107" s="22">
        <v>1</v>
      </c>
      <c r="M4107" s="22">
        <v>4</v>
      </c>
    </row>
    <row r="4108" spans="1:13">
      <c r="A4108" s="6">
        <v>43523</v>
      </c>
      <c r="B4108" s="7">
        <v>0.60069444444444442</v>
      </c>
      <c r="C4108" s="22" t="str">
        <f>"FES1162675721"</f>
        <v>FES1162675721</v>
      </c>
      <c r="D4108" s="22" t="s">
        <v>18</v>
      </c>
      <c r="E4108" s="22" t="s">
        <v>176</v>
      </c>
      <c r="F4108" s="22" t="str">
        <f>"2170674342 "</f>
        <v xml:space="preserve">2170674342 </v>
      </c>
      <c r="G4108" s="22" t="str">
        <f t="shared" si="116"/>
        <v>ON1</v>
      </c>
      <c r="H4108" s="22" t="s">
        <v>20</v>
      </c>
      <c r="I4108" s="22" t="s">
        <v>177</v>
      </c>
      <c r="J4108" s="22" t="str">
        <f>""</f>
        <v/>
      </c>
      <c r="K4108" s="22" t="str">
        <f>"PFES1162675721_0001"</f>
        <v>PFES1162675721_0001</v>
      </c>
      <c r="L4108" s="22">
        <v>1</v>
      </c>
      <c r="M4108" s="22">
        <v>9</v>
      </c>
    </row>
    <row r="4109" spans="1:13">
      <c r="A4109" s="6">
        <v>43523</v>
      </c>
      <c r="B4109" s="7">
        <v>0.6</v>
      </c>
      <c r="C4109" s="22" t="str">
        <f>"FES1162675560"</f>
        <v>FES1162675560</v>
      </c>
      <c r="D4109" s="22" t="s">
        <v>18</v>
      </c>
      <c r="E4109" s="22" t="s">
        <v>66</v>
      </c>
      <c r="F4109" s="22" t="str">
        <f>"217064918 "</f>
        <v xml:space="preserve">217064918 </v>
      </c>
      <c r="G4109" s="22" t="str">
        <f t="shared" si="116"/>
        <v>ON1</v>
      </c>
      <c r="H4109" s="22" t="s">
        <v>20</v>
      </c>
      <c r="I4109" s="22" t="s">
        <v>67</v>
      </c>
      <c r="J4109" s="22" t="str">
        <f>""</f>
        <v/>
      </c>
      <c r="K4109" s="22" t="str">
        <f>"PFES1162675560_0001"</f>
        <v>PFES1162675560_0001</v>
      </c>
      <c r="L4109" s="22">
        <v>1</v>
      </c>
      <c r="M4109" s="22">
        <v>10</v>
      </c>
    </row>
    <row r="4110" spans="1:13">
      <c r="A4110" s="6">
        <v>43523</v>
      </c>
      <c r="B4110" s="7">
        <v>0.59930555555555554</v>
      </c>
      <c r="C4110" s="22" t="str">
        <f>"FES1162675682"</f>
        <v>FES1162675682</v>
      </c>
      <c r="D4110" s="22" t="s">
        <v>18</v>
      </c>
      <c r="E4110" s="22" t="s">
        <v>328</v>
      </c>
      <c r="F4110" s="22" t="str">
        <f>"2170674526 "</f>
        <v xml:space="preserve">2170674526 </v>
      </c>
      <c r="G4110" s="22" t="str">
        <f t="shared" si="116"/>
        <v>ON1</v>
      </c>
      <c r="H4110" s="22" t="s">
        <v>20</v>
      </c>
      <c r="I4110" s="22" t="s">
        <v>29</v>
      </c>
      <c r="J4110" s="22" t="str">
        <f>""</f>
        <v/>
      </c>
      <c r="K4110" s="22" t="str">
        <f>"PFES1162675682_0001"</f>
        <v>PFES1162675682_0001</v>
      </c>
      <c r="L4110" s="22">
        <v>1</v>
      </c>
      <c r="M4110" s="22">
        <v>5</v>
      </c>
    </row>
    <row r="4111" spans="1:13">
      <c r="A4111" s="6">
        <v>43523</v>
      </c>
      <c r="B4111" s="7">
        <v>0.59930555555555554</v>
      </c>
      <c r="C4111" s="22" t="str">
        <f>"FES1162673399"</f>
        <v>FES1162673399</v>
      </c>
      <c r="D4111" s="22" t="s">
        <v>18</v>
      </c>
      <c r="E4111" s="22" t="s">
        <v>140</v>
      </c>
      <c r="F4111" s="22" t="str">
        <f>"2170674566 "</f>
        <v xml:space="preserve">2170674566 </v>
      </c>
      <c r="G4111" s="22" t="str">
        <f t="shared" si="116"/>
        <v>ON1</v>
      </c>
      <c r="H4111" s="22" t="s">
        <v>20</v>
      </c>
      <c r="I4111" s="22" t="s">
        <v>141</v>
      </c>
      <c r="J4111" s="22" t="str">
        <f>""</f>
        <v/>
      </c>
      <c r="K4111" s="22" t="str">
        <f>"PFES1162673399_0001"</f>
        <v>PFES1162673399_0001</v>
      </c>
      <c r="L4111" s="22">
        <v>1</v>
      </c>
      <c r="M4111" s="22">
        <v>3</v>
      </c>
    </row>
    <row r="4112" spans="1:13">
      <c r="A4112" s="6">
        <v>43523</v>
      </c>
      <c r="B4112" s="7">
        <v>0.59930555555555554</v>
      </c>
      <c r="C4112" s="22" t="str">
        <f>"FES1162675754"</f>
        <v>FES1162675754</v>
      </c>
      <c r="D4112" s="22" t="s">
        <v>18</v>
      </c>
      <c r="E4112" s="22" t="s">
        <v>887</v>
      </c>
      <c r="F4112" s="22" t="str">
        <f>"217065616 "</f>
        <v xml:space="preserve">217065616 </v>
      </c>
      <c r="G4112" s="22" t="str">
        <f t="shared" si="116"/>
        <v>ON1</v>
      </c>
      <c r="H4112" s="22" t="s">
        <v>20</v>
      </c>
      <c r="I4112" s="22" t="s">
        <v>586</v>
      </c>
      <c r="J4112" s="22" t="str">
        <f>""</f>
        <v/>
      </c>
      <c r="K4112" s="22" t="str">
        <f>"PFES1162675754_0001"</f>
        <v>PFES1162675754_0001</v>
      </c>
      <c r="L4112" s="22">
        <v>1</v>
      </c>
      <c r="M4112" s="22">
        <v>3</v>
      </c>
    </row>
    <row r="4113" spans="1:13">
      <c r="A4113" s="6">
        <v>43523</v>
      </c>
      <c r="B4113" s="7">
        <v>0.53749999999999998</v>
      </c>
      <c r="C4113" s="22" t="str">
        <f>"FES1162675557"</f>
        <v>FES1162675557</v>
      </c>
      <c r="D4113" s="22" t="s">
        <v>18</v>
      </c>
      <c r="E4113" s="22" t="s">
        <v>299</v>
      </c>
      <c r="F4113" s="22" t="str">
        <f>"2170674500 "</f>
        <v xml:space="preserve">2170674500 </v>
      </c>
      <c r="G4113" s="22" t="str">
        <f t="shared" si="116"/>
        <v>ON1</v>
      </c>
      <c r="H4113" s="22" t="s">
        <v>20</v>
      </c>
      <c r="I4113" s="22" t="s">
        <v>570</v>
      </c>
      <c r="J4113" s="22" t="str">
        <f>""</f>
        <v/>
      </c>
      <c r="K4113" s="22" t="str">
        <f>"PFES1162675557_0001"</f>
        <v>PFES1162675557_0001</v>
      </c>
      <c r="L4113" s="22">
        <v>1</v>
      </c>
      <c r="M4113" s="22">
        <v>1</v>
      </c>
    </row>
    <row r="4114" spans="1:13">
      <c r="A4114" s="6">
        <v>43523</v>
      </c>
      <c r="B4114" s="7">
        <v>0.53749999999999998</v>
      </c>
      <c r="C4114" s="22" t="str">
        <f>"FES1162675597"</f>
        <v>FES1162675597</v>
      </c>
      <c r="D4114" s="22" t="s">
        <v>18</v>
      </c>
      <c r="E4114" s="22" t="s">
        <v>991</v>
      </c>
      <c r="F4114" s="22" t="str">
        <f>"2170672807 "</f>
        <v xml:space="preserve">2170672807 </v>
      </c>
      <c r="G4114" s="22" t="str">
        <f t="shared" si="116"/>
        <v>ON1</v>
      </c>
      <c r="H4114" s="22" t="s">
        <v>20</v>
      </c>
      <c r="I4114" s="22" t="s">
        <v>213</v>
      </c>
      <c r="J4114" s="22" t="str">
        <f>""</f>
        <v/>
      </c>
      <c r="K4114" s="22" t="str">
        <f>"PFES1162675597_0001"</f>
        <v>PFES1162675597_0001</v>
      </c>
      <c r="L4114" s="22">
        <v>1</v>
      </c>
      <c r="M4114" s="22">
        <v>1</v>
      </c>
    </row>
    <row r="4115" spans="1:13">
      <c r="A4115" s="6">
        <v>43523</v>
      </c>
      <c r="B4115" s="7">
        <v>0.53680555555555554</v>
      </c>
      <c r="C4115" s="22" t="str">
        <f>"FES1162675697"</f>
        <v>FES1162675697</v>
      </c>
      <c r="D4115" s="22" t="s">
        <v>18</v>
      </c>
      <c r="E4115" s="22" t="s">
        <v>425</v>
      </c>
      <c r="F4115" s="22" t="str">
        <f>"2170674834 "</f>
        <v xml:space="preserve">2170674834 </v>
      </c>
      <c r="G4115" s="22" t="str">
        <f t="shared" si="116"/>
        <v>ON1</v>
      </c>
      <c r="H4115" s="22" t="s">
        <v>20</v>
      </c>
      <c r="I4115" s="22" t="s">
        <v>213</v>
      </c>
      <c r="J4115" s="22" t="str">
        <f>""</f>
        <v/>
      </c>
      <c r="K4115" s="22" t="str">
        <f>"PFES1162675697_0001"</f>
        <v>PFES1162675697_0001</v>
      </c>
      <c r="L4115" s="22">
        <v>1</v>
      </c>
      <c r="M4115" s="22">
        <v>1</v>
      </c>
    </row>
    <row r="4116" spans="1:13">
      <c r="A4116" s="6">
        <v>43523</v>
      </c>
      <c r="B4116" s="7">
        <v>0.53680555555555554</v>
      </c>
      <c r="C4116" s="22" t="str">
        <f>"FES1162675577"</f>
        <v>FES1162675577</v>
      </c>
      <c r="D4116" s="22" t="s">
        <v>18</v>
      </c>
      <c r="E4116" s="22" t="s">
        <v>447</v>
      </c>
      <c r="F4116" s="22" t="str">
        <f>"2170676424 "</f>
        <v xml:space="preserve">2170676424 </v>
      </c>
      <c r="G4116" s="22" t="str">
        <f t="shared" si="116"/>
        <v>ON1</v>
      </c>
      <c r="H4116" s="22" t="s">
        <v>20</v>
      </c>
      <c r="I4116" s="22" t="s">
        <v>182</v>
      </c>
      <c r="J4116" s="22" t="str">
        <f>""</f>
        <v/>
      </c>
      <c r="K4116" s="22" t="str">
        <f>"PFES1162675577_0001"</f>
        <v>PFES1162675577_0001</v>
      </c>
      <c r="L4116" s="22">
        <v>1</v>
      </c>
      <c r="M4116" s="22">
        <v>1</v>
      </c>
    </row>
    <row r="4117" spans="1:13">
      <c r="A4117" s="6">
        <v>43523</v>
      </c>
      <c r="B4117" s="7">
        <v>0.53680555555555554</v>
      </c>
      <c r="C4117" s="22" t="str">
        <f>"FES1162675608"</f>
        <v>FES1162675608</v>
      </c>
      <c r="D4117" s="22" t="s">
        <v>18</v>
      </c>
      <c r="E4117" s="22" t="s">
        <v>19</v>
      </c>
      <c r="F4117" s="22" t="str">
        <f>"2170674314 "</f>
        <v xml:space="preserve">2170674314 </v>
      </c>
      <c r="G4117" s="22" t="str">
        <f t="shared" si="116"/>
        <v>ON1</v>
      </c>
      <c r="H4117" s="22" t="s">
        <v>20</v>
      </c>
      <c r="I4117" s="22" t="s">
        <v>21</v>
      </c>
      <c r="J4117" s="22" t="str">
        <f>""</f>
        <v/>
      </c>
      <c r="K4117" s="22" t="str">
        <f>"PFES1162675608_0001"</f>
        <v>PFES1162675608_0001</v>
      </c>
      <c r="L4117" s="22">
        <v>1</v>
      </c>
      <c r="M4117" s="22">
        <v>4</v>
      </c>
    </row>
    <row r="4118" spans="1:13">
      <c r="A4118" s="6">
        <v>43523</v>
      </c>
      <c r="B4118" s="7">
        <v>0.53680555555555554</v>
      </c>
      <c r="C4118" s="22" t="str">
        <f>"FES1162675679"</f>
        <v>FES1162675679</v>
      </c>
      <c r="D4118" s="22" t="s">
        <v>18</v>
      </c>
      <c r="E4118" s="22" t="s">
        <v>672</v>
      </c>
      <c r="F4118" s="22" t="str">
        <f>"2170674470 "</f>
        <v xml:space="preserve">2170674470 </v>
      </c>
      <c r="G4118" s="22" t="str">
        <f t="shared" si="116"/>
        <v>ON1</v>
      </c>
      <c r="H4118" s="22" t="s">
        <v>20</v>
      </c>
      <c r="I4118" s="22" t="s">
        <v>31</v>
      </c>
      <c r="J4118" s="22" t="str">
        <f>""</f>
        <v/>
      </c>
      <c r="K4118" s="22" t="str">
        <f>"PFES1162675679_0001"</f>
        <v>PFES1162675679_0001</v>
      </c>
      <c r="L4118" s="22">
        <v>1</v>
      </c>
      <c r="M4118" s="22">
        <v>1</v>
      </c>
    </row>
    <row r="4119" spans="1:13">
      <c r="A4119" s="6">
        <v>43523</v>
      </c>
      <c r="B4119" s="7">
        <v>0.53611111111111109</v>
      </c>
      <c r="C4119" s="22" t="str">
        <f>"FES1162675694"</f>
        <v>FES1162675694</v>
      </c>
      <c r="D4119" s="22" t="s">
        <v>18</v>
      </c>
      <c r="E4119" s="22" t="s">
        <v>1167</v>
      </c>
      <c r="F4119" s="22" t="str">
        <f>"2170674810 "</f>
        <v xml:space="preserve">2170674810 </v>
      </c>
      <c r="G4119" s="22" t="str">
        <f t="shared" si="116"/>
        <v>ON1</v>
      </c>
      <c r="H4119" s="22" t="s">
        <v>20</v>
      </c>
      <c r="I4119" s="22" t="s">
        <v>276</v>
      </c>
      <c r="J4119" s="22" t="str">
        <f>""</f>
        <v/>
      </c>
      <c r="K4119" s="22" t="str">
        <f>"PFES1162675694_0001"</f>
        <v>PFES1162675694_0001</v>
      </c>
      <c r="L4119" s="22">
        <v>1</v>
      </c>
      <c r="M4119" s="22">
        <v>1</v>
      </c>
    </row>
    <row r="4120" spans="1:13">
      <c r="A4120" s="6">
        <v>43523</v>
      </c>
      <c r="B4120" s="7">
        <v>0.53611111111111109</v>
      </c>
      <c r="C4120" s="22" t="str">
        <f>"FES1162675707"</f>
        <v>FES1162675707</v>
      </c>
      <c r="D4120" s="22" t="s">
        <v>18</v>
      </c>
      <c r="E4120" s="22" t="s">
        <v>672</v>
      </c>
      <c r="F4120" s="22" t="str">
        <f>"2170674972 "</f>
        <v xml:space="preserve">2170674972 </v>
      </c>
      <c r="G4120" s="22" t="str">
        <f t="shared" si="116"/>
        <v>ON1</v>
      </c>
      <c r="H4120" s="22" t="s">
        <v>20</v>
      </c>
      <c r="I4120" s="22" t="s">
        <v>31</v>
      </c>
      <c r="J4120" s="22" t="str">
        <f>""</f>
        <v/>
      </c>
      <c r="K4120" s="22" t="str">
        <f>"PFES1162675707_0001"</f>
        <v>PFES1162675707_0001</v>
      </c>
      <c r="L4120" s="22">
        <v>1</v>
      </c>
      <c r="M4120" s="22">
        <v>1</v>
      </c>
    </row>
    <row r="4121" spans="1:13">
      <c r="A4121" s="6">
        <v>43523</v>
      </c>
      <c r="B4121" s="7">
        <v>0.51944444444444449</v>
      </c>
      <c r="C4121" s="22" t="str">
        <f>"FES1162675537"</f>
        <v>FES1162675537</v>
      </c>
      <c r="D4121" s="22" t="s">
        <v>18</v>
      </c>
      <c r="E4121" s="22" t="s">
        <v>47</v>
      </c>
      <c r="F4121" s="22" t="str">
        <f>"2170676391 "</f>
        <v xml:space="preserve">2170676391 </v>
      </c>
      <c r="G4121" s="22" t="str">
        <f t="shared" si="116"/>
        <v>ON1</v>
      </c>
      <c r="H4121" s="22" t="s">
        <v>20</v>
      </c>
      <c r="I4121" s="22" t="s">
        <v>48</v>
      </c>
      <c r="J4121" s="22" t="str">
        <f>""</f>
        <v/>
      </c>
      <c r="K4121" s="22" t="str">
        <f>"PFES1162675537_0001"</f>
        <v>PFES1162675537_0001</v>
      </c>
      <c r="L4121" s="22">
        <v>1</v>
      </c>
      <c r="M4121" s="22">
        <v>1</v>
      </c>
    </row>
    <row r="4122" spans="1:13">
      <c r="A4122" s="6">
        <v>43523</v>
      </c>
      <c r="B4122" s="7">
        <v>0.51944444444444449</v>
      </c>
      <c r="C4122" s="22" t="str">
        <f>"FES1162675536"</f>
        <v>FES1162675536</v>
      </c>
      <c r="D4122" s="22" t="s">
        <v>18</v>
      </c>
      <c r="E4122" s="22" t="s">
        <v>1223</v>
      </c>
      <c r="F4122" s="22" t="str">
        <f>"2170676389 "</f>
        <v xml:space="preserve">2170676389 </v>
      </c>
      <c r="G4122" s="22" t="str">
        <f t="shared" si="116"/>
        <v>ON1</v>
      </c>
      <c r="H4122" s="22" t="s">
        <v>20</v>
      </c>
      <c r="I4122" s="22" t="s">
        <v>133</v>
      </c>
      <c r="J4122" s="22" t="str">
        <f>""</f>
        <v/>
      </c>
      <c r="K4122" s="22" t="str">
        <f>"PFES1162675536_0001"</f>
        <v>PFES1162675536_0001</v>
      </c>
      <c r="L4122" s="22">
        <v>1</v>
      </c>
      <c r="M4122" s="22">
        <v>1</v>
      </c>
    </row>
    <row r="4123" spans="1:13">
      <c r="A4123" s="6">
        <v>43523</v>
      </c>
      <c r="B4123" s="7">
        <v>0.51874999999999993</v>
      </c>
      <c r="C4123" s="22" t="str">
        <f>"FES1162675619"</f>
        <v>FES1162675619</v>
      </c>
      <c r="D4123" s="22" t="s">
        <v>18</v>
      </c>
      <c r="E4123" s="22" t="s">
        <v>120</v>
      </c>
      <c r="F4123" s="22" t="str">
        <f>"2170674688 "</f>
        <v xml:space="preserve">2170674688 </v>
      </c>
      <c r="G4123" s="22" t="str">
        <f t="shared" si="116"/>
        <v>ON1</v>
      </c>
      <c r="H4123" s="22" t="s">
        <v>20</v>
      </c>
      <c r="I4123" s="22" t="s">
        <v>121</v>
      </c>
      <c r="J4123" s="22" t="str">
        <f>""</f>
        <v/>
      </c>
      <c r="K4123" s="22" t="str">
        <f>"PFES1162675619_0001"</f>
        <v>PFES1162675619_0001</v>
      </c>
      <c r="L4123" s="22">
        <v>1</v>
      </c>
      <c r="M4123" s="22">
        <v>1</v>
      </c>
    </row>
    <row r="4124" spans="1:13">
      <c r="A4124" s="6">
        <v>43523</v>
      </c>
      <c r="B4124" s="7">
        <v>0.51874999999999993</v>
      </c>
      <c r="C4124" s="22" t="str">
        <f>"FES1162675684"</f>
        <v>FES1162675684</v>
      </c>
      <c r="D4124" s="22" t="s">
        <v>18</v>
      </c>
      <c r="E4124" s="22" t="s">
        <v>259</v>
      </c>
      <c r="F4124" s="22" t="str">
        <f>"2170674544 "</f>
        <v xml:space="preserve">2170674544 </v>
      </c>
      <c r="G4124" s="22" t="str">
        <f t="shared" si="116"/>
        <v>ON1</v>
      </c>
      <c r="H4124" s="22" t="s">
        <v>20</v>
      </c>
      <c r="I4124" s="22" t="s">
        <v>260</v>
      </c>
      <c r="J4124" s="22" t="str">
        <f>""</f>
        <v/>
      </c>
      <c r="K4124" s="22" t="str">
        <f>"PFES1162675684_0001"</f>
        <v>PFES1162675684_0001</v>
      </c>
      <c r="L4124" s="22">
        <v>1</v>
      </c>
      <c r="M4124" s="22">
        <v>1</v>
      </c>
    </row>
    <row r="4125" spans="1:13">
      <c r="A4125" s="6">
        <v>43523</v>
      </c>
      <c r="B4125" s="7">
        <v>0.51874999999999993</v>
      </c>
      <c r="C4125" s="22" t="str">
        <f>"FES1162675645"</f>
        <v>FES1162675645</v>
      </c>
      <c r="D4125" s="22" t="s">
        <v>18</v>
      </c>
      <c r="E4125" s="22" t="s">
        <v>1224</v>
      </c>
      <c r="F4125" s="22" t="str">
        <f>"2170676457 "</f>
        <v xml:space="preserve">2170676457 </v>
      </c>
      <c r="G4125" s="22" t="str">
        <f t="shared" si="116"/>
        <v>ON1</v>
      </c>
      <c r="H4125" s="22" t="s">
        <v>20</v>
      </c>
      <c r="I4125" s="22" t="s">
        <v>231</v>
      </c>
      <c r="J4125" s="22" t="str">
        <f>""</f>
        <v/>
      </c>
      <c r="K4125" s="22" t="str">
        <f>"PFES1162675645_0001"</f>
        <v>PFES1162675645_0001</v>
      </c>
      <c r="L4125" s="22">
        <v>1</v>
      </c>
      <c r="M4125" s="22">
        <v>1</v>
      </c>
    </row>
    <row r="4126" spans="1:13">
      <c r="A4126" s="6">
        <v>43523</v>
      </c>
      <c r="B4126" s="7">
        <v>0.5180555555555556</v>
      </c>
      <c r="C4126" s="22" t="str">
        <f>"FES1162675669"</f>
        <v>FES1162675669</v>
      </c>
      <c r="D4126" s="22" t="s">
        <v>18</v>
      </c>
      <c r="E4126" s="22" t="s">
        <v>309</v>
      </c>
      <c r="F4126" s="22" t="str">
        <f>"2170674128 "</f>
        <v xml:space="preserve">2170674128 </v>
      </c>
      <c r="G4126" s="22" t="str">
        <f t="shared" si="116"/>
        <v>ON1</v>
      </c>
      <c r="H4126" s="22" t="s">
        <v>20</v>
      </c>
      <c r="I4126" s="22" t="s">
        <v>310</v>
      </c>
      <c r="J4126" s="22" t="str">
        <f>""</f>
        <v/>
      </c>
      <c r="K4126" s="22" t="str">
        <f>"PFES1162675669_0001"</f>
        <v>PFES1162675669_0001</v>
      </c>
      <c r="L4126" s="22">
        <v>1</v>
      </c>
      <c r="M4126" s="22">
        <v>1</v>
      </c>
    </row>
    <row r="4127" spans="1:13">
      <c r="A4127" s="6">
        <v>43523</v>
      </c>
      <c r="B4127" s="7">
        <v>0.5180555555555556</v>
      </c>
      <c r="C4127" s="22" t="str">
        <f>"FES1162675637"</f>
        <v>FES1162675637</v>
      </c>
      <c r="D4127" s="22" t="s">
        <v>18</v>
      </c>
      <c r="E4127" s="22" t="s">
        <v>459</v>
      </c>
      <c r="F4127" s="22" t="str">
        <f>"2170676447 "</f>
        <v xml:space="preserve">2170676447 </v>
      </c>
      <c r="G4127" s="22" t="str">
        <f t="shared" si="116"/>
        <v>ON1</v>
      </c>
      <c r="H4127" s="22" t="s">
        <v>20</v>
      </c>
      <c r="I4127" s="22" t="s">
        <v>37</v>
      </c>
      <c r="J4127" s="22" t="str">
        <f>""</f>
        <v/>
      </c>
      <c r="K4127" s="22" t="str">
        <f>"PFES1162675637_0001"</f>
        <v>PFES1162675637_0001</v>
      </c>
      <c r="L4127" s="22">
        <v>1</v>
      </c>
      <c r="M4127" s="22">
        <v>1</v>
      </c>
    </row>
    <row r="4128" spans="1:13">
      <c r="A4128" s="6">
        <v>43523</v>
      </c>
      <c r="B4128" s="7">
        <v>0.51736111111111105</v>
      </c>
      <c r="C4128" s="22" t="str">
        <f>"FES1162675565"</f>
        <v>FES1162675565</v>
      </c>
      <c r="D4128" s="22" t="s">
        <v>18</v>
      </c>
      <c r="E4128" s="22" t="s">
        <v>129</v>
      </c>
      <c r="F4128" s="22" t="str">
        <f>"2170676248 "</f>
        <v xml:space="preserve">2170676248 </v>
      </c>
      <c r="G4128" s="22" t="str">
        <f t="shared" si="116"/>
        <v>ON1</v>
      </c>
      <c r="H4128" s="22" t="s">
        <v>20</v>
      </c>
      <c r="I4128" s="22" t="s">
        <v>130</v>
      </c>
      <c r="J4128" s="22" t="str">
        <f>""</f>
        <v/>
      </c>
      <c r="K4128" s="22" t="str">
        <f>"PFES1162675565_0001"</f>
        <v>PFES1162675565_0001</v>
      </c>
      <c r="L4128" s="22">
        <v>1</v>
      </c>
      <c r="M4128" s="22">
        <v>1</v>
      </c>
    </row>
    <row r="4129" spans="1:13">
      <c r="A4129" s="6">
        <v>43523</v>
      </c>
      <c r="B4129" s="7">
        <v>0.51736111111111105</v>
      </c>
      <c r="C4129" s="22" t="str">
        <f>"FES1162675573"</f>
        <v>FES1162675573</v>
      </c>
      <c r="D4129" s="22" t="s">
        <v>18</v>
      </c>
      <c r="E4129" s="22" t="s">
        <v>120</v>
      </c>
      <c r="F4129" s="22" t="str">
        <f>"2170676414 "</f>
        <v xml:space="preserve">2170676414 </v>
      </c>
      <c r="G4129" s="22" t="str">
        <f t="shared" si="116"/>
        <v>ON1</v>
      </c>
      <c r="H4129" s="22" t="s">
        <v>20</v>
      </c>
      <c r="I4129" s="22" t="s">
        <v>121</v>
      </c>
      <c r="J4129" s="22" t="str">
        <f>""</f>
        <v/>
      </c>
      <c r="K4129" s="22" t="str">
        <f>"PFES1162675573_0001"</f>
        <v>PFES1162675573_0001</v>
      </c>
      <c r="L4129" s="22">
        <v>1</v>
      </c>
      <c r="M4129" s="22">
        <v>1</v>
      </c>
    </row>
    <row r="4130" spans="1:13">
      <c r="A4130" s="6">
        <v>43523</v>
      </c>
      <c r="B4130" s="7">
        <v>0.51736111111111105</v>
      </c>
      <c r="C4130" s="22" t="str">
        <f>"FES1162675661"</f>
        <v>FES1162675661</v>
      </c>
      <c r="D4130" s="22" t="s">
        <v>18</v>
      </c>
      <c r="E4130" s="22" t="s">
        <v>701</v>
      </c>
      <c r="F4130" s="22" t="str">
        <f>"2170672047 "</f>
        <v xml:space="preserve">2170672047 </v>
      </c>
      <c r="G4130" s="22" t="str">
        <f t="shared" si="116"/>
        <v>ON1</v>
      </c>
      <c r="H4130" s="22" t="s">
        <v>20</v>
      </c>
      <c r="I4130" s="22" t="s">
        <v>213</v>
      </c>
      <c r="J4130" s="22" t="str">
        <f>""</f>
        <v/>
      </c>
      <c r="K4130" s="22" t="str">
        <f>"PFES1162675661_0001"</f>
        <v>PFES1162675661_0001</v>
      </c>
      <c r="L4130" s="22">
        <v>1</v>
      </c>
      <c r="M4130" s="22">
        <v>1</v>
      </c>
    </row>
    <row r="4131" spans="1:13">
      <c r="A4131" s="6">
        <v>43523</v>
      </c>
      <c r="B4131" s="7">
        <v>0.51666666666666672</v>
      </c>
      <c r="C4131" s="22" t="str">
        <f>"FES1162675678"</f>
        <v>FES1162675678</v>
      </c>
      <c r="D4131" s="22" t="s">
        <v>18</v>
      </c>
      <c r="E4131" s="22" t="s">
        <v>195</v>
      </c>
      <c r="F4131" s="22" t="str">
        <f>"2170674463 "</f>
        <v xml:space="preserve">2170674463 </v>
      </c>
      <c r="G4131" s="22" t="str">
        <f t="shared" si="116"/>
        <v>ON1</v>
      </c>
      <c r="H4131" s="22" t="s">
        <v>20</v>
      </c>
      <c r="I4131" s="22" t="s">
        <v>96</v>
      </c>
      <c r="J4131" s="22" t="str">
        <f>""</f>
        <v/>
      </c>
      <c r="K4131" s="22" t="str">
        <f>"PFES1162675678_0001"</f>
        <v>PFES1162675678_0001</v>
      </c>
      <c r="L4131" s="22">
        <v>1</v>
      </c>
      <c r="M4131" s="22">
        <v>1</v>
      </c>
    </row>
    <row r="4132" spans="1:13">
      <c r="A4132" s="6">
        <v>43523</v>
      </c>
      <c r="B4132" s="7">
        <v>0.51666666666666672</v>
      </c>
      <c r="C4132" s="22" t="str">
        <f>"FES1162675688"</f>
        <v>FES1162675688</v>
      </c>
      <c r="D4132" s="22" t="s">
        <v>18</v>
      </c>
      <c r="E4132" s="22" t="s">
        <v>523</v>
      </c>
      <c r="F4132" s="22" t="str">
        <f>"2170674751 "</f>
        <v xml:space="preserve">2170674751 </v>
      </c>
      <c r="G4132" s="22" t="str">
        <f t="shared" si="116"/>
        <v>ON1</v>
      </c>
      <c r="H4132" s="22" t="s">
        <v>20</v>
      </c>
      <c r="I4132" s="22" t="s">
        <v>258</v>
      </c>
      <c r="J4132" s="22" t="str">
        <f>""</f>
        <v/>
      </c>
      <c r="K4132" s="22" t="str">
        <f>"PFES1162675688_0001"</f>
        <v>PFES1162675688_0001</v>
      </c>
      <c r="L4132" s="22">
        <v>1</v>
      </c>
      <c r="M4132" s="22">
        <v>1</v>
      </c>
    </row>
    <row r="4133" spans="1:13">
      <c r="A4133" s="6">
        <v>43523</v>
      </c>
      <c r="B4133" s="7">
        <v>0.51597222222222217</v>
      </c>
      <c r="C4133" s="22" t="str">
        <f>"FES1162675657"</f>
        <v>FES1162675657</v>
      </c>
      <c r="D4133" s="22" t="s">
        <v>18</v>
      </c>
      <c r="E4133" s="22" t="s">
        <v>1225</v>
      </c>
      <c r="F4133" s="22" t="str">
        <f>"2170670813 "</f>
        <v xml:space="preserve">2170670813 </v>
      </c>
      <c r="G4133" s="22" t="str">
        <f t="shared" si="116"/>
        <v>ON1</v>
      </c>
      <c r="H4133" s="22" t="s">
        <v>20</v>
      </c>
      <c r="I4133" s="22" t="s">
        <v>435</v>
      </c>
      <c r="J4133" s="22" t="str">
        <f>""</f>
        <v/>
      </c>
      <c r="K4133" s="22" t="str">
        <f>"PFES1162675657_0001"</f>
        <v>PFES1162675657_0001</v>
      </c>
      <c r="L4133" s="22">
        <v>1</v>
      </c>
      <c r="M4133" s="22">
        <v>1</v>
      </c>
    </row>
    <row r="4134" spans="1:13">
      <c r="A4134" s="6">
        <v>43523</v>
      </c>
      <c r="B4134" s="7">
        <v>0.51597222222222217</v>
      </c>
      <c r="C4134" s="22" t="str">
        <f>"FES1162675554"</f>
        <v>FES1162675554</v>
      </c>
      <c r="D4134" s="22" t="s">
        <v>18</v>
      </c>
      <c r="E4134" s="22" t="s">
        <v>1226</v>
      </c>
      <c r="F4134" s="22" t="str">
        <f>"2170673186 "</f>
        <v xml:space="preserve">2170673186 </v>
      </c>
      <c r="G4134" s="22" t="str">
        <f t="shared" si="116"/>
        <v>ON1</v>
      </c>
      <c r="H4134" s="22" t="s">
        <v>20</v>
      </c>
      <c r="I4134" s="22" t="s">
        <v>184</v>
      </c>
      <c r="J4134" s="22" t="str">
        <f>""</f>
        <v/>
      </c>
      <c r="K4134" s="22" t="str">
        <f>"PFES1162675554_0001"</f>
        <v>PFES1162675554_0001</v>
      </c>
      <c r="L4134" s="22">
        <v>1</v>
      </c>
      <c r="M4134" s="22">
        <v>1</v>
      </c>
    </row>
    <row r="4135" spans="1:13">
      <c r="A4135" s="6">
        <v>43523</v>
      </c>
      <c r="B4135" s="7">
        <v>0.51527777777777783</v>
      </c>
      <c r="C4135" s="22" t="str">
        <f>"FES1162675719"</f>
        <v>FES1162675719</v>
      </c>
      <c r="D4135" s="22" t="s">
        <v>18</v>
      </c>
      <c r="E4135" s="22" t="s">
        <v>711</v>
      </c>
      <c r="F4135" s="22" t="str">
        <f>"2170676477 "</f>
        <v xml:space="preserve">2170676477 </v>
      </c>
      <c r="G4135" s="22" t="str">
        <f t="shared" si="116"/>
        <v>ON1</v>
      </c>
      <c r="H4135" s="22" t="s">
        <v>20</v>
      </c>
      <c r="I4135" s="22" t="s">
        <v>712</v>
      </c>
      <c r="J4135" s="22" t="str">
        <f>""</f>
        <v/>
      </c>
      <c r="K4135" s="22" t="str">
        <f>"PFES1162675719_0001"</f>
        <v>PFES1162675719_0001</v>
      </c>
      <c r="L4135" s="22">
        <v>1</v>
      </c>
      <c r="M4135" s="22">
        <v>1</v>
      </c>
    </row>
    <row r="4136" spans="1:13">
      <c r="A4136" s="6">
        <v>43523</v>
      </c>
      <c r="B4136" s="7">
        <v>0.51458333333333328</v>
      </c>
      <c r="C4136" s="22" t="str">
        <f>"FES1162675362"</f>
        <v>FES1162675362</v>
      </c>
      <c r="D4136" s="22" t="s">
        <v>18</v>
      </c>
      <c r="E4136" s="22" t="s">
        <v>150</v>
      </c>
      <c r="F4136" s="22" t="str">
        <f>"2170673267 "</f>
        <v xml:space="preserve">2170673267 </v>
      </c>
      <c r="G4136" s="22" t="str">
        <f t="shared" si="116"/>
        <v>ON1</v>
      </c>
      <c r="H4136" s="22" t="s">
        <v>20</v>
      </c>
      <c r="I4136" s="22" t="s">
        <v>137</v>
      </c>
      <c r="J4136" s="22" t="str">
        <f>""</f>
        <v/>
      </c>
      <c r="K4136" s="22" t="str">
        <f>"PFES1162675362_0001"</f>
        <v>PFES1162675362_0001</v>
      </c>
      <c r="L4136" s="22">
        <v>1</v>
      </c>
      <c r="M4136" s="22">
        <v>1</v>
      </c>
    </row>
    <row r="4137" spans="1:13">
      <c r="A4137" s="6">
        <v>43523</v>
      </c>
      <c r="B4137" s="7">
        <v>0.51458333333333328</v>
      </c>
      <c r="C4137" s="22" t="str">
        <f>"FES1162675726"</f>
        <v>FES1162675726</v>
      </c>
      <c r="D4137" s="22" t="s">
        <v>18</v>
      </c>
      <c r="E4137" s="22" t="s">
        <v>138</v>
      </c>
      <c r="F4137" s="22" t="str">
        <f>"2170676494 "</f>
        <v xml:space="preserve">2170676494 </v>
      </c>
      <c r="G4137" s="22" t="str">
        <f t="shared" si="116"/>
        <v>ON1</v>
      </c>
      <c r="H4137" s="22" t="s">
        <v>20</v>
      </c>
      <c r="I4137" s="22" t="s">
        <v>139</v>
      </c>
      <c r="J4137" s="22" t="str">
        <f>""</f>
        <v/>
      </c>
      <c r="K4137" s="22" t="str">
        <f>"PFES1162675726_0001"</f>
        <v>PFES1162675726_0001</v>
      </c>
      <c r="L4137" s="22">
        <v>1</v>
      </c>
      <c r="M4137" s="22">
        <v>1</v>
      </c>
    </row>
    <row r="4138" spans="1:13">
      <c r="A4138" s="6">
        <v>43523</v>
      </c>
      <c r="B4138" s="7">
        <v>0.51388888888888895</v>
      </c>
      <c r="C4138" s="22" t="str">
        <f>"FES1162675662"</f>
        <v>FES1162675662</v>
      </c>
      <c r="D4138" s="22" t="s">
        <v>18</v>
      </c>
      <c r="E4138" s="22" t="s">
        <v>259</v>
      </c>
      <c r="F4138" s="22" t="str">
        <f>"2170672464 "</f>
        <v xml:space="preserve">2170672464 </v>
      </c>
      <c r="G4138" s="22" t="str">
        <f t="shared" si="116"/>
        <v>ON1</v>
      </c>
      <c r="H4138" s="22" t="s">
        <v>20</v>
      </c>
      <c r="I4138" s="22" t="s">
        <v>260</v>
      </c>
      <c r="J4138" s="22" t="str">
        <f>""</f>
        <v/>
      </c>
      <c r="K4138" s="22" t="str">
        <f>"PFES1162675662_0001"</f>
        <v>PFES1162675662_0001</v>
      </c>
      <c r="L4138" s="22">
        <v>1</v>
      </c>
      <c r="M4138" s="22">
        <v>1</v>
      </c>
    </row>
    <row r="4139" spans="1:13">
      <c r="A4139" s="6">
        <v>43523</v>
      </c>
      <c r="B4139" s="7">
        <v>0.51388888888888895</v>
      </c>
      <c r="C4139" s="22" t="str">
        <f>"FES1162675618"</f>
        <v>FES1162675618</v>
      </c>
      <c r="D4139" s="22" t="s">
        <v>18</v>
      </c>
      <c r="E4139" s="22" t="s">
        <v>212</v>
      </c>
      <c r="F4139" s="22" t="str">
        <f>"2170674644 "</f>
        <v xml:space="preserve">2170674644 </v>
      </c>
      <c r="G4139" s="22" t="str">
        <f t="shared" si="116"/>
        <v>ON1</v>
      </c>
      <c r="H4139" s="22" t="s">
        <v>20</v>
      </c>
      <c r="I4139" s="22" t="s">
        <v>213</v>
      </c>
      <c r="J4139" s="22" t="str">
        <f>""</f>
        <v/>
      </c>
      <c r="K4139" s="22" t="str">
        <f>"PFES1162675618_0001"</f>
        <v>PFES1162675618_0001</v>
      </c>
      <c r="L4139" s="22">
        <v>1</v>
      </c>
      <c r="M4139" s="22">
        <v>1</v>
      </c>
    </row>
    <row r="4140" spans="1:13">
      <c r="A4140" s="6">
        <v>43523</v>
      </c>
      <c r="B4140" s="7">
        <v>0.5131944444444444</v>
      </c>
      <c r="C4140" s="22" t="str">
        <f>"FES1162675701"</f>
        <v>FES1162675701</v>
      </c>
      <c r="D4140" s="22" t="s">
        <v>18</v>
      </c>
      <c r="E4140" s="22" t="s">
        <v>186</v>
      </c>
      <c r="F4140" s="22" t="str">
        <f>"2170674851 "</f>
        <v xml:space="preserve">2170674851 </v>
      </c>
      <c r="G4140" s="22" t="str">
        <f t="shared" si="116"/>
        <v>ON1</v>
      </c>
      <c r="H4140" s="22" t="s">
        <v>20</v>
      </c>
      <c r="I4140" s="22" t="s">
        <v>48</v>
      </c>
      <c r="J4140" s="22" t="str">
        <f>""</f>
        <v/>
      </c>
      <c r="K4140" s="22" t="str">
        <f>"PFES1162675701_0001"</f>
        <v>PFES1162675701_0001</v>
      </c>
      <c r="L4140" s="22">
        <v>1</v>
      </c>
      <c r="M4140" s="22">
        <v>1</v>
      </c>
    </row>
    <row r="4141" spans="1:13">
      <c r="A4141" s="6">
        <v>43523</v>
      </c>
      <c r="B4141" s="7">
        <v>0.5131944444444444</v>
      </c>
      <c r="C4141" s="22" t="str">
        <f>"FES1162675576"</f>
        <v>FES1162675576</v>
      </c>
      <c r="D4141" s="22" t="s">
        <v>18</v>
      </c>
      <c r="E4141" s="22" t="s">
        <v>991</v>
      </c>
      <c r="F4141" s="22" t="str">
        <f>"2170676422 "</f>
        <v xml:space="preserve">2170676422 </v>
      </c>
      <c r="G4141" s="22" t="str">
        <f t="shared" si="116"/>
        <v>ON1</v>
      </c>
      <c r="H4141" s="22" t="s">
        <v>20</v>
      </c>
      <c r="I4141" s="22" t="s">
        <v>213</v>
      </c>
      <c r="J4141" s="22" t="str">
        <f>""</f>
        <v/>
      </c>
      <c r="K4141" s="22" t="str">
        <f>"PFES1162675576_0001"</f>
        <v>PFES1162675576_0001</v>
      </c>
      <c r="L4141" s="22">
        <v>1</v>
      </c>
      <c r="M4141" s="22">
        <v>1</v>
      </c>
    </row>
    <row r="4142" spans="1:13">
      <c r="A4142" s="6">
        <v>43523</v>
      </c>
      <c r="B4142" s="7">
        <v>0.5131944444444444</v>
      </c>
      <c r="C4142" s="22" t="str">
        <f>"FES1162675620"</f>
        <v>FES1162675620</v>
      </c>
      <c r="D4142" s="22" t="s">
        <v>18</v>
      </c>
      <c r="E4142" s="22" t="s">
        <v>620</v>
      </c>
      <c r="F4142" s="22" t="str">
        <f>"2170674711 "</f>
        <v xml:space="preserve">2170674711 </v>
      </c>
      <c r="G4142" s="22" t="str">
        <f t="shared" si="116"/>
        <v>ON1</v>
      </c>
      <c r="H4142" s="22" t="s">
        <v>20</v>
      </c>
      <c r="I4142" s="22" t="s">
        <v>573</v>
      </c>
      <c r="J4142" s="22" t="str">
        <f>""</f>
        <v/>
      </c>
      <c r="K4142" s="22" t="str">
        <f>"PFES1162675620_0001"</f>
        <v>PFES1162675620_0001</v>
      </c>
      <c r="L4142" s="22">
        <v>1</v>
      </c>
      <c r="M4142" s="22">
        <v>1</v>
      </c>
    </row>
    <row r="4143" spans="1:13">
      <c r="A4143" s="6">
        <v>43523</v>
      </c>
      <c r="B4143" s="7">
        <v>0.51250000000000007</v>
      </c>
      <c r="C4143" s="22" t="str">
        <f>"FES1162675626"</f>
        <v>FES1162675626</v>
      </c>
      <c r="D4143" s="22" t="s">
        <v>18</v>
      </c>
      <c r="E4143" s="22" t="s">
        <v>924</v>
      </c>
      <c r="F4143" s="22" t="str">
        <f>"2170675245 "</f>
        <v xml:space="preserve">2170675245 </v>
      </c>
      <c r="G4143" s="22" t="str">
        <f t="shared" si="116"/>
        <v>ON1</v>
      </c>
      <c r="H4143" s="22" t="s">
        <v>20</v>
      </c>
      <c r="I4143" s="22" t="s">
        <v>441</v>
      </c>
      <c r="J4143" s="22" t="str">
        <f>""</f>
        <v/>
      </c>
      <c r="K4143" s="22" t="str">
        <f>"PFES1162675626_0001"</f>
        <v>PFES1162675626_0001</v>
      </c>
      <c r="L4143" s="22">
        <v>1</v>
      </c>
      <c r="M4143" s="22">
        <v>1</v>
      </c>
    </row>
    <row r="4144" spans="1:13">
      <c r="A4144" s="6">
        <v>43523</v>
      </c>
      <c r="B4144" s="7">
        <v>0.51250000000000007</v>
      </c>
      <c r="C4144" s="22" t="str">
        <f>"FES1162675654"</f>
        <v>FES1162675654</v>
      </c>
      <c r="D4144" s="22" t="s">
        <v>18</v>
      </c>
      <c r="E4144" s="22" t="s">
        <v>19</v>
      </c>
      <c r="F4144" s="22" t="str">
        <f>"2170676461 "</f>
        <v xml:space="preserve">2170676461 </v>
      </c>
      <c r="G4144" s="22" t="str">
        <f t="shared" si="116"/>
        <v>ON1</v>
      </c>
      <c r="H4144" s="22" t="s">
        <v>20</v>
      </c>
      <c r="I4144" s="22" t="s">
        <v>21</v>
      </c>
      <c r="J4144" s="22" t="str">
        <f>""</f>
        <v/>
      </c>
      <c r="K4144" s="22" t="str">
        <f>"PFES1162675654_0001"</f>
        <v>PFES1162675654_0001</v>
      </c>
      <c r="L4144" s="22">
        <v>1</v>
      </c>
      <c r="M4144" s="22">
        <v>1</v>
      </c>
    </row>
    <row r="4145" spans="1:13">
      <c r="A4145" s="6">
        <v>43523</v>
      </c>
      <c r="B4145" s="7">
        <v>0.51250000000000007</v>
      </c>
      <c r="C4145" s="22" t="str">
        <f>"FES1162675695"</f>
        <v>FES1162675695</v>
      </c>
      <c r="D4145" s="22" t="s">
        <v>18</v>
      </c>
      <c r="E4145" s="22" t="s">
        <v>186</v>
      </c>
      <c r="F4145" s="22" t="str">
        <f>"21706764817 "</f>
        <v xml:space="preserve">21706764817 </v>
      </c>
      <c r="G4145" s="22" t="str">
        <f t="shared" si="116"/>
        <v>ON1</v>
      </c>
      <c r="H4145" s="22" t="s">
        <v>20</v>
      </c>
      <c r="I4145" s="22" t="s">
        <v>48</v>
      </c>
      <c r="J4145" s="22" t="str">
        <f>""</f>
        <v/>
      </c>
      <c r="K4145" s="22" t="str">
        <f>"PFES1162675695_0001"</f>
        <v>PFES1162675695_0001</v>
      </c>
      <c r="L4145" s="22">
        <v>1</v>
      </c>
      <c r="M4145" s="22">
        <v>1</v>
      </c>
    </row>
    <row r="4146" spans="1:13">
      <c r="A4146" s="6">
        <v>43523</v>
      </c>
      <c r="B4146" s="7">
        <v>0.51180555555555551</v>
      </c>
      <c r="C4146" s="22" t="str">
        <f>"FES1162675665"</f>
        <v>FES1162675665</v>
      </c>
      <c r="D4146" s="22" t="s">
        <v>18</v>
      </c>
      <c r="E4146" s="22" t="s">
        <v>1072</v>
      </c>
      <c r="F4146" s="22" t="str">
        <f>"2170673730 "</f>
        <v xml:space="preserve">2170673730 </v>
      </c>
      <c r="G4146" s="22" t="str">
        <f t="shared" si="116"/>
        <v>ON1</v>
      </c>
      <c r="H4146" s="22" t="s">
        <v>20</v>
      </c>
      <c r="I4146" s="22" t="s">
        <v>139</v>
      </c>
      <c r="J4146" s="22" t="str">
        <f>""</f>
        <v/>
      </c>
      <c r="K4146" s="22" t="str">
        <f>"PFES1162675665_0001"</f>
        <v>PFES1162675665_0001</v>
      </c>
      <c r="L4146" s="22">
        <v>1</v>
      </c>
      <c r="M4146" s="22">
        <v>1</v>
      </c>
    </row>
    <row r="4147" spans="1:13">
      <c r="A4147" s="6">
        <v>43523</v>
      </c>
      <c r="B4147" s="7">
        <v>0.51180555555555551</v>
      </c>
      <c r="C4147" s="22" t="str">
        <f>"FES1162675696"</f>
        <v>FES1162675696</v>
      </c>
      <c r="D4147" s="22" t="s">
        <v>18</v>
      </c>
      <c r="E4147" s="22" t="s">
        <v>47</v>
      </c>
      <c r="F4147" s="22" t="str">
        <f>"2170674827 "</f>
        <v xml:space="preserve">2170674827 </v>
      </c>
      <c r="G4147" s="22" t="str">
        <f t="shared" si="116"/>
        <v>ON1</v>
      </c>
      <c r="H4147" s="22" t="s">
        <v>20</v>
      </c>
      <c r="I4147" s="22" t="s">
        <v>48</v>
      </c>
      <c r="J4147" s="22" t="str">
        <f>""</f>
        <v/>
      </c>
      <c r="K4147" s="22" t="str">
        <f>"PFES1162675696_0001"</f>
        <v>PFES1162675696_0001</v>
      </c>
      <c r="L4147" s="22">
        <v>1</v>
      </c>
      <c r="M4147" s="22">
        <v>1</v>
      </c>
    </row>
    <row r="4148" spans="1:13">
      <c r="A4148" s="6">
        <v>43523</v>
      </c>
      <c r="B4148" s="7">
        <v>0.51111111111111118</v>
      </c>
      <c r="C4148" s="22" t="str">
        <f>"FES1162675621"</f>
        <v>FES1162675621</v>
      </c>
      <c r="D4148" s="22" t="s">
        <v>18</v>
      </c>
      <c r="E4148" s="22" t="s">
        <v>1155</v>
      </c>
      <c r="F4148" s="22" t="str">
        <f>"2170674725 "</f>
        <v xml:space="preserve">2170674725 </v>
      </c>
      <c r="G4148" s="22" t="str">
        <f t="shared" si="116"/>
        <v>ON1</v>
      </c>
      <c r="H4148" s="22" t="s">
        <v>20</v>
      </c>
      <c r="I4148" s="22" t="s">
        <v>256</v>
      </c>
      <c r="J4148" s="22" t="str">
        <f>""</f>
        <v/>
      </c>
      <c r="K4148" s="22" t="str">
        <f>"PFES1162675621_0001"</f>
        <v>PFES1162675621_0001</v>
      </c>
      <c r="L4148" s="22">
        <v>1</v>
      </c>
      <c r="M4148" s="22">
        <v>1</v>
      </c>
    </row>
    <row r="4149" spans="1:13">
      <c r="A4149" s="6">
        <v>43523</v>
      </c>
      <c r="B4149" s="7">
        <v>0.51111111111111118</v>
      </c>
      <c r="C4149" s="22" t="str">
        <f>"FES1162675548"</f>
        <v>FES1162675548</v>
      </c>
      <c r="D4149" s="22" t="s">
        <v>18</v>
      </c>
      <c r="E4149" s="22" t="s">
        <v>477</v>
      </c>
      <c r="F4149" s="22" t="str">
        <f>"2170676401 "</f>
        <v xml:space="preserve">2170676401 </v>
      </c>
      <c r="G4149" s="22" t="str">
        <f t="shared" si="116"/>
        <v>ON1</v>
      </c>
      <c r="H4149" s="22" t="s">
        <v>20</v>
      </c>
      <c r="I4149" s="22" t="s">
        <v>478</v>
      </c>
      <c r="J4149" s="22" t="str">
        <f>""</f>
        <v/>
      </c>
      <c r="K4149" s="22" t="str">
        <f>"PFES1162675548_0001"</f>
        <v>PFES1162675548_0001</v>
      </c>
      <c r="L4149" s="22">
        <v>1</v>
      </c>
      <c r="M4149" s="22">
        <v>1</v>
      </c>
    </row>
    <row r="4150" spans="1:13">
      <c r="A4150" s="6">
        <v>43523</v>
      </c>
      <c r="B4150" s="7">
        <v>0.51111111111111118</v>
      </c>
      <c r="C4150" s="22" t="str">
        <f>"FES1162675706"</f>
        <v>FES1162675706</v>
      </c>
      <c r="D4150" s="22" t="s">
        <v>18</v>
      </c>
      <c r="E4150" s="22" t="s">
        <v>19</v>
      </c>
      <c r="F4150" s="22" t="str">
        <f>"2170674951 "</f>
        <v xml:space="preserve">2170674951 </v>
      </c>
      <c r="G4150" s="22" t="str">
        <f t="shared" si="116"/>
        <v>ON1</v>
      </c>
      <c r="H4150" s="22" t="s">
        <v>20</v>
      </c>
      <c r="I4150" s="22" t="s">
        <v>21</v>
      </c>
      <c r="J4150" s="22" t="str">
        <f>""</f>
        <v/>
      </c>
      <c r="K4150" s="22" t="str">
        <f>"PFES1162675706_0001"</f>
        <v>PFES1162675706_0001</v>
      </c>
      <c r="L4150" s="22">
        <v>1</v>
      </c>
      <c r="M4150" s="22">
        <v>1</v>
      </c>
    </row>
    <row r="4151" spans="1:13">
      <c r="A4151" s="6">
        <v>43523</v>
      </c>
      <c r="B4151" s="7">
        <v>0.51041666666666663</v>
      </c>
      <c r="C4151" s="22" t="str">
        <f>"FES1162675617"</f>
        <v>FES1162675617</v>
      </c>
      <c r="D4151" s="22" t="s">
        <v>18</v>
      </c>
      <c r="E4151" s="22" t="s">
        <v>214</v>
      </c>
      <c r="F4151" s="22" t="str">
        <f>"21706745554 "</f>
        <v xml:space="preserve">21706745554 </v>
      </c>
      <c r="G4151" s="22" t="str">
        <f t="shared" si="116"/>
        <v>ON1</v>
      </c>
      <c r="H4151" s="22" t="s">
        <v>20</v>
      </c>
      <c r="I4151" s="22" t="s">
        <v>215</v>
      </c>
      <c r="J4151" s="22" t="str">
        <f>""</f>
        <v/>
      </c>
      <c r="K4151" s="22" t="str">
        <f>"PFES1162675617_0001"</f>
        <v>PFES1162675617_0001</v>
      </c>
      <c r="L4151" s="22">
        <v>1</v>
      </c>
      <c r="M4151" s="22">
        <v>1</v>
      </c>
    </row>
    <row r="4152" spans="1:13">
      <c r="A4152" s="6">
        <v>43523</v>
      </c>
      <c r="B4152" s="7">
        <v>0.51041666666666663</v>
      </c>
      <c r="C4152" s="22" t="str">
        <f>"FES1162675648"</f>
        <v>FES1162675648</v>
      </c>
      <c r="D4152" s="22" t="s">
        <v>18</v>
      </c>
      <c r="E4152" s="22" t="s">
        <v>1227</v>
      </c>
      <c r="F4152" s="22" t="str">
        <f>"2170676209 "</f>
        <v xml:space="preserve">2170676209 </v>
      </c>
      <c r="G4152" s="22" t="str">
        <f t="shared" si="116"/>
        <v>ON1</v>
      </c>
      <c r="H4152" s="22" t="s">
        <v>20</v>
      </c>
      <c r="I4152" s="22" t="s">
        <v>1228</v>
      </c>
      <c r="J4152" s="22" t="str">
        <f>""</f>
        <v/>
      </c>
      <c r="K4152" s="22" t="str">
        <f>"PFES1162675648_0001"</f>
        <v>PFES1162675648_0001</v>
      </c>
      <c r="L4152" s="22">
        <v>1</v>
      </c>
      <c r="M4152" s="22">
        <v>1</v>
      </c>
    </row>
    <row r="4153" spans="1:13">
      <c r="A4153" s="6">
        <v>43523</v>
      </c>
      <c r="B4153" s="7">
        <v>0.50902777777777775</v>
      </c>
      <c r="C4153" s="22" t="str">
        <f>"FES1162675729"</f>
        <v>FES1162675729</v>
      </c>
      <c r="D4153" s="22" t="s">
        <v>18</v>
      </c>
      <c r="E4153" s="22" t="s">
        <v>131</v>
      </c>
      <c r="F4153" s="22" t="str">
        <f>"2170676499 "</f>
        <v xml:space="preserve">2170676499 </v>
      </c>
      <c r="G4153" s="22" t="str">
        <f t="shared" si="116"/>
        <v>ON1</v>
      </c>
      <c r="H4153" s="22" t="s">
        <v>20</v>
      </c>
      <c r="I4153" s="22" t="s">
        <v>121</v>
      </c>
      <c r="J4153" s="22" t="str">
        <f>""</f>
        <v/>
      </c>
      <c r="K4153" s="22" t="str">
        <f>"PFES1162675729_0001"</f>
        <v>PFES1162675729_0001</v>
      </c>
      <c r="L4153" s="22">
        <v>1</v>
      </c>
      <c r="M4153" s="22">
        <v>1</v>
      </c>
    </row>
    <row r="4154" spans="1:13">
      <c r="A4154" s="6">
        <v>43523</v>
      </c>
      <c r="B4154" s="7">
        <v>0.41944444444444445</v>
      </c>
      <c r="C4154" s="22" t="str">
        <f>"009935723023"</f>
        <v>009935723023</v>
      </c>
      <c r="D4154" s="22" t="s">
        <v>18</v>
      </c>
      <c r="E4154" s="22" t="s">
        <v>1229</v>
      </c>
      <c r="F4154" s="22" t="str">
        <f>"1162675035 "</f>
        <v xml:space="preserve">1162675035 </v>
      </c>
      <c r="G4154" s="22" t="str">
        <f t="shared" si="116"/>
        <v>ON1</v>
      </c>
      <c r="H4154" s="22" t="s">
        <v>20</v>
      </c>
      <c r="I4154" s="22" t="s">
        <v>226</v>
      </c>
      <c r="J4154" s="22" t="str">
        <f>"RESEND  MISROUTED PARCEL"</f>
        <v>RESEND  MISROUTED PARCEL</v>
      </c>
      <c r="K4154" s="22" t="str">
        <f>"P009935723023_0001"</f>
        <v>P009935723023_0001</v>
      </c>
      <c r="L4154" s="22">
        <v>1</v>
      </c>
      <c r="M4154" s="22">
        <v>2</v>
      </c>
    </row>
    <row r="4155" spans="1:13">
      <c r="A4155" s="6">
        <v>43524</v>
      </c>
      <c r="B4155" s="7">
        <v>0.69166666666666676</v>
      </c>
      <c r="C4155" s="23" t="str">
        <f>"FES1162676058"</f>
        <v>FES1162676058</v>
      </c>
      <c r="D4155" s="23" t="s">
        <v>18</v>
      </c>
      <c r="E4155" s="23" t="s">
        <v>646</v>
      </c>
      <c r="F4155" s="23" t="str">
        <f>"217067494 "</f>
        <v xml:space="preserve">217067494 </v>
      </c>
      <c r="G4155" s="23" t="str">
        <f t="shared" si="116"/>
        <v>ON1</v>
      </c>
      <c r="H4155" s="23" t="s">
        <v>20</v>
      </c>
      <c r="I4155" s="23" t="s">
        <v>158</v>
      </c>
      <c r="J4155" s="23" t="str">
        <f>""</f>
        <v/>
      </c>
      <c r="K4155" s="23" t="str">
        <f>"PFES1162676058_0001"</f>
        <v>PFES1162676058_0001</v>
      </c>
      <c r="L4155" s="23">
        <v>1</v>
      </c>
      <c r="M4155" s="23">
        <v>5</v>
      </c>
    </row>
    <row r="4156" spans="1:13">
      <c r="A4156" s="6">
        <v>43524</v>
      </c>
      <c r="B4156" s="7">
        <v>0.69097222222222221</v>
      </c>
      <c r="C4156" s="23" t="str">
        <f>"FES1162676066"</f>
        <v>FES1162676066</v>
      </c>
      <c r="D4156" s="23" t="s">
        <v>18</v>
      </c>
      <c r="E4156" s="23" t="s">
        <v>521</v>
      </c>
      <c r="F4156" s="23" t="str">
        <f>"2170676513 "</f>
        <v xml:space="preserve">2170676513 </v>
      </c>
      <c r="G4156" s="23" t="str">
        <f t="shared" si="116"/>
        <v>ON1</v>
      </c>
      <c r="H4156" s="23" t="s">
        <v>20</v>
      </c>
      <c r="I4156" s="23" t="s">
        <v>445</v>
      </c>
      <c r="J4156" s="23" t="str">
        <f>""</f>
        <v/>
      </c>
      <c r="K4156" s="23" t="str">
        <f>"PFES1162676066_0001"</f>
        <v>PFES1162676066_0001</v>
      </c>
      <c r="L4156" s="23">
        <v>1</v>
      </c>
      <c r="M4156" s="23">
        <v>8</v>
      </c>
    </row>
    <row r="4157" spans="1:13">
      <c r="A4157" s="6">
        <v>43524</v>
      </c>
      <c r="B4157" s="7">
        <v>0.69097222222222221</v>
      </c>
      <c r="C4157" s="23" t="str">
        <f>"FES1162676065"</f>
        <v>FES1162676065</v>
      </c>
      <c r="D4157" s="23" t="s">
        <v>18</v>
      </c>
      <c r="E4157" s="23" t="s">
        <v>243</v>
      </c>
      <c r="F4157" s="23" t="str">
        <f>"2170676508 "</f>
        <v xml:space="preserve">2170676508 </v>
      </c>
      <c r="G4157" s="23" t="str">
        <f t="shared" si="116"/>
        <v>ON1</v>
      </c>
      <c r="H4157" s="23" t="s">
        <v>20</v>
      </c>
      <c r="I4157" s="23" t="s">
        <v>244</v>
      </c>
      <c r="J4157" s="23" t="str">
        <f>""</f>
        <v/>
      </c>
      <c r="K4157" s="23" t="str">
        <f>"PFES1162676065_0001"</f>
        <v>PFES1162676065_0001</v>
      </c>
      <c r="L4157" s="23">
        <v>1</v>
      </c>
      <c r="M4157" s="23">
        <v>2</v>
      </c>
    </row>
    <row r="4158" spans="1:13">
      <c r="A4158" s="6">
        <v>43524</v>
      </c>
      <c r="B4158" s="7">
        <v>0.69027777777777777</v>
      </c>
      <c r="C4158" s="23" t="str">
        <f>"FES1162676069"</f>
        <v>FES1162676069</v>
      </c>
      <c r="D4158" s="23" t="s">
        <v>18</v>
      </c>
      <c r="E4158" s="23" t="s">
        <v>1230</v>
      </c>
      <c r="F4158" s="23" t="str">
        <f>"2170676857 "</f>
        <v xml:space="preserve">2170676857 </v>
      </c>
      <c r="G4158" s="23" t="str">
        <f t="shared" si="116"/>
        <v>ON1</v>
      </c>
      <c r="H4158" s="23" t="s">
        <v>20</v>
      </c>
      <c r="I4158" s="23" t="s">
        <v>1231</v>
      </c>
      <c r="J4158" s="23" t="str">
        <f>""</f>
        <v/>
      </c>
      <c r="K4158" s="23" t="str">
        <f>"PFES1162676069_0001"</f>
        <v>PFES1162676069_0001</v>
      </c>
      <c r="L4158" s="23">
        <v>1</v>
      </c>
      <c r="M4158" s="23">
        <v>4</v>
      </c>
    </row>
    <row r="4159" spans="1:13">
      <c r="A4159" s="6">
        <v>43524</v>
      </c>
      <c r="B4159" s="7">
        <v>0.69027777777777777</v>
      </c>
      <c r="C4159" s="23" t="str">
        <f>"FES1162676071"</f>
        <v>FES1162676071</v>
      </c>
      <c r="D4159" s="23" t="s">
        <v>18</v>
      </c>
      <c r="E4159" s="23" t="s">
        <v>1141</v>
      </c>
      <c r="F4159" s="23" t="str">
        <f>"2170676864 "</f>
        <v xml:space="preserve">2170676864 </v>
      </c>
      <c r="G4159" s="23" t="str">
        <f t="shared" si="116"/>
        <v>ON1</v>
      </c>
      <c r="H4159" s="23" t="s">
        <v>20</v>
      </c>
      <c r="I4159" s="23" t="s">
        <v>137</v>
      </c>
      <c r="J4159" s="23" t="str">
        <f>""</f>
        <v/>
      </c>
      <c r="K4159" s="23" t="str">
        <f>"PFES1162676071_0001"</f>
        <v>PFES1162676071_0001</v>
      </c>
      <c r="L4159" s="23">
        <v>1</v>
      </c>
      <c r="M4159" s="23">
        <v>7</v>
      </c>
    </row>
    <row r="4160" spans="1:13">
      <c r="A4160" s="6">
        <v>43524</v>
      </c>
      <c r="B4160" s="7">
        <v>0.69027777777777777</v>
      </c>
      <c r="C4160" s="23" t="str">
        <f>"FES1162676073"</f>
        <v>FES1162676073</v>
      </c>
      <c r="D4160" s="23" t="s">
        <v>18</v>
      </c>
      <c r="E4160" s="23" t="s">
        <v>779</v>
      </c>
      <c r="F4160" s="23" t="str">
        <f>"2170676871 "</f>
        <v xml:space="preserve">2170676871 </v>
      </c>
      <c r="G4160" s="23" t="str">
        <f t="shared" si="116"/>
        <v>ON1</v>
      </c>
      <c r="H4160" s="23" t="s">
        <v>20</v>
      </c>
      <c r="I4160" s="23" t="s">
        <v>635</v>
      </c>
      <c r="J4160" s="23" t="str">
        <f>""</f>
        <v/>
      </c>
      <c r="K4160" s="23" t="str">
        <f>"PFES1162676073_0001"</f>
        <v>PFES1162676073_0001</v>
      </c>
      <c r="L4160" s="23">
        <v>1</v>
      </c>
      <c r="M4160" s="23">
        <v>1</v>
      </c>
    </row>
    <row r="4161" spans="1:13">
      <c r="A4161" s="6">
        <v>43524</v>
      </c>
      <c r="B4161" s="7">
        <v>0.68958333333333333</v>
      </c>
      <c r="C4161" s="23" t="str">
        <f>"FES1162676068"</f>
        <v>FES1162676068</v>
      </c>
      <c r="D4161" s="23" t="s">
        <v>18</v>
      </c>
      <c r="E4161" s="23" t="s">
        <v>30</v>
      </c>
      <c r="F4161" s="23" t="str">
        <f>"2170676749 "</f>
        <v xml:space="preserve">2170676749 </v>
      </c>
      <c r="G4161" s="23" t="str">
        <f t="shared" si="116"/>
        <v>ON1</v>
      </c>
      <c r="H4161" s="23" t="s">
        <v>20</v>
      </c>
      <c r="I4161" s="23" t="s">
        <v>31</v>
      </c>
      <c r="J4161" s="23" t="str">
        <f>""</f>
        <v/>
      </c>
      <c r="K4161" s="23" t="str">
        <f>"PFES1162676068_0001"</f>
        <v>PFES1162676068_0001</v>
      </c>
      <c r="L4161" s="23">
        <v>1</v>
      </c>
      <c r="M4161" s="23">
        <v>4</v>
      </c>
    </row>
    <row r="4162" spans="1:13">
      <c r="A4162" s="6">
        <v>43524</v>
      </c>
      <c r="B4162" s="7">
        <v>0.68958333333333333</v>
      </c>
      <c r="C4162" s="23" t="str">
        <f>"FES1162676072"</f>
        <v>FES1162676072</v>
      </c>
      <c r="D4162" s="23" t="s">
        <v>18</v>
      </c>
      <c r="E4162" s="23" t="s">
        <v>132</v>
      </c>
      <c r="F4162" s="23" t="str">
        <f>"2170676870 "</f>
        <v xml:space="preserve">2170676870 </v>
      </c>
      <c r="G4162" s="23" t="str">
        <f t="shared" si="116"/>
        <v>ON1</v>
      </c>
      <c r="H4162" s="23" t="s">
        <v>20</v>
      </c>
      <c r="I4162" s="23" t="s">
        <v>133</v>
      </c>
      <c r="J4162" s="23" t="str">
        <f>""</f>
        <v/>
      </c>
      <c r="K4162" s="23" t="str">
        <f>"PFES1162676072_0001"</f>
        <v>PFES1162676072_0001</v>
      </c>
      <c r="L4162" s="23">
        <v>1</v>
      </c>
      <c r="M4162" s="23">
        <v>1</v>
      </c>
    </row>
    <row r="4163" spans="1:13">
      <c r="A4163" s="6">
        <v>43524</v>
      </c>
      <c r="B4163" s="7">
        <v>0.67708333333333337</v>
      </c>
      <c r="C4163" s="23" t="str">
        <f>"FES1162676060"</f>
        <v>FES1162676060</v>
      </c>
      <c r="D4163" s="23" t="s">
        <v>18</v>
      </c>
      <c r="E4163" s="23" t="s">
        <v>42</v>
      </c>
      <c r="F4163" s="23" t="str">
        <f>"2170676540 "</f>
        <v xml:space="preserve">2170676540 </v>
      </c>
      <c r="G4163" s="23" t="str">
        <f t="shared" si="116"/>
        <v>ON1</v>
      </c>
      <c r="H4163" s="23" t="s">
        <v>20</v>
      </c>
      <c r="I4163" s="23" t="s">
        <v>43</v>
      </c>
      <c r="J4163" s="23" t="str">
        <f>""</f>
        <v/>
      </c>
      <c r="K4163" s="23" t="str">
        <f>"PFES1162676060_0001"</f>
        <v>PFES1162676060_0001</v>
      </c>
      <c r="L4163" s="23">
        <v>2</v>
      </c>
      <c r="M4163" s="23">
        <v>7</v>
      </c>
    </row>
    <row r="4164" spans="1:13">
      <c r="A4164" s="6">
        <v>43496</v>
      </c>
      <c r="B4164" s="7">
        <v>0.68194444444444446</v>
      </c>
      <c r="C4164" s="23" t="str">
        <f>"FES1162676060"</f>
        <v>FES1162676060</v>
      </c>
      <c r="D4164" s="23" t="s">
        <v>18</v>
      </c>
      <c r="E4164" s="23" t="s">
        <v>521</v>
      </c>
      <c r="F4164" s="23" t="str">
        <f>"2170672045 "</f>
        <v xml:space="preserve">2170672045 </v>
      </c>
      <c r="G4164" s="23" t="str">
        <f t="shared" si="116"/>
        <v>ON1</v>
      </c>
      <c r="H4164" s="23" t="s">
        <v>20</v>
      </c>
      <c r="I4164" s="23" t="s">
        <v>445</v>
      </c>
      <c r="J4164" s="23" t="str">
        <f>""</f>
        <v/>
      </c>
      <c r="K4164" s="23" t="str">
        <f>"PFES1162676060_0002"</f>
        <v>PFES1162676060_0002</v>
      </c>
      <c r="L4164" s="23">
        <v>1</v>
      </c>
      <c r="M4164" s="23">
        <v>5</v>
      </c>
    </row>
    <row r="4165" spans="1:13">
      <c r="A4165" s="6">
        <v>43524</v>
      </c>
      <c r="B4165" s="7">
        <v>0.67638888888888893</v>
      </c>
      <c r="C4165" s="23" t="str">
        <f>"FES1162675932"</f>
        <v>FES1162675932</v>
      </c>
      <c r="D4165" s="23" t="s">
        <v>18</v>
      </c>
      <c r="E4165" s="23" t="s">
        <v>1185</v>
      </c>
      <c r="F4165" s="23" t="str">
        <f>"2170671261 "</f>
        <v xml:space="preserve">2170671261 </v>
      </c>
      <c r="G4165" s="23" t="str">
        <f t="shared" si="116"/>
        <v>ON1</v>
      </c>
      <c r="H4165" s="23" t="s">
        <v>20</v>
      </c>
      <c r="I4165" s="23" t="s">
        <v>433</v>
      </c>
      <c r="J4165" s="23" t="str">
        <f>""</f>
        <v/>
      </c>
      <c r="K4165" s="23" t="str">
        <f>"PFES1162675932_0001"</f>
        <v>PFES1162675932_0001</v>
      </c>
      <c r="L4165" s="23">
        <v>1</v>
      </c>
      <c r="M4165" s="23">
        <v>6</v>
      </c>
    </row>
    <row r="4166" spans="1:13">
      <c r="A4166" s="6">
        <v>43524</v>
      </c>
      <c r="B4166" s="7">
        <v>0.67499999999999993</v>
      </c>
      <c r="C4166" s="23" t="str">
        <f>"FES1162675931"</f>
        <v>FES1162675931</v>
      </c>
      <c r="D4166" s="23" t="s">
        <v>18</v>
      </c>
      <c r="E4166" s="23" t="s">
        <v>168</v>
      </c>
      <c r="F4166" s="23" t="str">
        <f>"2170671931 "</f>
        <v xml:space="preserve">2170671931 </v>
      </c>
      <c r="G4166" s="23" t="str">
        <f t="shared" si="116"/>
        <v>ON1</v>
      </c>
      <c r="H4166" s="23" t="s">
        <v>20</v>
      </c>
      <c r="I4166" s="23" t="s">
        <v>63</v>
      </c>
      <c r="J4166" s="23" t="str">
        <f>""</f>
        <v/>
      </c>
      <c r="K4166" s="23" t="str">
        <f>"PFES1162675931_0001"</f>
        <v>PFES1162675931_0001</v>
      </c>
      <c r="L4166" s="23">
        <v>1</v>
      </c>
      <c r="M4166" s="23">
        <v>3</v>
      </c>
    </row>
    <row r="4167" spans="1:13">
      <c r="A4167" s="6">
        <v>43524</v>
      </c>
      <c r="B4167" s="7">
        <v>0.67361111111111116</v>
      </c>
      <c r="C4167" s="23" t="str">
        <f>"FES1162676062"</f>
        <v>FES1162676062</v>
      </c>
      <c r="D4167" s="23" t="s">
        <v>18</v>
      </c>
      <c r="E4167" s="23" t="s">
        <v>1232</v>
      </c>
      <c r="F4167" s="23" t="str">
        <f>"2170676854 "</f>
        <v xml:space="preserve">2170676854 </v>
      </c>
      <c r="G4167" s="23" t="str">
        <f t="shared" si="116"/>
        <v>ON1</v>
      </c>
      <c r="H4167" s="23" t="s">
        <v>20</v>
      </c>
      <c r="I4167" s="23" t="s">
        <v>53</v>
      </c>
      <c r="J4167" s="23" t="str">
        <f>""</f>
        <v/>
      </c>
      <c r="K4167" s="23" t="str">
        <f>"PFES1162676062_0001"</f>
        <v>PFES1162676062_0001</v>
      </c>
      <c r="L4167" s="23">
        <v>1</v>
      </c>
      <c r="M4167" s="23">
        <v>6</v>
      </c>
    </row>
    <row r="4168" spans="1:13">
      <c r="A4168" s="6">
        <v>43524</v>
      </c>
      <c r="B4168" s="7">
        <v>0.67291666666666661</v>
      </c>
      <c r="C4168" s="23" t="str">
        <f>"FES1162676067"</f>
        <v>FES1162676067</v>
      </c>
      <c r="D4168" s="23" t="s">
        <v>18</v>
      </c>
      <c r="E4168" s="23" t="s">
        <v>129</v>
      </c>
      <c r="F4168" s="23" t="str">
        <f>"2170676856 "</f>
        <v xml:space="preserve">2170676856 </v>
      </c>
      <c r="G4168" s="23" t="str">
        <f t="shared" si="116"/>
        <v>ON1</v>
      </c>
      <c r="H4168" s="23" t="s">
        <v>20</v>
      </c>
      <c r="I4168" s="23" t="s">
        <v>130</v>
      </c>
      <c r="J4168" s="23" t="str">
        <f>""</f>
        <v/>
      </c>
      <c r="K4168" s="23" t="str">
        <f>"PFES1162676067_0001"</f>
        <v>PFES1162676067_0001</v>
      </c>
      <c r="L4168" s="23">
        <v>1</v>
      </c>
      <c r="M4168" s="23">
        <v>1</v>
      </c>
    </row>
    <row r="4169" spans="1:13">
      <c r="A4169" s="6">
        <v>43524</v>
      </c>
      <c r="B4169" s="7">
        <v>0.67291666666666661</v>
      </c>
      <c r="C4169" s="23" t="str">
        <f>"FES1162676059"</f>
        <v>FES1162676059</v>
      </c>
      <c r="D4169" s="23" t="s">
        <v>18</v>
      </c>
      <c r="E4169" s="23" t="s">
        <v>1233</v>
      </c>
      <c r="F4169" s="23" t="str">
        <f>"21706758077 "</f>
        <v xml:space="preserve">21706758077 </v>
      </c>
      <c r="G4169" s="23" t="str">
        <f t="shared" si="116"/>
        <v>ON1</v>
      </c>
      <c r="H4169" s="23" t="s">
        <v>20</v>
      </c>
      <c r="I4169" s="23" t="s">
        <v>958</v>
      </c>
      <c r="J4169" s="23" t="str">
        <f>""</f>
        <v/>
      </c>
      <c r="K4169" s="23" t="str">
        <f>"PFES1162676059_0001"</f>
        <v>PFES1162676059_0001</v>
      </c>
      <c r="L4169" s="23">
        <v>1</v>
      </c>
      <c r="M4169" s="23">
        <v>1</v>
      </c>
    </row>
    <row r="4170" spans="1:13">
      <c r="A4170" s="6">
        <v>43524</v>
      </c>
      <c r="B4170" s="7">
        <v>0.67222222222222217</v>
      </c>
      <c r="C4170" s="23" t="str">
        <f>"FES1162676064"</f>
        <v>FES1162676064</v>
      </c>
      <c r="D4170" s="23" t="s">
        <v>18</v>
      </c>
      <c r="E4170" s="23" t="s">
        <v>556</v>
      </c>
      <c r="F4170" s="23" t="str">
        <f>"2170676364 "</f>
        <v xml:space="preserve">2170676364 </v>
      </c>
      <c r="G4170" s="23" t="str">
        <f t="shared" ref="G4170:G4233" si="117">"ON1"</f>
        <v>ON1</v>
      </c>
      <c r="H4170" s="23" t="s">
        <v>20</v>
      </c>
      <c r="I4170" s="23" t="s">
        <v>435</v>
      </c>
      <c r="J4170" s="23" t="str">
        <f>""</f>
        <v/>
      </c>
      <c r="K4170" s="23" t="str">
        <f>"PFES1162676064_0001"</f>
        <v>PFES1162676064_0001</v>
      </c>
      <c r="L4170" s="23">
        <v>1</v>
      </c>
      <c r="M4170" s="23">
        <v>1</v>
      </c>
    </row>
    <row r="4171" spans="1:13">
      <c r="A4171" s="6">
        <v>43524</v>
      </c>
      <c r="B4171" s="7">
        <v>0.67222222222222217</v>
      </c>
      <c r="C4171" s="23" t="str">
        <f>"FES1162676048"</f>
        <v>FES1162676048</v>
      </c>
      <c r="D4171" s="23" t="s">
        <v>18</v>
      </c>
      <c r="E4171" s="23" t="s">
        <v>245</v>
      </c>
      <c r="F4171" s="23" t="str">
        <f>"2170676843 "</f>
        <v xml:space="preserve">2170676843 </v>
      </c>
      <c r="G4171" s="23" t="str">
        <f t="shared" si="117"/>
        <v>ON1</v>
      </c>
      <c r="H4171" s="23" t="s">
        <v>20</v>
      </c>
      <c r="I4171" s="23" t="s">
        <v>89</v>
      </c>
      <c r="J4171" s="23" t="str">
        <f>""</f>
        <v/>
      </c>
      <c r="K4171" s="23" t="str">
        <f>"PFES1162676048_0001"</f>
        <v>PFES1162676048_0001</v>
      </c>
      <c r="L4171" s="23">
        <v>1</v>
      </c>
      <c r="M4171" s="23">
        <v>4</v>
      </c>
    </row>
    <row r="4172" spans="1:13">
      <c r="A4172" s="6">
        <v>43524</v>
      </c>
      <c r="B4172" s="7">
        <v>0.67222222222222217</v>
      </c>
      <c r="C4172" s="23" t="str">
        <f>"FES1162676056"</f>
        <v>FES1162676056</v>
      </c>
      <c r="D4172" s="23" t="s">
        <v>18</v>
      </c>
      <c r="E4172" s="23" t="s">
        <v>88</v>
      </c>
      <c r="F4172" s="23" t="str">
        <f>"2170676849 "</f>
        <v xml:space="preserve">2170676849 </v>
      </c>
      <c r="G4172" s="23" t="str">
        <f t="shared" si="117"/>
        <v>ON1</v>
      </c>
      <c r="H4172" s="23" t="s">
        <v>20</v>
      </c>
      <c r="I4172" s="23" t="s">
        <v>53</v>
      </c>
      <c r="J4172" s="23" t="str">
        <f>""</f>
        <v/>
      </c>
      <c r="K4172" s="23" t="str">
        <f>"PFES1162676056_0001"</f>
        <v>PFES1162676056_0001</v>
      </c>
      <c r="L4172" s="23">
        <v>1</v>
      </c>
      <c r="M4172" s="23">
        <v>1</v>
      </c>
    </row>
    <row r="4173" spans="1:13">
      <c r="A4173" s="6">
        <v>43524</v>
      </c>
      <c r="B4173" s="7">
        <v>0.67222222222222217</v>
      </c>
      <c r="C4173" s="23" t="str">
        <f>"FES1162676046"</f>
        <v>FES1162676046</v>
      </c>
      <c r="D4173" s="23" t="s">
        <v>18</v>
      </c>
      <c r="E4173" s="23" t="s">
        <v>178</v>
      </c>
      <c r="F4173" s="23" t="str">
        <f>"2170676838 "</f>
        <v xml:space="preserve">2170676838 </v>
      </c>
      <c r="G4173" s="23" t="str">
        <f t="shared" si="117"/>
        <v>ON1</v>
      </c>
      <c r="H4173" s="23" t="s">
        <v>20</v>
      </c>
      <c r="I4173" s="23" t="s">
        <v>390</v>
      </c>
      <c r="J4173" s="23" t="str">
        <f>""</f>
        <v/>
      </c>
      <c r="K4173" s="23" t="str">
        <f>"PFES1162676046_0001"</f>
        <v>PFES1162676046_0001</v>
      </c>
      <c r="L4173" s="23">
        <v>1</v>
      </c>
      <c r="M4173" s="23">
        <v>1</v>
      </c>
    </row>
    <row r="4174" spans="1:13">
      <c r="A4174" s="6">
        <v>43524</v>
      </c>
      <c r="B4174" s="7">
        <v>0.67152777777777783</v>
      </c>
      <c r="C4174" s="23" t="str">
        <f>"FES1162676054"</f>
        <v>FES1162676054</v>
      </c>
      <c r="D4174" s="23" t="s">
        <v>18</v>
      </c>
      <c r="E4174" s="23" t="s">
        <v>462</v>
      </c>
      <c r="F4174" s="23" t="str">
        <f>"2170676845 "</f>
        <v xml:space="preserve">2170676845 </v>
      </c>
      <c r="G4174" s="23" t="str">
        <f t="shared" si="117"/>
        <v>ON1</v>
      </c>
      <c r="H4174" s="23" t="s">
        <v>20</v>
      </c>
      <c r="I4174" s="23" t="s">
        <v>463</v>
      </c>
      <c r="J4174" s="23" t="str">
        <f>""</f>
        <v/>
      </c>
      <c r="K4174" s="23" t="str">
        <f>"PFES1162676054_0001"</f>
        <v>PFES1162676054_0001</v>
      </c>
      <c r="L4174" s="23">
        <v>1</v>
      </c>
      <c r="M4174" s="23">
        <v>1</v>
      </c>
    </row>
    <row r="4175" spans="1:13">
      <c r="A4175" s="6">
        <v>43524</v>
      </c>
      <c r="B4175" s="7">
        <v>0.67152777777777783</v>
      </c>
      <c r="C4175" s="23" t="str">
        <f>"FES1162676044"</f>
        <v>FES1162676044</v>
      </c>
      <c r="D4175" s="23" t="s">
        <v>18</v>
      </c>
      <c r="E4175" s="23" t="s">
        <v>537</v>
      </c>
      <c r="F4175" s="23" t="str">
        <f>"2170676836 "</f>
        <v xml:space="preserve">2170676836 </v>
      </c>
      <c r="G4175" s="23" t="str">
        <f t="shared" si="117"/>
        <v>ON1</v>
      </c>
      <c r="H4175" s="23" t="s">
        <v>20</v>
      </c>
      <c r="I4175" s="23" t="s">
        <v>93</v>
      </c>
      <c r="J4175" s="23" t="str">
        <f>""</f>
        <v/>
      </c>
      <c r="K4175" s="23" t="str">
        <f>"PFES1162676044_0001"</f>
        <v>PFES1162676044_0001</v>
      </c>
      <c r="L4175" s="23">
        <v>1</v>
      </c>
      <c r="M4175" s="23">
        <v>2</v>
      </c>
    </row>
    <row r="4176" spans="1:13">
      <c r="A4176" s="6">
        <v>43524</v>
      </c>
      <c r="B4176" s="7">
        <v>0.67152777777777783</v>
      </c>
      <c r="C4176" s="23" t="str">
        <f>"FES1162676040"</f>
        <v>FES1162676040</v>
      </c>
      <c r="D4176" s="23" t="s">
        <v>18</v>
      </c>
      <c r="E4176" s="23" t="s">
        <v>1105</v>
      </c>
      <c r="F4176" s="23" t="str">
        <f>"2170676833 "</f>
        <v xml:space="preserve">2170676833 </v>
      </c>
      <c r="G4176" s="23" t="str">
        <f t="shared" si="117"/>
        <v>ON1</v>
      </c>
      <c r="H4176" s="23" t="s">
        <v>20</v>
      </c>
      <c r="I4176" s="23" t="s">
        <v>237</v>
      </c>
      <c r="J4176" s="23" t="str">
        <f>""</f>
        <v/>
      </c>
      <c r="K4176" s="23" t="str">
        <f>"PFES1162676040_0001"</f>
        <v>PFES1162676040_0001</v>
      </c>
      <c r="L4176" s="23">
        <v>1</v>
      </c>
      <c r="M4176" s="23">
        <v>1</v>
      </c>
    </row>
    <row r="4177" spans="1:13">
      <c r="A4177" s="6">
        <v>43524</v>
      </c>
      <c r="B4177" s="7">
        <v>0.67083333333333339</v>
      </c>
      <c r="C4177" s="23" t="str">
        <f>"FES1162676063"</f>
        <v>FES1162676063</v>
      </c>
      <c r="D4177" s="23" t="s">
        <v>18</v>
      </c>
      <c r="E4177" s="23" t="s">
        <v>299</v>
      </c>
      <c r="F4177" s="23" t="str">
        <f>"2170674233 "</f>
        <v xml:space="preserve">2170674233 </v>
      </c>
      <c r="G4177" s="23" t="str">
        <f t="shared" si="117"/>
        <v>ON1</v>
      </c>
      <c r="H4177" s="23" t="s">
        <v>20</v>
      </c>
      <c r="I4177" s="23" t="s">
        <v>43</v>
      </c>
      <c r="J4177" s="23" t="str">
        <f>""</f>
        <v/>
      </c>
      <c r="K4177" s="23" t="str">
        <f>"PFES1162676063_0001"</f>
        <v>PFES1162676063_0001</v>
      </c>
      <c r="L4177" s="23">
        <v>1</v>
      </c>
      <c r="M4177" s="23">
        <v>1</v>
      </c>
    </row>
    <row r="4178" spans="1:13">
      <c r="A4178" s="6">
        <v>43524</v>
      </c>
      <c r="B4178" s="7">
        <v>0.65138888888888891</v>
      </c>
      <c r="C4178" s="23" t="str">
        <f>"FES1162675472"</f>
        <v>FES1162675472</v>
      </c>
      <c r="D4178" s="23" t="s">
        <v>18</v>
      </c>
      <c r="E4178" s="23" t="s">
        <v>882</v>
      </c>
      <c r="F4178" s="23" t="str">
        <f>"2170674127 "</f>
        <v xml:space="preserve">2170674127 </v>
      </c>
      <c r="G4178" s="23" t="str">
        <f t="shared" si="117"/>
        <v>ON1</v>
      </c>
      <c r="H4178" s="23" t="s">
        <v>20</v>
      </c>
      <c r="I4178" s="23" t="s">
        <v>883</v>
      </c>
      <c r="J4178" s="23" t="str">
        <f>""</f>
        <v/>
      </c>
      <c r="K4178" s="23" t="str">
        <f>"PFES1162675472_0001"</f>
        <v>PFES1162675472_0001</v>
      </c>
      <c r="L4178" s="23">
        <v>1</v>
      </c>
      <c r="M4178" s="23">
        <v>2</v>
      </c>
    </row>
    <row r="4179" spans="1:13">
      <c r="A4179" s="6">
        <v>43524</v>
      </c>
      <c r="B4179" s="7">
        <v>0.65069444444444446</v>
      </c>
      <c r="C4179" s="23" t="str">
        <f>"FES1162676047"</f>
        <v>FES1162676047</v>
      </c>
      <c r="D4179" s="23" t="s">
        <v>18</v>
      </c>
      <c r="E4179" s="23" t="s">
        <v>1234</v>
      </c>
      <c r="F4179" s="23" t="str">
        <f>"2170676831 "</f>
        <v xml:space="preserve">2170676831 </v>
      </c>
      <c r="G4179" s="23" t="str">
        <f t="shared" si="117"/>
        <v>ON1</v>
      </c>
      <c r="H4179" s="23" t="s">
        <v>20</v>
      </c>
      <c r="I4179" s="23" t="s">
        <v>137</v>
      </c>
      <c r="J4179" s="23" t="str">
        <f>""</f>
        <v/>
      </c>
      <c r="K4179" s="23" t="str">
        <f>"PFES1162676047_0001"</f>
        <v>PFES1162676047_0001</v>
      </c>
      <c r="L4179" s="23">
        <v>1</v>
      </c>
      <c r="M4179" s="23">
        <v>2</v>
      </c>
    </row>
    <row r="4180" spans="1:13">
      <c r="A4180" s="6">
        <v>43524</v>
      </c>
      <c r="B4180" s="7">
        <v>0.65</v>
      </c>
      <c r="C4180" s="23" t="str">
        <f>"FES1162676042"</f>
        <v>FES1162676042</v>
      </c>
      <c r="D4180" s="23" t="s">
        <v>18</v>
      </c>
      <c r="E4180" s="23" t="s">
        <v>451</v>
      </c>
      <c r="F4180" s="23" t="str">
        <f>"2170676808 "</f>
        <v xml:space="preserve">2170676808 </v>
      </c>
      <c r="G4180" s="23" t="str">
        <f t="shared" si="117"/>
        <v>ON1</v>
      </c>
      <c r="H4180" s="23" t="s">
        <v>20</v>
      </c>
      <c r="I4180" s="23" t="s">
        <v>149</v>
      </c>
      <c r="J4180" s="23" t="str">
        <f>""</f>
        <v/>
      </c>
      <c r="K4180" s="23" t="str">
        <f>"PFES1162676042_0001"</f>
        <v>PFES1162676042_0001</v>
      </c>
      <c r="L4180" s="23">
        <v>1</v>
      </c>
      <c r="M4180" s="23">
        <v>2</v>
      </c>
    </row>
    <row r="4181" spans="1:13">
      <c r="A4181" s="6">
        <v>43524</v>
      </c>
      <c r="B4181" s="7">
        <v>0.64930555555555558</v>
      </c>
      <c r="C4181" s="23" t="str">
        <f>"FES1162676043"</f>
        <v>FES1162676043</v>
      </c>
      <c r="D4181" s="23" t="s">
        <v>18</v>
      </c>
      <c r="E4181" s="23" t="s">
        <v>451</v>
      </c>
      <c r="F4181" s="23" t="str">
        <f>"2170676828 "</f>
        <v xml:space="preserve">2170676828 </v>
      </c>
      <c r="G4181" s="23" t="str">
        <f t="shared" si="117"/>
        <v>ON1</v>
      </c>
      <c r="H4181" s="23" t="s">
        <v>20</v>
      </c>
      <c r="I4181" s="23" t="s">
        <v>149</v>
      </c>
      <c r="J4181" s="23" t="str">
        <f>""</f>
        <v/>
      </c>
      <c r="K4181" s="23" t="str">
        <f>"PFES1162676043_0001"</f>
        <v>PFES1162676043_0001</v>
      </c>
      <c r="L4181" s="23">
        <v>1</v>
      </c>
      <c r="M4181" s="23">
        <v>5</v>
      </c>
    </row>
    <row r="4182" spans="1:13">
      <c r="A4182" s="6">
        <v>43524</v>
      </c>
      <c r="B4182" s="7">
        <v>0.64097222222222217</v>
      </c>
      <c r="C4182" s="23" t="str">
        <f>"FES1162676050"</f>
        <v>FES1162676050</v>
      </c>
      <c r="D4182" s="23" t="s">
        <v>18</v>
      </c>
      <c r="E4182" s="23" t="s">
        <v>1235</v>
      </c>
      <c r="F4182" s="23" t="str">
        <f>"2170676847 "</f>
        <v xml:space="preserve">2170676847 </v>
      </c>
      <c r="G4182" s="23" t="str">
        <f t="shared" si="117"/>
        <v>ON1</v>
      </c>
      <c r="H4182" s="23" t="s">
        <v>20</v>
      </c>
      <c r="I4182" s="23" t="s">
        <v>99</v>
      </c>
      <c r="J4182" s="23" t="str">
        <f>""</f>
        <v/>
      </c>
      <c r="K4182" s="23" t="str">
        <f>"PFES1162676050_0001"</f>
        <v>PFES1162676050_0001</v>
      </c>
      <c r="L4182" s="23">
        <v>1</v>
      </c>
      <c r="M4182" s="23">
        <v>14</v>
      </c>
    </row>
    <row r="4183" spans="1:13">
      <c r="A4183" s="6">
        <v>43524</v>
      </c>
      <c r="B4183" s="7">
        <v>0.63750000000000007</v>
      </c>
      <c r="C4183" s="23" t="str">
        <f>"FES1162676051"</f>
        <v>FES1162676051</v>
      </c>
      <c r="D4183" s="23" t="s">
        <v>18</v>
      </c>
      <c r="E4183" s="23" t="s">
        <v>69</v>
      </c>
      <c r="F4183" s="23" t="str">
        <f>"2170676839 "</f>
        <v xml:space="preserve">2170676839 </v>
      </c>
      <c r="G4183" s="23" t="str">
        <f t="shared" si="117"/>
        <v>ON1</v>
      </c>
      <c r="H4183" s="23" t="s">
        <v>20</v>
      </c>
      <c r="I4183" s="23" t="s">
        <v>70</v>
      </c>
      <c r="J4183" s="23" t="str">
        <f>""</f>
        <v/>
      </c>
      <c r="K4183" s="23" t="str">
        <f>"PFES1162676051_0001"</f>
        <v>PFES1162676051_0001</v>
      </c>
      <c r="L4183" s="23">
        <v>1</v>
      </c>
      <c r="M4183" s="23">
        <v>1</v>
      </c>
    </row>
    <row r="4184" spans="1:13">
      <c r="A4184" s="6">
        <v>43524</v>
      </c>
      <c r="B4184" s="7">
        <v>0.63750000000000007</v>
      </c>
      <c r="C4184" s="23" t="str">
        <f>"FES1162676055"</f>
        <v>FES1162676055</v>
      </c>
      <c r="D4184" s="23" t="s">
        <v>18</v>
      </c>
      <c r="E4184" s="23" t="s">
        <v>120</v>
      </c>
      <c r="F4184" s="23" t="str">
        <f>"217067846 "</f>
        <v xml:space="preserve">217067846 </v>
      </c>
      <c r="G4184" s="23" t="str">
        <f t="shared" si="117"/>
        <v>ON1</v>
      </c>
      <c r="H4184" s="23" t="s">
        <v>20</v>
      </c>
      <c r="I4184" s="23" t="s">
        <v>121</v>
      </c>
      <c r="J4184" s="23" t="str">
        <f>""</f>
        <v/>
      </c>
      <c r="K4184" s="23" t="str">
        <f>"PFES1162676055_0001"</f>
        <v>PFES1162676055_0001</v>
      </c>
      <c r="L4184" s="23">
        <v>1</v>
      </c>
      <c r="M4184" s="23">
        <v>1</v>
      </c>
    </row>
    <row r="4185" spans="1:13">
      <c r="A4185" s="6">
        <v>43524</v>
      </c>
      <c r="B4185" s="7">
        <v>0.63263888888888886</v>
      </c>
      <c r="C4185" s="23" t="str">
        <f>"FES1162676049"</f>
        <v>FES1162676049</v>
      </c>
      <c r="D4185" s="23" t="s">
        <v>18</v>
      </c>
      <c r="E4185" s="23" t="s">
        <v>47</v>
      </c>
      <c r="F4185" s="23" t="str">
        <f>"2170675751 "</f>
        <v xml:space="preserve">2170675751 </v>
      </c>
      <c r="G4185" s="23" t="str">
        <f t="shared" si="117"/>
        <v>ON1</v>
      </c>
      <c r="H4185" s="23" t="s">
        <v>20</v>
      </c>
      <c r="I4185" s="23" t="s">
        <v>48</v>
      </c>
      <c r="J4185" s="23" t="str">
        <f>""</f>
        <v/>
      </c>
      <c r="K4185" s="23" t="str">
        <f>"PFES1162676049_0001"</f>
        <v>PFES1162676049_0001</v>
      </c>
      <c r="L4185" s="23">
        <v>1</v>
      </c>
      <c r="M4185" s="23">
        <v>1</v>
      </c>
    </row>
    <row r="4186" spans="1:13">
      <c r="A4186" s="6">
        <v>43524</v>
      </c>
      <c r="B4186" s="7">
        <v>0.62569444444444444</v>
      </c>
      <c r="C4186" s="23" t="str">
        <f>"FES1162675527"</f>
        <v>FES1162675527</v>
      </c>
      <c r="D4186" s="23" t="s">
        <v>18</v>
      </c>
      <c r="E4186" s="23" t="s">
        <v>301</v>
      </c>
      <c r="F4186" s="23" t="str">
        <f>"2170675527 "</f>
        <v xml:space="preserve">2170675527 </v>
      </c>
      <c r="G4186" s="23" t="str">
        <f t="shared" si="117"/>
        <v>ON1</v>
      </c>
      <c r="H4186" s="23" t="s">
        <v>20</v>
      </c>
      <c r="I4186" s="23" t="s">
        <v>302</v>
      </c>
      <c r="J4186" s="23" t="str">
        <f>""</f>
        <v/>
      </c>
      <c r="K4186" s="23" t="str">
        <f>"PFES1162675527_0001"</f>
        <v>PFES1162675527_0001</v>
      </c>
      <c r="L4186" s="23">
        <v>1</v>
      </c>
      <c r="M4186" s="23">
        <v>2</v>
      </c>
    </row>
    <row r="4187" spans="1:13">
      <c r="A4187" s="6">
        <v>43524</v>
      </c>
      <c r="B4187" s="7">
        <v>0.625</v>
      </c>
      <c r="C4187" s="23" t="str">
        <f>"FES1162676041"</f>
        <v>FES1162676041</v>
      </c>
      <c r="D4187" s="23" t="s">
        <v>18</v>
      </c>
      <c r="E4187" s="23" t="s">
        <v>1234</v>
      </c>
      <c r="F4187" s="23" t="str">
        <f>"2170676831 "</f>
        <v xml:space="preserve">2170676831 </v>
      </c>
      <c r="G4187" s="23" t="str">
        <f t="shared" si="117"/>
        <v>ON1</v>
      </c>
      <c r="H4187" s="23" t="s">
        <v>20</v>
      </c>
      <c r="I4187" s="23" t="s">
        <v>137</v>
      </c>
      <c r="J4187" s="23" t="str">
        <f>""</f>
        <v/>
      </c>
      <c r="K4187" s="23" t="str">
        <f>"PFES1162676041_0001"</f>
        <v>PFES1162676041_0001</v>
      </c>
      <c r="L4187" s="23">
        <v>1</v>
      </c>
      <c r="M4187" s="23">
        <v>17</v>
      </c>
    </row>
    <row r="4188" spans="1:13">
      <c r="A4188" s="6">
        <v>43524</v>
      </c>
      <c r="B4188" s="7">
        <v>0.62361111111111112</v>
      </c>
      <c r="C4188" s="23" t="str">
        <f>"FES1162676017"</f>
        <v>FES1162676017</v>
      </c>
      <c r="D4188" s="23" t="s">
        <v>18</v>
      </c>
      <c r="E4188" s="23" t="s">
        <v>1236</v>
      </c>
      <c r="F4188" s="23" t="str">
        <f>"2170676257 "</f>
        <v xml:space="preserve">2170676257 </v>
      </c>
      <c r="G4188" s="23" t="str">
        <f t="shared" si="117"/>
        <v>ON1</v>
      </c>
      <c r="H4188" s="23" t="s">
        <v>20</v>
      </c>
      <c r="I4188" s="23" t="s">
        <v>239</v>
      </c>
      <c r="J4188" s="23" t="str">
        <f>""</f>
        <v/>
      </c>
      <c r="K4188" s="23" t="str">
        <f>"PFES1162676017_0001"</f>
        <v>PFES1162676017_0001</v>
      </c>
      <c r="L4188" s="23">
        <v>1</v>
      </c>
      <c r="M4188" s="23">
        <v>5</v>
      </c>
    </row>
    <row r="4189" spans="1:13">
      <c r="A4189" s="6">
        <v>43524</v>
      </c>
      <c r="B4189" s="7">
        <v>0.62222222222222223</v>
      </c>
      <c r="C4189" s="23" t="str">
        <f>"FES1162676035"</f>
        <v>FES1162676035</v>
      </c>
      <c r="D4189" s="23" t="s">
        <v>18</v>
      </c>
      <c r="E4189" s="23" t="s">
        <v>968</v>
      </c>
      <c r="F4189" s="23" t="str">
        <f>"2170676823 "</f>
        <v xml:space="preserve">2170676823 </v>
      </c>
      <c r="G4189" s="23" t="str">
        <f t="shared" si="117"/>
        <v>ON1</v>
      </c>
      <c r="H4189" s="23" t="s">
        <v>20</v>
      </c>
      <c r="I4189" s="23" t="s">
        <v>182</v>
      </c>
      <c r="J4189" s="23" t="str">
        <f>""</f>
        <v/>
      </c>
      <c r="K4189" s="23" t="str">
        <f>"PFES1162676035_0001"</f>
        <v>PFES1162676035_0001</v>
      </c>
      <c r="L4189" s="23">
        <v>1</v>
      </c>
      <c r="M4189" s="23">
        <v>3</v>
      </c>
    </row>
    <row r="4190" spans="1:13">
      <c r="A4190" s="6">
        <v>43524</v>
      </c>
      <c r="B4190" s="7">
        <v>0.62083333333333335</v>
      </c>
      <c r="C4190" s="23" t="str">
        <f>"FES1162676039"</f>
        <v>FES1162676039</v>
      </c>
      <c r="D4190" s="23" t="s">
        <v>18</v>
      </c>
      <c r="E4190" s="23" t="s">
        <v>368</v>
      </c>
      <c r="F4190" s="23" t="str">
        <f>"2170676830 "</f>
        <v xml:space="preserve">2170676830 </v>
      </c>
      <c r="G4190" s="23" t="str">
        <f t="shared" si="117"/>
        <v>ON1</v>
      </c>
      <c r="H4190" s="23" t="s">
        <v>20</v>
      </c>
      <c r="I4190" s="23" t="s">
        <v>369</v>
      </c>
      <c r="J4190" s="23" t="str">
        <f>""</f>
        <v/>
      </c>
      <c r="K4190" s="23" t="str">
        <f>"PFES1162676039_0001"</f>
        <v>PFES1162676039_0001</v>
      </c>
      <c r="L4190" s="23">
        <v>1</v>
      </c>
      <c r="M4190" s="23">
        <v>4</v>
      </c>
    </row>
    <row r="4191" spans="1:13">
      <c r="A4191" s="6">
        <v>43524</v>
      </c>
      <c r="B4191" s="7">
        <v>0.61944444444444446</v>
      </c>
      <c r="C4191" s="23" t="str">
        <f>"FES1162676021"</f>
        <v>FES1162676021</v>
      </c>
      <c r="D4191" s="23" t="s">
        <v>18</v>
      </c>
      <c r="E4191" s="23" t="s">
        <v>42</v>
      </c>
      <c r="F4191" s="23" t="str">
        <f>"2170676540 "</f>
        <v xml:space="preserve">2170676540 </v>
      </c>
      <c r="G4191" s="23" t="str">
        <f t="shared" si="117"/>
        <v>ON1</v>
      </c>
      <c r="H4191" s="23" t="s">
        <v>20</v>
      </c>
      <c r="I4191" s="23" t="s">
        <v>43</v>
      </c>
      <c r="J4191" s="23" t="str">
        <f>""</f>
        <v/>
      </c>
      <c r="K4191" s="23" t="str">
        <f>"PFES1162676021_0001"</f>
        <v>PFES1162676021_0001</v>
      </c>
      <c r="L4191" s="23">
        <v>1</v>
      </c>
      <c r="M4191" s="23">
        <v>7</v>
      </c>
    </row>
    <row r="4192" spans="1:13">
      <c r="A4192" s="6">
        <v>43524</v>
      </c>
      <c r="B4192" s="7">
        <v>0.61805555555555558</v>
      </c>
      <c r="C4192" s="23" t="str">
        <f>"FES1162676019"</f>
        <v>FES1162676019</v>
      </c>
      <c r="D4192" s="23" t="s">
        <v>18</v>
      </c>
      <c r="E4192" s="23" t="s">
        <v>521</v>
      </c>
      <c r="F4192" s="23" t="str">
        <f>"2170676513 "</f>
        <v xml:space="preserve">2170676513 </v>
      </c>
      <c r="G4192" s="23" t="str">
        <f t="shared" si="117"/>
        <v>ON1</v>
      </c>
      <c r="H4192" s="23" t="s">
        <v>20</v>
      </c>
      <c r="I4192" s="23" t="s">
        <v>445</v>
      </c>
      <c r="J4192" s="23" t="str">
        <f>""</f>
        <v/>
      </c>
      <c r="K4192" s="23" t="str">
        <f>"PFES1162676019_0001"</f>
        <v>PFES1162676019_0001</v>
      </c>
      <c r="L4192" s="23">
        <v>1</v>
      </c>
      <c r="M4192" s="23">
        <v>1</v>
      </c>
    </row>
    <row r="4193" spans="1:13">
      <c r="A4193" s="6">
        <v>43524</v>
      </c>
      <c r="B4193" s="7">
        <v>0.61111111111111105</v>
      </c>
      <c r="C4193" s="23" t="str">
        <f>"FES1162676012"</f>
        <v>FES1162676012</v>
      </c>
      <c r="D4193" s="23" t="s">
        <v>18</v>
      </c>
      <c r="E4193" s="23" t="s">
        <v>58</v>
      </c>
      <c r="F4193" s="23" t="str">
        <f>"2170676795 "</f>
        <v xml:space="preserve">2170676795 </v>
      </c>
      <c r="G4193" s="23" t="str">
        <f t="shared" si="117"/>
        <v>ON1</v>
      </c>
      <c r="H4193" s="23" t="s">
        <v>20</v>
      </c>
      <c r="I4193" s="23" t="s">
        <v>59</v>
      </c>
      <c r="J4193" s="23" t="str">
        <f>""</f>
        <v/>
      </c>
      <c r="K4193" s="23" t="str">
        <f>"PFES1162676012_0001"</f>
        <v>PFES1162676012_0001</v>
      </c>
      <c r="L4193" s="23">
        <v>1</v>
      </c>
      <c r="M4193" s="23">
        <v>1</v>
      </c>
    </row>
    <row r="4194" spans="1:13">
      <c r="A4194" s="6">
        <v>43524</v>
      </c>
      <c r="B4194" s="7">
        <v>0.61041666666666672</v>
      </c>
      <c r="C4194" s="23" t="str">
        <f>"FES1162676018"</f>
        <v>FES1162676018</v>
      </c>
      <c r="D4194" s="23" t="s">
        <v>18</v>
      </c>
      <c r="E4194" s="23" t="s">
        <v>129</v>
      </c>
      <c r="F4194" s="23" t="str">
        <f>"2170676491 "</f>
        <v xml:space="preserve">2170676491 </v>
      </c>
      <c r="G4194" s="23" t="str">
        <f t="shared" si="117"/>
        <v>ON1</v>
      </c>
      <c r="H4194" s="23" t="s">
        <v>20</v>
      </c>
      <c r="I4194" s="23" t="s">
        <v>130</v>
      </c>
      <c r="J4194" s="23" t="str">
        <f>""</f>
        <v/>
      </c>
      <c r="K4194" s="23" t="str">
        <f>"PFES1162676018_0001"</f>
        <v>PFES1162676018_0001</v>
      </c>
      <c r="L4194" s="23">
        <v>1</v>
      </c>
      <c r="M4194" s="23">
        <v>7</v>
      </c>
    </row>
    <row r="4195" spans="1:13">
      <c r="A4195" s="6">
        <v>43524</v>
      </c>
      <c r="B4195" s="7">
        <v>0.60972222222222217</v>
      </c>
      <c r="C4195" s="23" t="str">
        <f>"FES1162676006"</f>
        <v>FES1162676006</v>
      </c>
      <c r="D4195" s="23" t="s">
        <v>18</v>
      </c>
      <c r="E4195" s="23" t="s">
        <v>1237</v>
      </c>
      <c r="F4195" s="23" t="str">
        <f>"2170676737 "</f>
        <v xml:space="preserve">2170676737 </v>
      </c>
      <c r="G4195" s="23" t="str">
        <f t="shared" si="117"/>
        <v>ON1</v>
      </c>
      <c r="H4195" s="23" t="s">
        <v>20</v>
      </c>
      <c r="I4195" s="23" t="s">
        <v>349</v>
      </c>
      <c r="J4195" s="23" t="str">
        <f>""</f>
        <v/>
      </c>
      <c r="K4195" s="23" t="str">
        <f>"PFES1162676006_0001"</f>
        <v>PFES1162676006_0001</v>
      </c>
      <c r="L4195" s="23">
        <v>1</v>
      </c>
      <c r="M4195" s="23">
        <v>4</v>
      </c>
    </row>
    <row r="4196" spans="1:13">
      <c r="A4196" s="6">
        <v>43524</v>
      </c>
      <c r="B4196" s="7">
        <v>0.60833333333333328</v>
      </c>
      <c r="C4196" s="23" t="str">
        <f>"FES1162676031"</f>
        <v>FES1162676031</v>
      </c>
      <c r="D4196" s="23" t="s">
        <v>18</v>
      </c>
      <c r="E4196" s="23" t="s">
        <v>1238</v>
      </c>
      <c r="F4196" s="23" t="str">
        <f>"2170676804 "</f>
        <v xml:space="preserve">2170676804 </v>
      </c>
      <c r="G4196" s="23" t="str">
        <f t="shared" si="117"/>
        <v>ON1</v>
      </c>
      <c r="H4196" s="23" t="s">
        <v>20</v>
      </c>
      <c r="I4196" s="23" t="s">
        <v>87</v>
      </c>
      <c r="J4196" s="23" t="str">
        <f>""</f>
        <v/>
      </c>
      <c r="K4196" s="23" t="str">
        <f>"PFES1162676031_0001"</f>
        <v>PFES1162676031_0001</v>
      </c>
      <c r="L4196" s="23">
        <v>1</v>
      </c>
      <c r="M4196" s="23">
        <v>6</v>
      </c>
    </row>
    <row r="4197" spans="1:13">
      <c r="A4197" s="6">
        <v>43524</v>
      </c>
      <c r="B4197" s="7">
        <v>0.6069444444444444</v>
      </c>
      <c r="C4197" s="23" t="str">
        <f>"FES1162676007"</f>
        <v>FES1162676007</v>
      </c>
      <c r="D4197" s="23" t="s">
        <v>18</v>
      </c>
      <c r="E4197" s="23" t="s">
        <v>614</v>
      </c>
      <c r="F4197" s="23" t="str">
        <f>"2170676770 "</f>
        <v xml:space="preserve">2170676770 </v>
      </c>
      <c r="G4197" s="23" t="str">
        <f t="shared" si="117"/>
        <v>ON1</v>
      </c>
      <c r="H4197" s="23" t="s">
        <v>20</v>
      </c>
      <c r="I4197" s="23" t="s">
        <v>128</v>
      </c>
      <c r="J4197" s="23" t="str">
        <f>""</f>
        <v/>
      </c>
      <c r="K4197" s="23" t="str">
        <f>"PFES1162676007_0001"</f>
        <v>PFES1162676007_0001</v>
      </c>
      <c r="L4197" s="23">
        <v>1</v>
      </c>
      <c r="M4197" s="23">
        <v>2</v>
      </c>
    </row>
    <row r="4198" spans="1:13">
      <c r="A4198" s="6">
        <v>43524</v>
      </c>
      <c r="B4198" s="7">
        <v>0.60625000000000007</v>
      </c>
      <c r="C4198" s="23" t="str">
        <f>"FES1162675979"</f>
        <v>FES1162675979</v>
      </c>
      <c r="D4198" s="23" t="s">
        <v>18</v>
      </c>
      <c r="E4198" s="23" t="s">
        <v>629</v>
      </c>
      <c r="F4198" s="23" t="str">
        <f>"2170672510 "</f>
        <v xml:space="preserve">2170672510 </v>
      </c>
      <c r="G4198" s="23" t="str">
        <f t="shared" si="117"/>
        <v>ON1</v>
      </c>
      <c r="H4198" s="23" t="s">
        <v>20</v>
      </c>
      <c r="I4198" s="23" t="s">
        <v>420</v>
      </c>
      <c r="J4198" s="23" t="str">
        <f>""</f>
        <v/>
      </c>
      <c r="K4198" s="23" t="str">
        <f>"PFES1162675979_0001"</f>
        <v>PFES1162675979_0001</v>
      </c>
      <c r="L4198" s="23">
        <v>1</v>
      </c>
      <c r="M4198" s="23">
        <v>6</v>
      </c>
    </row>
    <row r="4199" spans="1:13">
      <c r="A4199" s="6">
        <v>43524</v>
      </c>
      <c r="B4199" s="7">
        <v>0.60486111111111118</v>
      </c>
      <c r="C4199" s="23" t="str">
        <f>"FES1162676022"</f>
        <v>FES1162676022</v>
      </c>
      <c r="D4199" s="23" t="s">
        <v>18</v>
      </c>
      <c r="E4199" s="23" t="s">
        <v>281</v>
      </c>
      <c r="F4199" s="23" t="str">
        <f>"2170676583 "</f>
        <v xml:space="preserve">2170676583 </v>
      </c>
      <c r="G4199" s="23" t="str">
        <f t="shared" si="117"/>
        <v>ON1</v>
      </c>
      <c r="H4199" s="23" t="s">
        <v>20</v>
      </c>
      <c r="I4199" s="23" t="s">
        <v>282</v>
      </c>
      <c r="J4199" s="23" t="str">
        <f>""</f>
        <v/>
      </c>
      <c r="K4199" s="23" t="str">
        <f>"PFES1162676022_0001"</f>
        <v>PFES1162676022_0001</v>
      </c>
      <c r="L4199" s="23">
        <v>1</v>
      </c>
      <c r="M4199" s="23">
        <v>3</v>
      </c>
    </row>
    <row r="4200" spans="1:13">
      <c r="A4200" s="6">
        <v>43524</v>
      </c>
      <c r="B4200" s="7">
        <v>0.60347222222222219</v>
      </c>
      <c r="C4200" s="23" t="str">
        <f>"FES1162676032"</f>
        <v>FES1162676032</v>
      </c>
      <c r="D4200" s="23" t="s">
        <v>18</v>
      </c>
      <c r="E4200" s="23" t="s">
        <v>69</v>
      </c>
      <c r="F4200" s="23" t="str">
        <f>"2170676814 "</f>
        <v xml:space="preserve">2170676814 </v>
      </c>
      <c r="G4200" s="23" t="str">
        <f t="shared" si="117"/>
        <v>ON1</v>
      </c>
      <c r="H4200" s="23" t="s">
        <v>20</v>
      </c>
      <c r="I4200" s="23" t="s">
        <v>70</v>
      </c>
      <c r="J4200" s="23" t="str">
        <f>""</f>
        <v/>
      </c>
      <c r="K4200" s="23" t="str">
        <f>"PFES1162676032_0001"</f>
        <v>PFES1162676032_0001</v>
      </c>
      <c r="L4200" s="23">
        <v>1</v>
      </c>
      <c r="M4200" s="23">
        <v>3</v>
      </c>
    </row>
    <row r="4201" spans="1:13">
      <c r="A4201" s="6">
        <v>43524</v>
      </c>
      <c r="B4201" s="7">
        <v>0.6020833333333333</v>
      </c>
      <c r="C4201" s="23" t="str">
        <f>"FES1162675927"</f>
        <v>FES1162675927</v>
      </c>
      <c r="D4201" s="23" t="s">
        <v>18</v>
      </c>
      <c r="E4201" s="23" t="s">
        <v>693</v>
      </c>
      <c r="F4201" s="23" t="str">
        <f>"2170676682 "</f>
        <v xml:space="preserve">2170676682 </v>
      </c>
      <c r="G4201" s="23" t="str">
        <f t="shared" si="117"/>
        <v>ON1</v>
      </c>
      <c r="H4201" s="23" t="s">
        <v>20</v>
      </c>
      <c r="I4201" s="23" t="s">
        <v>694</v>
      </c>
      <c r="J4201" s="23" t="str">
        <f>""</f>
        <v/>
      </c>
      <c r="K4201" s="23" t="str">
        <f>"PFES1162675927_0001"</f>
        <v>PFES1162675927_0001</v>
      </c>
      <c r="L4201" s="23">
        <v>1</v>
      </c>
      <c r="M4201" s="23">
        <v>1</v>
      </c>
    </row>
    <row r="4202" spans="1:13">
      <c r="A4202" s="6">
        <v>43524</v>
      </c>
      <c r="B4202" s="7">
        <v>0.59791666666666665</v>
      </c>
      <c r="C4202" s="23" t="str">
        <f>"FES1162676026"</f>
        <v>FES1162676026</v>
      </c>
      <c r="D4202" s="23" t="s">
        <v>18</v>
      </c>
      <c r="E4202" s="23" t="s">
        <v>19</v>
      </c>
      <c r="F4202" s="23" t="str">
        <f>"2170676809 "</f>
        <v xml:space="preserve">2170676809 </v>
      </c>
      <c r="G4202" s="23" t="str">
        <f t="shared" si="117"/>
        <v>ON1</v>
      </c>
      <c r="H4202" s="23" t="s">
        <v>20</v>
      </c>
      <c r="I4202" s="23" t="s">
        <v>21</v>
      </c>
      <c r="J4202" s="23" t="str">
        <f>""</f>
        <v/>
      </c>
      <c r="K4202" s="23" t="str">
        <f>"PFES1162676026_0001"</f>
        <v>PFES1162676026_0001</v>
      </c>
      <c r="L4202" s="23">
        <v>1</v>
      </c>
      <c r="M4202" s="23">
        <v>1</v>
      </c>
    </row>
    <row r="4203" spans="1:13">
      <c r="A4203" s="6">
        <v>43524</v>
      </c>
      <c r="B4203" s="7">
        <v>0.59791666666666665</v>
      </c>
      <c r="C4203" s="23" t="str">
        <f>"FES1162676020"</f>
        <v>FES1162676020</v>
      </c>
      <c r="D4203" s="23" t="s">
        <v>18</v>
      </c>
      <c r="E4203" s="23" t="s">
        <v>1239</v>
      </c>
      <c r="F4203" s="23" t="str">
        <f>"2170676521 "</f>
        <v xml:space="preserve">2170676521 </v>
      </c>
      <c r="G4203" s="23" t="str">
        <f t="shared" si="117"/>
        <v>ON1</v>
      </c>
      <c r="H4203" s="23" t="s">
        <v>20</v>
      </c>
      <c r="I4203" s="23" t="s">
        <v>573</v>
      </c>
      <c r="J4203" s="23" t="str">
        <f>""</f>
        <v/>
      </c>
      <c r="K4203" s="23" t="str">
        <f>"PFES1162676020_0001"</f>
        <v>PFES1162676020_0001</v>
      </c>
      <c r="L4203" s="23">
        <v>1</v>
      </c>
      <c r="M4203" s="23">
        <v>1</v>
      </c>
    </row>
    <row r="4204" spans="1:13">
      <c r="A4204" s="6">
        <v>43524</v>
      </c>
      <c r="B4204" s="7">
        <v>0.59791666666666665</v>
      </c>
      <c r="C4204" s="23" t="str">
        <f>"FES1162675992"</f>
        <v>FES1162675992</v>
      </c>
      <c r="D4204" s="23" t="s">
        <v>18</v>
      </c>
      <c r="E4204" s="23" t="s">
        <v>620</v>
      </c>
      <c r="F4204" s="23" t="str">
        <f>"2170676762 "</f>
        <v xml:space="preserve">2170676762 </v>
      </c>
      <c r="G4204" s="23" t="str">
        <f t="shared" si="117"/>
        <v>ON1</v>
      </c>
      <c r="H4204" s="23" t="s">
        <v>20</v>
      </c>
      <c r="I4204" s="23" t="s">
        <v>573</v>
      </c>
      <c r="J4204" s="23" t="str">
        <f>""</f>
        <v/>
      </c>
      <c r="K4204" s="23" t="str">
        <f>"PFES1162675992_0001"</f>
        <v>PFES1162675992_0001</v>
      </c>
      <c r="L4204" s="23">
        <v>1</v>
      </c>
      <c r="M4204" s="23">
        <v>1</v>
      </c>
    </row>
    <row r="4205" spans="1:13">
      <c r="A4205" s="6">
        <v>43524</v>
      </c>
      <c r="B4205" s="7">
        <v>0.59722222222222221</v>
      </c>
      <c r="C4205" s="23" t="str">
        <f>"FES1162676027"</f>
        <v>FES1162676027</v>
      </c>
      <c r="D4205" s="23" t="s">
        <v>18</v>
      </c>
      <c r="E4205" s="23" t="s">
        <v>19</v>
      </c>
      <c r="F4205" s="23" t="str">
        <f>"2170676811 "</f>
        <v xml:space="preserve">2170676811 </v>
      </c>
      <c r="G4205" s="23" t="str">
        <f t="shared" si="117"/>
        <v>ON1</v>
      </c>
      <c r="H4205" s="23" t="s">
        <v>20</v>
      </c>
      <c r="I4205" s="23" t="s">
        <v>21</v>
      </c>
      <c r="J4205" s="23" t="str">
        <f>""</f>
        <v/>
      </c>
      <c r="K4205" s="23" t="str">
        <f>"PFES1162676027_0001"</f>
        <v>PFES1162676027_0001</v>
      </c>
      <c r="L4205" s="23">
        <v>1</v>
      </c>
      <c r="M4205" s="23">
        <v>1</v>
      </c>
    </row>
    <row r="4206" spans="1:13">
      <c r="A4206" s="6">
        <v>43524</v>
      </c>
      <c r="B4206" s="7">
        <v>0.59722222222222221</v>
      </c>
      <c r="C4206" s="23" t="str">
        <f>"FES1162676016"</f>
        <v>FES1162676016</v>
      </c>
      <c r="D4206" s="23" t="s">
        <v>18</v>
      </c>
      <c r="E4206" s="23" t="s">
        <v>127</v>
      </c>
      <c r="F4206" s="23" t="str">
        <f>"2170676810 "</f>
        <v xml:space="preserve">2170676810 </v>
      </c>
      <c r="G4206" s="23" t="str">
        <f t="shared" si="117"/>
        <v>ON1</v>
      </c>
      <c r="H4206" s="23" t="s">
        <v>20</v>
      </c>
      <c r="I4206" s="23" t="s">
        <v>128</v>
      </c>
      <c r="J4206" s="23" t="str">
        <f>""</f>
        <v/>
      </c>
      <c r="K4206" s="23" t="str">
        <f>"PFES1162676016_0001"</f>
        <v>PFES1162676016_0001</v>
      </c>
      <c r="L4206" s="23">
        <v>1</v>
      </c>
      <c r="M4206" s="23">
        <v>1</v>
      </c>
    </row>
    <row r="4207" spans="1:13">
      <c r="A4207" s="6">
        <v>43524</v>
      </c>
      <c r="B4207" s="7">
        <v>0.59652777777777777</v>
      </c>
      <c r="C4207" s="23" t="str">
        <f>"FES1162676037"</f>
        <v>FES1162676037</v>
      </c>
      <c r="D4207" s="23" t="s">
        <v>18</v>
      </c>
      <c r="E4207" s="23" t="s">
        <v>779</v>
      </c>
      <c r="F4207" s="23" t="str">
        <f>"2170676824 "</f>
        <v xml:space="preserve">2170676824 </v>
      </c>
      <c r="G4207" s="23" t="str">
        <f t="shared" si="117"/>
        <v>ON1</v>
      </c>
      <c r="H4207" s="23" t="s">
        <v>20</v>
      </c>
      <c r="I4207" s="23" t="s">
        <v>635</v>
      </c>
      <c r="J4207" s="23" t="str">
        <f>""</f>
        <v/>
      </c>
      <c r="K4207" s="23" t="str">
        <f>"PFES1162676037_0001"</f>
        <v>PFES1162676037_0001</v>
      </c>
      <c r="L4207" s="23">
        <v>1</v>
      </c>
      <c r="M4207" s="23">
        <v>1</v>
      </c>
    </row>
    <row r="4208" spans="1:13">
      <c r="A4208" s="6">
        <v>43524</v>
      </c>
      <c r="B4208" s="7">
        <v>0.59652777777777777</v>
      </c>
      <c r="C4208" s="23" t="str">
        <f>"FES1162676014"</f>
        <v>FES1162676014</v>
      </c>
      <c r="D4208" s="23" t="s">
        <v>18</v>
      </c>
      <c r="E4208" s="23" t="s">
        <v>307</v>
      </c>
      <c r="F4208" s="23" t="str">
        <f>"2170676799 "</f>
        <v xml:space="preserve">2170676799 </v>
      </c>
      <c r="G4208" s="23" t="str">
        <f t="shared" si="117"/>
        <v>ON1</v>
      </c>
      <c r="H4208" s="23" t="s">
        <v>20</v>
      </c>
      <c r="I4208" s="23" t="s">
        <v>43</v>
      </c>
      <c r="J4208" s="23" t="str">
        <f>""</f>
        <v/>
      </c>
      <c r="K4208" s="23" t="str">
        <f>"PFES1162676014_0001"</f>
        <v>PFES1162676014_0001</v>
      </c>
      <c r="L4208" s="23">
        <v>1</v>
      </c>
      <c r="M4208" s="23">
        <v>1</v>
      </c>
    </row>
    <row r="4209" spans="1:13">
      <c r="A4209" s="6">
        <v>43524</v>
      </c>
      <c r="B4209" s="7">
        <v>0.59583333333333333</v>
      </c>
      <c r="C4209" s="23" t="str">
        <f>"FES1162675943"</f>
        <v>FES1162675943</v>
      </c>
      <c r="D4209" s="23" t="s">
        <v>18</v>
      </c>
      <c r="E4209" s="23" t="s">
        <v>339</v>
      </c>
      <c r="F4209" s="23" t="str">
        <f>"2170676691 "</f>
        <v xml:space="preserve">2170676691 </v>
      </c>
      <c r="G4209" s="23" t="str">
        <f t="shared" si="117"/>
        <v>ON1</v>
      </c>
      <c r="H4209" s="23" t="s">
        <v>20</v>
      </c>
      <c r="I4209" s="23" t="s">
        <v>37</v>
      </c>
      <c r="J4209" s="23" t="str">
        <f>""</f>
        <v/>
      </c>
      <c r="K4209" s="23" t="str">
        <f>"PFES1162675943_0001"</f>
        <v>PFES1162675943_0001</v>
      </c>
      <c r="L4209" s="23">
        <v>1</v>
      </c>
      <c r="M4209" s="23">
        <v>8</v>
      </c>
    </row>
    <row r="4210" spans="1:13">
      <c r="A4210" s="6">
        <v>43524</v>
      </c>
      <c r="B4210" s="7">
        <v>0.59513888888888888</v>
      </c>
      <c r="C4210" s="23" t="str">
        <f>"FES1162675938"</f>
        <v>FES1162675938</v>
      </c>
      <c r="D4210" s="23" t="s">
        <v>18</v>
      </c>
      <c r="E4210" s="23" t="s">
        <v>612</v>
      </c>
      <c r="F4210" s="23" t="str">
        <f>"2170676683 "</f>
        <v xml:space="preserve">2170676683 </v>
      </c>
      <c r="G4210" s="23" t="str">
        <f t="shared" si="117"/>
        <v>ON1</v>
      </c>
      <c r="H4210" s="23" t="s">
        <v>20</v>
      </c>
      <c r="I4210" s="23" t="s">
        <v>137</v>
      </c>
      <c r="J4210" s="23" t="str">
        <f>""</f>
        <v/>
      </c>
      <c r="K4210" s="23" t="str">
        <f>"PFES1162675938_0001"</f>
        <v>PFES1162675938_0001</v>
      </c>
      <c r="L4210" s="23">
        <v>1</v>
      </c>
      <c r="M4210" s="23">
        <v>2</v>
      </c>
    </row>
    <row r="4211" spans="1:13">
      <c r="A4211" s="6">
        <v>43524</v>
      </c>
      <c r="B4211" s="7">
        <v>0.59236111111111112</v>
      </c>
      <c r="C4211" s="23" t="str">
        <f>"FES1162675988"</f>
        <v>FES1162675988</v>
      </c>
      <c r="D4211" s="23" t="s">
        <v>18</v>
      </c>
      <c r="E4211" s="23" t="s">
        <v>1240</v>
      </c>
      <c r="F4211" s="23" t="str">
        <f>"2170676758 "</f>
        <v xml:space="preserve">2170676758 </v>
      </c>
      <c r="G4211" s="23" t="str">
        <f t="shared" si="117"/>
        <v>ON1</v>
      </c>
      <c r="H4211" s="23" t="s">
        <v>20</v>
      </c>
      <c r="I4211" s="23" t="s">
        <v>1241</v>
      </c>
      <c r="J4211" s="23" t="str">
        <f>""</f>
        <v/>
      </c>
      <c r="K4211" s="23" t="str">
        <f>"PFES1162675988_0001"</f>
        <v>PFES1162675988_0001</v>
      </c>
      <c r="L4211" s="23">
        <v>1</v>
      </c>
      <c r="M4211" s="23">
        <v>3</v>
      </c>
    </row>
    <row r="4212" spans="1:13">
      <c r="A4212" s="6">
        <v>43524</v>
      </c>
      <c r="B4212" s="7">
        <v>0.59097222222222223</v>
      </c>
      <c r="C4212" s="23" t="str">
        <f>"FES1162675981"</f>
        <v>FES1162675981</v>
      </c>
      <c r="D4212" s="23" t="s">
        <v>18</v>
      </c>
      <c r="E4212" s="23" t="s">
        <v>179</v>
      </c>
      <c r="F4212" s="23" t="str">
        <f>"2170676745 "</f>
        <v xml:space="preserve">2170676745 </v>
      </c>
      <c r="G4212" s="23" t="str">
        <f t="shared" si="117"/>
        <v>ON1</v>
      </c>
      <c r="H4212" s="23" t="s">
        <v>20</v>
      </c>
      <c r="I4212" s="23" t="s">
        <v>59</v>
      </c>
      <c r="J4212" s="23" t="str">
        <f>""</f>
        <v/>
      </c>
      <c r="K4212" s="23" t="str">
        <f>"PFES1162675981_0001"</f>
        <v>PFES1162675981_0001</v>
      </c>
      <c r="L4212" s="23">
        <v>1</v>
      </c>
      <c r="M4212" s="23">
        <v>5</v>
      </c>
    </row>
    <row r="4213" spans="1:13">
      <c r="A4213" s="6">
        <v>43524</v>
      </c>
      <c r="B4213" s="7">
        <v>0.58958333333333335</v>
      </c>
      <c r="C4213" s="23" t="str">
        <f>"FES1162675964"</f>
        <v>FES1162675964</v>
      </c>
      <c r="D4213" s="23" t="s">
        <v>18</v>
      </c>
      <c r="E4213" s="23" t="s">
        <v>524</v>
      </c>
      <c r="F4213" s="23" t="str">
        <f>"2170676721 "</f>
        <v xml:space="preserve">2170676721 </v>
      </c>
      <c r="G4213" s="23" t="str">
        <f t="shared" si="117"/>
        <v>ON1</v>
      </c>
      <c r="H4213" s="23" t="s">
        <v>20</v>
      </c>
      <c r="I4213" s="23" t="s">
        <v>525</v>
      </c>
      <c r="J4213" s="23" t="str">
        <f>""</f>
        <v/>
      </c>
      <c r="K4213" s="23" t="str">
        <f>"PFES1162675964_0001"</f>
        <v>PFES1162675964_0001</v>
      </c>
      <c r="L4213" s="23">
        <v>1</v>
      </c>
      <c r="M4213" s="23">
        <v>3</v>
      </c>
    </row>
    <row r="4214" spans="1:13">
      <c r="A4214" s="6">
        <v>43524</v>
      </c>
      <c r="B4214" s="7">
        <v>0.58472222222222225</v>
      </c>
      <c r="C4214" s="23" t="str">
        <f>"FES1162676001"</f>
        <v>FES1162676001</v>
      </c>
      <c r="D4214" s="23" t="s">
        <v>18</v>
      </c>
      <c r="E4214" s="23" t="s">
        <v>549</v>
      </c>
      <c r="F4214" s="23" t="str">
        <f>"2170676780 "</f>
        <v xml:space="preserve">2170676780 </v>
      </c>
      <c r="G4214" s="23" t="str">
        <f t="shared" si="117"/>
        <v>ON1</v>
      </c>
      <c r="H4214" s="23" t="s">
        <v>20</v>
      </c>
      <c r="I4214" s="23" t="s">
        <v>130</v>
      </c>
      <c r="J4214" s="23" t="str">
        <f>""</f>
        <v/>
      </c>
      <c r="K4214" s="23" t="str">
        <f>"PFES1162676001_0001"</f>
        <v>PFES1162676001_0001</v>
      </c>
      <c r="L4214" s="23">
        <v>1</v>
      </c>
      <c r="M4214" s="23">
        <v>2</v>
      </c>
    </row>
    <row r="4215" spans="1:13">
      <c r="A4215" s="6">
        <v>43524</v>
      </c>
      <c r="B4215" s="7">
        <v>0.58333333333333337</v>
      </c>
      <c r="C4215" s="23" t="str">
        <f>"FES1162675968"</f>
        <v>FES1162675968</v>
      </c>
      <c r="D4215" s="23" t="s">
        <v>18</v>
      </c>
      <c r="E4215" s="23" t="s">
        <v>601</v>
      </c>
      <c r="F4215" s="23" t="str">
        <f>"2170676730"</f>
        <v>2170676730</v>
      </c>
      <c r="G4215" s="23" t="str">
        <f t="shared" si="117"/>
        <v>ON1</v>
      </c>
      <c r="H4215" s="23" t="s">
        <v>20</v>
      </c>
      <c r="I4215" s="23" t="s">
        <v>602</v>
      </c>
      <c r="K4215" s="23" t="str">
        <f>"PFES1162675968_0001"</f>
        <v>PFES1162675968_0001</v>
      </c>
      <c r="L4215" s="23">
        <v>1</v>
      </c>
      <c r="M4215" s="23">
        <v>2</v>
      </c>
    </row>
    <row r="4216" spans="1:13">
      <c r="A4216" s="6">
        <v>43524</v>
      </c>
      <c r="B4216" s="7">
        <v>0.57916666666666672</v>
      </c>
      <c r="C4216" s="23" t="str">
        <f>"FES1162676023"</f>
        <v>FES1162676023</v>
      </c>
      <c r="D4216" s="23" t="s">
        <v>18</v>
      </c>
      <c r="E4216" s="23" t="s">
        <v>26</v>
      </c>
      <c r="F4216" s="23" t="str">
        <f>"2170676753 "</f>
        <v xml:space="preserve">2170676753 </v>
      </c>
      <c r="G4216" s="23" t="str">
        <f t="shared" si="117"/>
        <v>ON1</v>
      </c>
      <c r="H4216" s="23" t="s">
        <v>20</v>
      </c>
      <c r="I4216" s="23" t="s">
        <v>27</v>
      </c>
      <c r="J4216" s="23" t="str">
        <f>""</f>
        <v/>
      </c>
      <c r="K4216" s="23" t="str">
        <f>"PFES1162676023_0001"</f>
        <v>PFES1162676023_0001</v>
      </c>
      <c r="L4216" s="23">
        <v>1</v>
      </c>
      <c r="M4216" s="23">
        <v>1</v>
      </c>
    </row>
    <row r="4217" spans="1:13">
      <c r="A4217" s="6">
        <v>43524</v>
      </c>
      <c r="B4217" s="7">
        <v>0.57847222222222217</v>
      </c>
      <c r="C4217" s="23" t="str">
        <f>"FES1162676009"</f>
        <v>FES1162676009</v>
      </c>
      <c r="D4217" s="23" t="s">
        <v>18</v>
      </c>
      <c r="E4217" s="23" t="s">
        <v>1242</v>
      </c>
      <c r="F4217" s="23" t="str">
        <f>"2170676790 "</f>
        <v xml:space="preserve">2170676790 </v>
      </c>
      <c r="G4217" s="23" t="str">
        <f t="shared" si="117"/>
        <v>ON1</v>
      </c>
      <c r="H4217" s="23" t="s">
        <v>20</v>
      </c>
      <c r="I4217" s="23" t="s">
        <v>63</v>
      </c>
      <c r="J4217" s="23" t="str">
        <f>""</f>
        <v/>
      </c>
      <c r="K4217" s="23" t="str">
        <f>"PFES1162676009_0001"</f>
        <v>PFES1162676009_0001</v>
      </c>
      <c r="L4217" s="23">
        <v>1</v>
      </c>
      <c r="M4217" s="23">
        <v>1</v>
      </c>
    </row>
    <row r="4218" spans="1:13">
      <c r="A4218" s="6">
        <v>43524</v>
      </c>
      <c r="B4218" s="7">
        <v>0.57847222222222217</v>
      </c>
      <c r="C4218" s="23" t="str">
        <f>"FES1162676024"</f>
        <v>FES1162676024</v>
      </c>
      <c r="D4218" s="23" t="s">
        <v>18</v>
      </c>
      <c r="E4218" s="23" t="s">
        <v>45</v>
      </c>
      <c r="F4218" s="23" t="str">
        <f>"2170676802 "</f>
        <v xml:space="preserve">2170676802 </v>
      </c>
      <c r="G4218" s="23" t="str">
        <f t="shared" si="117"/>
        <v>ON1</v>
      </c>
      <c r="H4218" s="23" t="s">
        <v>20</v>
      </c>
      <c r="I4218" s="23" t="s">
        <v>46</v>
      </c>
      <c r="J4218" s="23" t="str">
        <f>""</f>
        <v/>
      </c>
      <c r="K4218" s="23" t="str">
        <f>"PFES1162676024_0001"</f>
        <v>PFES1162676024_0001</v>
      </c>
      <c r="L4218" s="23">
        <v>1</v>
      </c>
      <c r="M4218" s="23">
        <v>1</v>
      </c>
    </row>
    <row r="4219" spans="1:13">
      <c r="A4219" s="6">
        <v>43524</v>
      </c>
      <c r="B4219" s="7">
        <v>0.57847222222222217</v>
      </c>
      <c r="C4219" s="23" t="str">
        <f>"FES1162676028"</f>
        <v>FES1162676028</v>
      </c>
      <c r="D4219" s="23" t="s">
        <v>18</v>
      </c>
      <c r="E4219" s="23" t="s">
        <v>19</v>
      </c>
      <c r="F4219" s="23" t="str">
        <f>"2170676812 "</f>
        <v xml:space="preserve">2170676812 </v>
      </c>
      <c r="G4219" s="23" t="str">
        <f t="shared" si="117"/>
        <v>ON1</v>
      </c>
      <c r="H4219" s="23" t="s">
        <v>20</v>
      </c>
      <c r="I4219" s="23" t="s">
        <v>21</v>
      </c>
      <c r="J4219" s="23" t="str">
        <f>""</f>
        <v/>
      </c>
      <c r="K4219" s="23" t="str">
        <f>"PFES1162676028_0001"</f>
        <v>PFES1162676028_0001</v>
      </c>
      <c r="L4219" s="23">
        <v>1</v>
      </c>
      <c r="M4219" s="23">
        <v>1</v>
      </c>
    </row>
    <row r="4220" spans="1:13">
      <c r="A4220" s="6">
        <v>43524</v>
      </c>
      <c r="B4220" s="7">
        <v>0.57777777777777783</v>
      </c>
      <c r="C4220" s="23" t="str">
        <f>"FES1162675999"</f>
        <v>FES1162675999</v>
      </c>
      <c r="D4220" s="23" t="s">
        <v>18</v>
      </c>
      <c r="E4220" s="23" t="s">
        <v>331</v>
      </c>
      <c r="F4220" s="23" t="str">
        <f>"2170676778 "</f>
        <v xml:space="preserve">2170676778 </v>
      </c>
      <c r="G4220" s="23" t="str">
        <f t="shared" si="117"/>
        <v>ON1</v>
      </c>
      <c r="H4220" s="23" t="s">
        <v>20</v>
      </c>
      <c r="I4220" s="23" t="s">
        <v>43</v>
      </c>
      <c r="J4220" s="23" t="str">
        <f>""</f>
        <v/>
      </c>
      <c r="K4220" s="23" t="str">
        <f>"PFES1162675999_0001"</f>
        <v>PFES1162675999_0001</v>
      </c>
      <c r="L4220" s="23">
        <v>1</v>
      </c>
      <c r="M4220" s="23">
        <v>1</v>
      </c>
    </row>
    <row r="4221" spans="1:13">
      <c r="A4221" s="6">
        <v>43524</v>
      </c>
      <c r="B4221" s="7">
        <v>0.57430555555555551</v>
      </c>
      <c r="C4221" s="23" t="str">
        <f>"FES1162675998"</f>
        <v>FES1162675998</v>
      </c>
      <c r="D4221" s="23" t="s">
        <v>18</v>
      </c>
      <c r="E4221" s="23" t="s">
        <v>138</v>
      </c>
      <c r="F4221" s="23" t="str">
        <f>"2170676771 "</f>
        <v xml:space="preserve">2170676771 </v>
      </c>
      <c r="G4221" s="23" t="str">
        <f t="shared" si="117"/>
        <v>ON1</v>
      </c>
      <c r="H4221" s="23" t="s">
        <v>20</v>
      </c>
      <c r="I4221" s="23" t="s">
        <v>139</v>
      </c>
      <c r="J4221" s="23" t="str">
        <f>""</f>
        <v/>
      </c>
      <c r="K4221" s="23" t="str">
        <f>"PFES1162675998_0001"</f>
        <v>PFES1162675998_0001</v>
      </c>
      <c r="L4221" s="23">
        <v>1</v>
      </c>
      <c r="M4221" s="23">
        <v>1</v>
      </c>
    </row>
    <row r="4222" spans="1:13">
      <c r="A4222" s="6">
        <v>43524</v>
      </c>
      <c r="B4222" s="7">
        <v>0.57430555555555551</v>
      </c>
      <c r="C4222" s="23" t="str">
        <f>"FES1162675969"</f>
        <v>FES1162675969</v>
      </c>
      <c r="D4222" s="23" t="s">
        <v>18</v>
      </c>
      <c r="E4222" s="23" t="s">
        <v>88</v>
      </c>
      <c r="F4222" s="23" t="str">
        <f>"21706767631 "</f>
        <v xml:space="preserve">21706767631 </v>
      </c>
      <c r="G4222" s="23" t="str">
        <f t="shared" si="117"/>
        <v>ON1</v>
      </c>
      <c r="H4222" s="23" t="s">
        <v>20</v>
      </c>
      <c r="I4222" s="23" t="s">
        <v>53</v>
      </c>
      <c r="J4222" s="23" t="str">
        <f>""</f>
        <v/>
      </c>
      <c r="K4222" s="23" t="str">
        <f>"PFES1162675969_0001"</f>
        <v>PFES1162675969_0001</v>
      </c>
      <c r="L4222" s="23">
        <v>1</v>
      </c>
      <c r="M4222" s="23">
        <v>1</v>
      </c>
    </row>
    <row r="4223" spans="1:13">
      <c r="A4223" s="6">
        <v>43524</v>
      </c>
      <c r="B4223" s="7">
        <v>0.57430555555555551</v>
      </c>
      <c r="C4223" s="23" t="str">
        <f>"FES1162675985"</f>
        <v>FES1162675985</v>
      </c>
      <c r="D4223" s="23" t="s">
        <v>18</v>
      </c>
      <c r="E4223" s="23" t="s">
        <v>1243</v>
      </c>
      <c r="F4223" s="23" t="str">
        <f>"2170676754 "</f>
        <v xml:space="preserve">2170676754 </v>
      </c>
      <c r="G4223" s="23" t="str">
        <f t="shared" si="117"/>
        <v>ON1</v>
      </c>
      <c r="H4223" s="23" t="s">
        <v>20</v>
      </c>
      <c r="I4223" s="23" t="s">
        <v>93</v>
      </c>
      <c r="J4223" s="23" t="str">
        <f>""</f>
        <v/>
      </c>
      <c r="K4223" s="23" t="str">
        <f>"PFES1162675985_0001"</f>
        <v>PFES1162675985_0001</v>
      </c>
      <c r="L4223" s="23">
        <v>1</v>
      </c>
      <c r="M4223" s="23">
        <v>1</v>
      </c>
    </row>
    <row r="4224" spans="1:13">
      <c r="A4224" s="6">
        <v>43524</v>
      </c>
      <c r="B4224" s="7">
        <v>0.57361111111111118</v>
      </c>
      <c r="C4224" s="23" t="str">
        <f>"FES1162676010"</f>
        <v>FES1162676010</v>
      </c>
      <c r="D4224" s="23" t="s">
        <v>18</v>
      </c>
      <c r="E4224" s="23" t="s">
        <v>1244</v>
      </c>
      <c r="F4224" s="23" t="str">
        <f>"2170676791 "</f>
        <v xml:space="preserve">2170676791 </v>
      </c>
      <c r="G4224" s="23" t="str">
        <f t="shared" si="117"/>
        <v>ON1</v>
      </c>
      <c r="H4224" s="23" t="s">
        <v>20</v>
      </c>
      <c r="I4224" s="23" t="s">
        <v>276</v>
      </c>
      <c r="J4224" s="23" t="str">
        <f>""</f>
        <v/>
      </c>
      <c r="K4224" s="23" t="str">
        <f>"PFES1162676010_0001"</f>
        <v>PFES1162676010_0001</v>
      </c>
      <c r="L4224" s="23">
        <v>1</v>
      </c>
      <c r="M4224" s="23">
        <v>1</v>
      </c>
    </row>
    <row r="4225" spans="1:13">
      <c r="A4225" s="6">
        <v>43524</v>
      </c>
      <c r="B4225" s="7">
        <v>0.57291666666666663</v>
      </c>
      <c r="C4225" s="23" t="str">
        <f>"FES1162675975"</f>
        <v>FES1162675975</v>
      </c>
      <c r="D4225" s="23" t="s">
        <v>18</v>
      </c>
      <c r="E4225" s="23" t="s">
        <v>115</v>
      </c>
      <c r="F4225" s="23" t="str">
        <f>"217067674 "</f>
        <v xml:space="preserve">217067674 </v>
      </c>
      <c r="G4225" s="23" t="str">
        <f t="shared" si="117"/>
        <v>ON1</v>
      </c>
      <c r="H4225" s="23" t="s">
        <v>20</v>
      </c>
      <c r="I4225" s="23" t="s">
        <v>93</v>
      </c>
      <c r="J4225" s="23" t="str">
        <f>""</f>
        <v/>
      </c>
      <c r="K4225" s="23" t="str">
        <f>"PFES1162675975_0001"</f>
        <v>PFES1162675975_0001</v>
      </c>
      <c r="L4225" s="23">
        <v>1</v>
      </c>
      <c r="M4225" s="23">
        <v>1</v>
      </c>
    </row>
    <row r="4226" spans="1:13">
      <c r="A4226" s="6">
        <v>43524</v>
      </c>
      <c r="B4226" s="7">
        <v>0.57291666666666663</v>
      </c>
      <c r="C4226" s="23" t="str">
        <f>"FES1162676003"</f>
        <v>FES1162676003</v>
      </c>
      <c r="D4226" s="23" t="s">
        <v>18</v>
      </c>
      <c r="E4226" s="23" t="s">
        <v>84</v>
      </c>
      <c r="F4226" s="23" t="str">
        <f>"217067683 "</f>
        <v xml:space="preserve">217067683 </v>
      </c>
      <c r="G4226" s="23" t="str">
        <f t="shared" si="117"/>
        <v>ON1</v>
      </c>
      <c r="H4226" s="23" t="s">
        <v>20</v>
      </c>
      <c r="I4226" s="23" t="s">
        <v>85</v>
      </c>
      <c r="J4226" s="23" t="str">
        <f>""</f>
        <v/>
      </c>
      <c r="K4226" s="23" t="str">
        <f>"PFES1162676003_0001"</f>
        <v>PFES1162676003_0001</v>
      </c>
      <c r="L4226" s="23">
        <v>1</v>
      </c>
      <c r="M4226" s="23">
        <v>1</v>
      </c>
    </row>
    <row r="4227" spans="1:13">
      <c r="A4227" s="6">
        <v>43524</v>
      </c>
      <c r="B4227" s="7">
        <v>0.57222222222222219</v>
      </c>
      <c r="C4227" s="23" t="str">
        <f>"FES1162676015"</f>
        <v>FES1162676015</v>
      </c>
      <c r="D4227" s="23" t="s">
        <v>18</v>
      </c>
      <c r="E4227" s="23" t="s">
        <v>1245</v>
      </c>
      <c r="F4227" s="23" t="str">
        <f>"2170676800 "</f>
        <v xml:space="preserve">2170676800 </v>
      </c>
      <c r="G4227" s="23" t="str">
        <f t="shared" si="117"/>
        <v>ON1</v>
      </c>
      <c r="H4227" s="23" t="s">
        <v>20</v>
      </c>
      <c r="I4227" s="23" t="s">
        <v>455</v>
      </c>
      <c r="J4227" s="23" t="str">
        <f>""</f>
        <v/>
      </c>
      <c r="K4227" s="23" t="str">
        <f>"PFES1162676015_0001"</f>
        <v>PFES1162676015_0001</v>
      </c>
      <c r="L4227" s="23">
        <v>1</v>
      </c>
      <c r="M4227" s="23">
        <v>1</v>
      </c>
    </row>
    <row r="4228" spans="1:13">
      <c r="A4228" s="6">
        <v>43524</v>
      </c>
      <c r="B4228" s="7">
        <v>0.57222222222222219</v>
      </c>
      <c r="C4228" s="23" t="str">
        <f>"FES1162676002"</f>
        <v>FES1162676002</v>
      </c>
      <c r="D4228" s="23" t="s">
        <v>18</v>
      </c>
      <c r="E4228" s="23" t="s">
        <v>309</v>
      </c>
      <c r="F4228" s="23" t="str">
        <f>"2170676441 "</f>
        <v xml:space="preserve">2170676441 </v>
      </c>
      <c r="G4228" s="23" t="str">
        <f t="shared" si="117"/>
        <v>ON1</v>
      </c>
      <c r="H4228" s="23" t="s">
        <v>20</v>
      </c>
      <c r="I4228" s="23" t="s">
        <v>310</v>
      </c>
      <c r="J4228" s="23" t="str">
        <f>""</f>
        <v/>
      </c>
      <c r="K4228" s="23" t="str">
        <f>"PFES1162676002_0001"</f>
        <v>PFES1162676002_0001</v>
      </c>
      <c r="L4228" s="23">
        <v>1</v>
      </c>
      <c r="M4228" s="23">
        <v>1</v>
      </c>
    </row>
    <row r="4229" spans="1:13">
      <c r="A4229" s="6">
        <v>43524</v>
      </c>
      <c r="B4229" s="7">
        <v>0.57152777777777775</v>
      </c>
      <c r="C4229" s="23" t="str">
        <f>"FES1162676025"</f>
        <v>FES1162676025</v>
      </c>
      <c r="D4229" s="23" t="s">
        <v>18</v>
      </c>
      <c r="E4229" s="23" t="s">
        <v>281</v>
      </c>
      <c r="F4229" s="23" t="str">
        <f>"2170676805 "</f>
        <v xml:space="preserve">2170676805 </v>
      </c>
      <c r="G4229" s="23" t="str">
        <f t="shared" si="117"/>
        <v>ON1</v>
      </c>
      <c r="H4229" s="23" t="s">
        <v>20</v>
      </c>
      <c r="I4229" s="23" t="s">
        <v>282</v>
      </c>
      <c r="J4229" s="23" t="str">
        <f>""</f>
        <v/>
      </c>
      <c r="K4229" s="23" t="str">
        <f>"PFES1162676025_0001"</f>
        <v>PFES1162676025_0001</v>
      </c>
      <c r="L4229" s="23">
        <v>1</v>
      </c>
      <c r="M4229" s="23">
        <v>1</v>
      </c>
    </row>
    <row r="4230" spans="1:13">
      <c r="A4230" s="6">
        <v>43524</v>
      </c>
      <c r="B4230" s="7">
        <v>0.56388888888888888</v>
      </c>
      <c r="C4230" s="23" t="str">
        <f>"FES1162675908"</f>
        <v>FES1162675908</v>
      </c>
      <c r="D4230" s="23" t="s">
        <v>18</v>
      </c>
      <c r="E4230" s="23" t="s">
        <v>710</v>
      </c>
      <c r="F4230" s="23" t="str">
        <f>"2170673120 "</f>
        <v xml:space="preserve">2170673120 </v>
      </c>
      <c r="G4230" s="23" t="str">
        <f t="shared" si="117"/>
        <v>ON1</v>
      </c>
      <c r="H4230" s="23" t="s">
        <v>20</v>
      </c>
      <c r="I4230" s="23" t="s">
        <v>378</v>
      </c>
      <c r="J4230" s="23" t="str">
        <f>""</f>
        <v/>
      </c>
      <c r="K4230" s="23" t="str">
        <f>"PFES1162675908_0001"</f>
        <v>PFES1162675908_0001</v>
      </c>
      <c r="L4230" s="23">
        <v>1</v>
      </c>
      <c r="M4230" s="23">
        <v>4</v>
      </c>
    </row>
    <row r="4231" spans="1:13">
      <c r="A4231" s="6">
        <v>43524</v>
      </c>
      <c r="B4231" s="7">
        <v>0.56111111111111112</v>
      </c>
      <c r="C4231" s="23" t="str">
        <f>"FES1162675895"</f>
        <v>FES1162675895</v>
      </c>
      <c r="D4231" s="23" t="s">
        <v>18</v>
      </c>
      <c r="E4231" s="23" t="s">
        <v>178</v>
      </c>
      <c r="F4231" s="23" t="str">
        <f>"2170675759 "</f>
        <v xml:space="preserve">2170675759 </v>
      </c>
      <c r="G4231" s="23" t="str">
        <f t="shared" si="117"/>
        <v>ON1</v>
      </c>
      <c r="H4231" s="23" t="s">
        <v>20</v>
      </c>
      <c r="I4231" s="23" t="s">
        <v>29</v>
      </c>
      <c r="J4231" s="23" t="str">
        <f>""</f>
        <v/>
      </c>
      <c r="K4231" s="23" t="str">
        <f>"PFES1162675895_0001"</f>
        <v>PFES1162675895_0001</v>
      </c>
      <c r="L4231" s="23">
        <v>1</v>
      </c>
      <c r="M4231" s="23">
        <v>1</v>
      </c>
    </row>
    <row r="4232" spans="1:13">
      <c r="A4232" s="6">
        <v>43524</v>
      </c>
      <c r="B4232" s="7">
        <v>0.55902777777777779</v>
      </c>
      <c r="C4232" s="23" t="str">
        <f>"FES1162675763"</f>
        <v>FES1162675763</v>
      </c>
      <c r="D4232" s="23" t="s">
        <v>18</v>
      </c>
      <c r="E4232" s="23" t="s">
        <v>1223</v>
      </c>
      <c r="F4232" s="23" t="str">
        <f>"2170676517 "</f>
        <v xml:space="preserve">2170676517 </v>
      </c>
      <c r="G4232" s="23" t="str">
        <f t="shared" si="117"/>
        <v>ON1</v>
      </c>
      <c r="H4232" s="23" t="s">
        <v>20</v>
      </c>
      <c r="I4232" s="23" t="s">
        <v>133</v>
      </c>
      <c r="J4232" s="23" t="str">
        <f>""</f>
        <v/>
      </c>
      <c r="K4232" s="23" t="str">
        <f>"PFES1162675763_0001"</f>
        <v>PFES1162675763_0001</v>
      </c>
      <c r="L4232" s="23">
        <v>1</v>
      </c>
      <c r="M4232" s="23">
        <v>3</v>
      </c>
    </row>
    <row r="4233" spans="1:13">
      <c r="A4233" s="6">
        <v>43524</v>
      </c>
      <c r="B4233" s="7">
        <v>0.55763888888888891</v>
      </c>
      <c r="C4233" s="23" t="str">
        <f>"FES1162675973"</f>
        <v>FES1162675973</v>
      </c>
      <c r="D4233" s="23" t="s">
        <v>18</v>
      </c>
      <c r="E4233" s="23" t="s">
        <v>382</v>
      </c>
      <c r="F4233" s="23" t="str">
        <f>"2170676736 "</f>
        <v xml:space="preserve">2170676736 </v>
      </c>
      <c r="G4233" s="23" t="str">
        <f>"DBC"</f>
        <v>DBC</v>
      </c>
      <c r="H4233" s="23" t="s">
        <v>20</v>
      </c>
      <c r="I4233" s="23" t="s">
        <v>383</v>
      </c>
      <c r="J4233" s="23" t="str">
        <f>""</f>
        <v/>
      </c>
      <c r="K4233" s="23" t="str">
        <f>"PFES1162675973_0001"</f>
        <v>PFES1162675973_0001</v>
      </c>
      <c r="L4233" s="23">
        <v>1</v>
      </c>
      <c r="M4233" s="23">
        <v>24</v>
      </c>
    </row>
    <row r="4234" spans="1:13">
      <c r="A4234" s="6">
        <v>43524</v>
      </c>
      <c r="B4234" s="7">
        <v>0.55694444444444446</v>
      </c>
      <c r="C4234" s="23" t="str">
        <f>"FES1162675970"</f>
        <v>FES1162675970</v>
      </c>
      <c r="D4234" s="23" t="s">
        <v>18</v>
      </c>
      <c r="E4234" s="23" t="s">
        <v>1246</v>
      </c>
      <c r="F4234" s="23" t="str">
        <f>"2170676732 "</f>
        <v xml:space="preserve">2170676732 </v>
      </c>
      <c r="G4234" s="23" t="str">
        <f t="shared" ref="G4234:G4297" si="118">"ON1"</f>
        <v>ON1</v>
      </c>
      <c r="H4234" s="23" t="s">
        <v>20</v>
      </c>
      <c r="I4234" s="23" t="s">
        <v>89</v>
      </c>
      <c r="J4234" s="23" t="str">
        <f>""</f>
        <v/>
      </c>
      <c r="K4234" s="23" t="str">
        <f>"PFES1162675970_0001"</f>
        <v>PFES1162675970_0001</v>
      </c>
      <c r="L4234" s="23">
        <v>1</v>
      </c>
      <c r="M4234" s="23">
        <v>16</v>
      </c>
    </row>
    <row r="4235" spans="1:13">
      <c r="A4235" s="6">
        <v>43524</v>
      </c>
      <c r="B4235" s="7">
        <v>0.55555555555555558</v>
      </c>
      <c r="C4235" s="23" t="str">
        <f>"FES1162675882"</f>
        <v>FES1162675882</v>
      </c>
      <c r="D4235" s="23" t="s">
        <v>18</v>
      </c>
      <c r="E4235" s="23" t="s">
        <v>144</v>
      </c>
      <c r="F4235" s="23" t="str">
        <f>"2170671830 "</f>
        <v xml:space="preserve">2170671830 </v>
      </c>
      <c r="G4235" s="23" t="str">
        <f t="shared" si="118"/>
        <v>ON1</v>
      </c>
      <c r="H4235" s="23" t="s">
        <v>20</v>
      </c>
      <c r="I4235" s="23" t="s">
        <v>145</v>
      </c>
      <c r="J4235" s="23" t="str">
        <f>""</f>
        <v/>
      </c>
      <c r="K4235" s="23" t="str">
        <f>"PFES1162675882_0001"</f>
        <v>PFES1162675882_0001</v>
      </c>
      <c r="L4235" s="23">
        <v>1</v>
      </c>
      <c r="M4235" s="23">
        <v>2</v>
      </c>
    </row>
    <row r="4236" spans="1:13">
      <c r="A4236" s="6">
        <v>43524</v>
      </c>
      <c r="B4236" s="7">
        <v>0.55486111111111114</v>
      </c>
      <c r="C4236" s="23" t="str">
        <f>"FES1162675896"</f>
        <v>FES1162675896</v>
      </c>
      <c r="D4236" s="23" t="s">
        <v>18</v>
      </c>
      <c r="E4236" s="23" t="s">
        <v>1247</v>
      </c>
      <c r="F4236" s="23" t="str">
        <f>"2170675841 "</f>
        <v xml:space="preserve">2170675841 </v>
      </c>
      <c r="G4236" s="23" t="str">
        <f t="shared" si="118"/>
        <v>ON1</v>
      </c>
      <c r="H4236" s="23" t="s">
        <v>20</v>
      </c>
      <c r="I4236" s="23" t="s">
        <v>221</v>
      </c>
      <c r="J4236" s="23" t="str">
        <f>""</f>
        <v/>
      </c>
      <c r="K4236" s="23" t="str">
        <f>"PFES1162675896_0001"</f>
        <v>PFES1162675896_0001</v>
      </c>
      <c r="L4236" s="23">
        <v>1</v>
      </c>
      <c r="M4236" s="23">
        <v>1</v>
      </c>
    </row>
    <row r="4237" spans="1:13">
      <c r="A4237" s="6">
        <v>43524</v>
      </c>
      <c r="B4237" s="7">
        <v>0.55347222222222225</v>
      </c>
      <c r="C4237" s="23" t="str">
        <f>"FES1162675914"</f>
        <v>FES1162675914</v>
      </c>
      <c r="D4237" s="23" t="s">
        <v>18</v>
      </c>
      <c r="E4237" s="23" t="s">
        <v>866</v>
      </c>
      <c r="F4237" s="23" t="str">
        <f>"2170675189 "</f>
        <v xml:space="preserve">2170675189 </v>
      </c>
      <c r="G4237" s="23" t="str">
        <f t="shared" si="118"/>
        <v>ON1</v>
      </c>
      <c r="H4237" s="23" t="s">
        <v>20</v>
      </c>
      <c r="I4237" s="23" t="s">
        <v>867</v>
      </c>
      <c r="J4237" s="23" t="str">
        <f>""</f>
        <v/>
      </c>
      <c r="K4237" s="23" t="str">
        <f>"PFES1162675914_0001"</f>
        <v>PFES1162675914_0001</v>
      </c>
      <c r="L4237" s="23">
        <v>1</v>
      </c>
      <c r="M4237" s="23">
        <v>15</v>
      </c>
    </row>
    <row r="4238" spans="1:13">
      <c r="A4238" s="6">
        <v>43524</v>
      </c>
      <c r="B4238" s="7">
        <v>0.55277777777777781</v>
      </c>
      <c r="C4238" s="23" t="str">
        <f>"FES1162675897"</f>
        <v>FES1162675897</v>
      </c>
      <c r="D4238" s="23" t="s">
        <v>18</v>
      </c>
      <c r="E4238" s="23" t="s">
        <v>19</v>
      </c>
      <c r="F4238" s="23" t="str">
        <f>"2170675960 "</f>
        <v xml:space="preserve">2170675960 </v>
      </c>
      <c r="G4238" s="23" t="str">
        <f t="shared" si="118"/>
        <v>ON1</v>
      </c>
      <c r="H4238" s="23" t="s">
        <v>20</v>
      </c>
      <c r="I4238" s="23" t="s">
        <v>21</v>
      </c>
      <c r="J4238" s="23" t="str">
        <f>""</f>
        <v/>
      </c>
      <c r="K4238" s="23" t="str">
        <f>"PFES1162675897_0001"</f>
        <v>PFES1162675897_0001</v>
      </c>
      <c r="L4238" s="23">
        <v>1</v>
      </c>
      <c r="M4238" s="23">
        <v>1</v>
      </c>
    </row>
    <row r="4239" spans="1:13">
      <c r="A4239" s="6">
        <v>43524</v>
      </c>
      <c r="B4239" s="7">
        <v>0.54999999999999993</v>
      </c>
      <c r="C4239" s="23" t="str">
        <f>"FES1162675913"</f>
        <v>FES1162675913</v>
      </c>
      <c r="D4239" s="23" t="s">
        <v>18</v>
      </c>
      <c r="E4239" s="23" t="s">
        <v>866</v>
      </c>
      <c r="F4239" s="23" t="str">
        <f>"2170675187 "</f>
        <v xml:space="preserve">2170675187 </v>
      </c>
      <c r="G4239" s="23" t="str">
        <f t="shared" si="118"/>
        <v>ON1</v>
      </c>
      <c r="H4239" s="23" t="s">
        <v>20</v>
      </c>
      <c r="I4239" s="23" t="s">
        <v>867</v>
      </c>
      <c r="J4239" s="23" t="str">
        <f>""</f>
        <v/>
      </c>
      <c r="K4239" s="23" t="str">
        <f>"PFES1162675913_0001"</f>
        <v>PFES1162675913_0001</v>
      </c>
      <c r="L4239" s="23">
        <v>1</v>
      </c>
      <c r="M4239" s="23">
        <v>2</v>
      </c>
    </row>
    <row r="4240" spans="1:13">
      <c r="A4240" s="6">
        <v>43524</v>
      </c>
      <c r="B4240" s="7">
        <v>0.54861111111111105</v>
      </c>
      <c r="C4240" s="23" t="str">
        <f>"FES1162675910"</f>
        <v>FES1162675910</v>
      </c>
      <c r="D4240" s="23" t="s">
        <v>18</v>
      </c>
      <c r="E4240" s="23" t="s">
        <v>866</v>
      </c>
      <c r="F4240" s="23" t="str">
        <f>"2170674637 "</f>
        <v xml:space="preserve">2170674637 </v>
      </c>
      <c r="G4240" s="23" t="str">
        <f t="shared" si="118"/>
        <v>ON1</v>
      </c>
      <c r="H4240" s="23" t="s">
        <v>20</v>
      </c>
      <c r="I4240" s="23" t="s">
        <v>867</v>
      </c>
      <c r="J4240" s="23" t="str">
        <f>""</f>
        <v/>
      </c>
      <c r="K4240" s="23" t="str">
        <f>"PFES1162675910_0001"</f>
        <v>PFES1162675910_0001</v>
      </c>
      <c r="L4240" s="23">
        <v>1</v>
      </c>
      <c r="M4240" s="23">
        <v>2</v>
      </c>
    </row>
    <row r="4241" spans="1:13">
      <c r="A4241" s="6">
        <v>43524</v>
      </c>
      <c r="B4241" s="7">
        <v>0.54722222222222217</v>
      </c>
      <c r="C4241" s="23" t="str">
        <f>"FES1162675935"</f>
        <v>FES1162675935</v>
      </c>
      <c r="D4241" s="23" t="s">
        <v>18</v>
      </c>
      <c r="E4241" s="23" t="s">
        <v>235</v>
      </c>
      <c r="F4241" s="23" t="str">
        <f>"2170676671 "</f>
        <v xml:space="preserve">2170676671 </v>
      </c>
      <c r="G4241" s="23" t="str">
        <f t="shared" si="118"/>
        <v>ON1</v>
      </c>
      <c r="H4241" s="23" t="s">
        <v>20</v>
      </c>
      <c r="I4241" s="23" t="s">
        <v>143</v>
      </c>
      <c r="J4241" s="23" t="str">
        <f>""</f>
        <v/>
      </c>
      <c r="K4241" s="23" t="str">
        <f>"PFES1162675935_0001"</f>
        <v>PFES1162675935_0001</v>
      </c>
      <c r="L4241" s="23">
        <v>1</v>
      </c>
      <c r="M4241" s="23">
        <v>1</v>
      </c>
    </row>
    <row r="4242" spans="1:13">
      <c r="A4242" s="6">
        <v>43524</v>
      </c>
      <c r="B4242" s="7">
        <v>0.54583333333333328</v>
      </c>
      <c r="C4242" s="23" t="str">
        <f>"FES1162675961"</f>
        <v>FES1162675961</v>
      </c>
      <c r="D4242" s="23" t="s">
        <v>18</v>
      </c>
      <c r="E4242" s="23" t="s">
        <v>693</v>
      </c>
      <c r="F4242" s="23" t="str">
        <f>"2170676719 "</f>
        <v xml:space="preserve">2170676719 </v>
      </c>
      <c r="G4242" s="23" t="str">
        <f t="shared" si="118"/>
        <v>ON1</v>
      </c>
      <c r="H4242" s="23" t="s">
        <v>20</v>
      </c>
      <c r="I4242" s="23" t="s">
        <v>694</v>
      </c>
      <c r="J4242" s="23" t="str">
        <f>""</f>
        <v/>
      </c>
      <c r="K4242" s="23" t="str">
        <f>"PFES1162675961_0001"</f>
        <v>PFES1162675961_0001</v>
      </c>
      <c r="L4242" s="23">
        <v>1</v>
      </c>
      <c r="M4242" s="23">
        <v>1</v>
      </c>
    </row>
    <row r="4243" spans="1:13">
      <c r="A4243" s="6">
        <v>43524</v>
      </c>
      <c r="B4243" s="7">
        <v>0.5444444444444444</v>
      </c>
      <c r="C4243" s="23" t="str">
        <f>"FES1162675965"</f>
        <v>FES1162675965</v>
      </c>
      <c r="D4243" s="23" t="s">
        <v>18</v>
      </c>
      <c r="E4243" s="23" t="s">
        <v>1248</v>
      </c>
      <c r="F4243" s="23" t="str">
        <f>"2170676722 "</f>
        <v xml:space="preserve">2170676722 </v>
      </c>
      <c r="G4243" s="23" t="str">
        <f t="shared" si="118"/>
        <v>ON1</v>
      </c>
      <c r="H4243" s="23" t="s">
        <v>20</v>
      </c>
      <c r="I4243" s="23" t="s">
        <v>81</v>
      </c>
      <c r="J4243" s="23" t="str">
        <f>""</f>
        <v/>
      </c>
      <c r="K4243" s="23" t="str">
        <f>"PFES1162675965_0001"</f>
        <v>PFES1162675965_0001</v>
      </c>
      <c r="L4243" s="23">
        <v>1</v>
      </c>
      <c r="M4243" s="23">
        <v>3</v>
      </c>
    </row>
    <row r="4244" spans="1:13">
      <c r="A4244" s="6">
        <v>43524</v>
      </c>
      <c r="B4244" s="7">
        <v>0.54027777777777775</v>
      </c>
      <c r="C4244" s="23" t="str">
        <f>"FES1162675934"</f>
        <v>FES1162675934</v>
      </c>
      <c r="D4244" s="23" t="s">
        <v>18</v>
      </c>
      <c r="E4244" s="23" t="s">
        <v>235</v>
      </c>
      <c r="F4244" s="23" t="str">
        <f>"2170676670 "</f>
        <v xml:space="preserve">2170676670 </v>
      </c>
      <c r="G4244" s="23" t="str">
        <f t="shared" si="118"/>
        <v>ON1</v>
      </c>
      <c r="H4244" s="23" t="s">
        <v>20</v>
      </c>
      <c r="I4244" s="23" t="s">
        <v>143</v>
      </c>
      <c r="J4244" s="23" t="str">
        <f>""</f>
        <v/>
      </c>
      <c r="K4244" s="23" t="str">
        <f>"PFES1162675934_0001"</f>
        <v>PFES1162675934_0001</v>
      </c>
      <c r="L4244" s="23">
        <v>1</v>
      </c>
      <c r="M4244" s="23">
        <v>3</v>
      </c>
    </row>
    <row r="4245" spans="1:13">
      <c r="A4245" s="6">
        <v>43524</v>
      </c>
      <c r="B4245" s="7">
        <v>0.53888888888888886</v>
      </c>
      <c r="C4245" s="23" t="str">
        <f>"FES1162675948"</f>
        <v>FES1162675948</v>
      </c>
      <c r="D4245" s="23" t="s">
        <v>18</v>
      </c>
      <c r="E4245" s="23" t="s">
        <v>517</v>
      </c>
      <c r="F4245" s="23" t="str">
        <f>"2170676698 "</f>
        <v xml:space="preserve">2170676698 </v>
      </c>
      <c r="G4245" s="23" t="str">
        <f t="shared" si="118"/>
        <v>ON1</v>
      </c>
      <c r="H4245" s="23" t="s">
        <v>20</v>
      </c>
      <c r="I4245" s="23" t="s">
        <v>518</v>
      </c>
      <c r="J4245" s="23" t="str">
        <f>""</f>
        <v/>
      </c>
      <c r="K4245" s="23" t="str">
        <f>"PFES1162675948_0001"</f>
        <v>PFES1162675948_0001</v>
      </c>
      <c r="L4245" s="23">
        <v>1</v>
      </c>
      <c r="M4245" s="23">
        <v>7</v>
      </c>
    </row>
    <row r="4246" spans="1:13">
      <c r="A4246" s="6">
        <v>43524</v>
      </c>
      <c r="B4246" s="7">
        <v>0.53749999999999998</v>
      </c>
      <c r="C4246" s="23" t="str">
        <f>"FES1162675899"</f>
        <v>FES1162675899</v>
      </c>
      <c r="D4246" s="23" t="s">
        <v>18</v>
      </c>
      <c r="E4246" s="23" t="s">
        <v>438</v>
      </c>
      <c r="F4246" s="23" t="str">
        <f>"2170676347 "</f>
        <v xml:space="preserve">2170676347 </v>
      </c>
      <c r="G4246" s="23" t="str">
        <f t="shared" si="118"/>
        <v>ON1</v>
      </c>
      <c r="H4246" s="23" t="s">
        <v>20</v>
      </c>
      <c r="I4246" s="23" t="s">
        <v>390</v>
      </c>
      <c r="J4246" s="23" t="str">
        <f>""</f>
        <v/>
      </c>
      <c r="K4246" s="23" t="str">
        <f>"PFES1162675899_0001"</f>
        <v>PFES1162675899_0001</v>
      </c>
      <c r="L4246" s="23">
        <v>1</v>
      </c>
      <c r="M4246" s="23">
        <v>10</v>
      </c>
    </row>
    <row r="4247" spans="1:13">
      <c r="A4247" s="6">
        <v>43524</v>
      </c>
      <c r="B4247" s="7">
        <v>0.53680555555555554</v>
      </c>
      <c r="C4247" s="23" t="str">
        <f>"FES1162675957"</f>
        <v>FES1162675957</v>
      </c>
      <c r="D4247" s="23" t="s">
        <v>18</v>
      </c>
      <c r="E4247" s="23" t="s">
        <v>127</v>
      </c>
      <c r="F4247" s="23" t="str">
        <f>"2170670785 "</f>
        <v xml:space="preserve">2170670785 </v>
      </c>
      <c r="G4247" s="23" t="str">
        <f t="shared" si="118"/>
        <v>ON1</v>
      </c>
      <c r="H4247" s="23" t="s">
        <v>20</v>
      </c>
      <c r="I4247" s="23" t="s">
        <v>128</v>
      </c>
      <c r="J4247" s="23" t="str">
        <f>""</f>
        <v/>
      </c>
      <c r="K4247" s="23" t="str">
        <f>"PFES1162675957_0001"</f>
        <v>PFES1162675957_0001</v>
      </c>
      <c r="L4247" s="23">
        <v>1</v>
      </c>
      <c r="M4247" s="23">
        <v>4</v>
      </c>
    </row>
    <row r="4248" spans="1:13">
      <c r="A4248" s="6">
        <v>43524</v>
      </c>
      <c r="B4248" s="7">
        <v>0.53541666666666665</v>
      </c>
      <c r="C4248" s="23" t="str">
        <f>"FES1162675982"</f>
        <v>FES1162675982</v>
      </c>
      <c r="D4248" s="23" t="s">
        <v>18</v>
      </c>
      <c r="E4248" s="23" t="s">
        <v>30</v>
      </c>
      <c r="F4248" s="23" t="str">
        <f>"2170676748 "</f>
        <v xml:space="preserve">2170676748 </v>
      </c>
      <c r="G4248" s="23" t="str">
        <f t="shared" si="118"/>
        <v>ON1</v>
      </c>
      <c r="H4248" s="23" t="s">
        <v>20</v>
      </c>
      <c r="I4248" s="23" t="s">
        <v>31</v>
      </c>
      <c r="J4248" s="23" t="str">
        <f>""</f>
        <v/>
      </c>
      <c r="K4248" s="23" t="str">
        <f>"PFES1162675982_0001"</f>
        <v>PFES1162675982_0001</v>
      </c>
      <c r="L4248" s="23">
        <v>1</v>
      </c>
      <c r="M4248" s="23">
        <v>5</v>
      </c>
    </row>
    <row r="4249" spans="1:13">
      <c r="A4249" s="6">
        <v>43524</v>
      </c>
      <c r="B4249" s="7">
        <v>0.53472222222222221</v>
      </c>
      <c r="C4249" s="23" t="str">
        <f>"FES1162675855"</f>
        <v>FES1162675855</v>
      </c>
      <c r="D4249" s="23" t="s">
        <v>18</v>
      </c>
      <c r="E4249" s="23" t="s">
        <v>493</v>
      </c>
      <c r="F4249" s="23" t="str">
        <f>"2170676627 "</f>
        <v xml:space="preserve">2170676627 </v>
      </c>
      <c r="G4249" s="23" t="str">
        <f t="shared" si="118"/>
        <v>ON1</v>
      </c>
      <c r="H4249" s="23" t="s">
        <v>20</v>
      </c>
      <c r="I4249" s="23" t="s">
        <v>111</v>
      </c>
      <c r="J4249" s="23" t="str">
        <f>""</f>
        <v/>
      </c>
      <c r="K4249" s="23" t="str">
        <f>"PFES1162675855_0001"</f>
        <v>PFES1162675855_0001</v>
      </c>
      <c r="L4249" s="23">
        <v>1</v>
      </c>
      <c r="M4249" s="23">
        <v>5</v>
      </c>
    </row>
    <row r="4250" spans="1:13">
      <c r="A4250" s="6">
        <v>43524</v>
      </c>
      <c r="B4250" s="7">
        <v>0.53333333333333333</v>
      </c>
      <c r="C4250" s="23" t="str">
        <f>"FES1162675879"</f>
        <v>FES1162675879</v>
      </c>
      <c r="D4250" s="23" t="s">
        <v>18</v>
      </c>
      <c r="E4250" s="23" t="s">
        <v>100</v>
      </c>
      <c r="F4250" s="23" t="str">
        <f>"2170676645 "</f>
        <v xml:space="preserve">2170676645 </v>
      </c>
      <c r="G4250" s="23" t="str">
        <f t="shared" si="118"/>
        <v>ON1</v>
      </c>
      <c r="H4250" s="23" t="s">
        <v>20</v>
      </c>
      <c r="I4250" s="23" t="s">
        <v>101</v>
      </c>
      <c r="J4250" s="23" t="str">
        <f>""</f>
        <v/>
      </c>
      <c r="K4250" s="23" t="str">
        <f>"PFES1162675879_0001"</f>
        <v>PFES1162675879_0001</v>
      </c>
      <c r="L4250" s="23">
        <v>1</v>
      </c>
      <c r="M4250" s="23">
        <v>2</v>
      </c>
    </row>
    <row r="4251" spans="1:13">
      <c r="A4251" s="6">
        <v>43524</v>
      </c>
      <c r="B4251" s="7">
        <v>0.53263888888888888</v>
      </c>
      <c r="C4251" s="23" t="str">
        <f>"FES1162675847"</f>
        <v>FES1162675847</v>
      </c>
      <c r="D4251" s="23" t="s">
        <v>18</v>
      </c>
      <c r="E4251" s="23" t="s">
        <v>1230</v>
      </c>
      <c r="F4251" s="23" t="str">
        <f>"2170676622 "</f>
        <v xml:space="preserve">2170676622 </v>
      </c>
      <c r="G4251" s="23" t="str">
        <f t="shared" si="118"/>
        <v>ON1</v>
      </c>
      <c r="H4251" s="23" t="s">
        <v>20</v>
      </c>
      <c r="I4251" s="23" t="s">
        <v>1231</v>
      </c>
      <c r="J4251" s="23" t="str">
        <f>""</f>
        <v/>
      </c>
      <c r="K4251" s="23" t="str">
        <f>"PFES1162675847_0001"</f>
        <v>PFES1162675847_0001</v>
      </c>
      <c r="L4251" s="23">
        <v>1</v>
      </c>
      <c r="M4251" s="23">
        <v>2</v>
      </c>
    </row>
    <row r="4252" spans="1:13">
      <c r="A4252" s="6">
        <v>43524</v>
      </c>
      <c r="B4252" s="7">
        <v>0.53125</v>
      </c>
      <c r="C4252" s="23" t="str">
        <f>"FES1162675871"</f>
        <v>FES1162675871</v>
      </c>
      <c r="D4252" s="23" t="s">
        <v>18</v>
      </c>
      <c r="E4252" s="23" t="s">
        <v>928</v>
      </c>
      <c r="F4252" s="23" t="str">
        <f>"2170676396 "</f>
        <v xml:space="preserve">2170676396 </v>
      </c>
      <c r="G4252" s="23" t="str">
        <f t="shared" si="118"/>
        <v>ON1</v>
      </c>
      <c r="H4252" s="23" t="s">
        <v>20</v>
      </c>
      <c r="I4252" s="23" t="s">
        <v>679</v>
      </c>
      <c r="J4252" s="23" t="str">
        <f>""</f>
        <v/>
      </c>
      <c r="K4252" s="23" t="str">
        <f>"PFES1162675871_0001"</f>
        <v>PFES1162675871_0001</v>
      </c>
      <c r="L4252" s="23">
        <v>1</v>
      </c>
      <c r="M4252" s="23">
        <v>3</v>
      </c>
    </row>
    <row r="4253" spans="1:13">
      <c r="A4253" s="6">
        <v>43524</v>
      </c>
      <c r="B4253" s="7">
        <v>0.52986111111111112</v>
      </c>
      <c r="C4253" s="23" t="str">
        <f>"FES1162675878"</f>
        <v>FES1162675878</v>
      </c>
      <c r="D4253" s="23" t="s">
        <v>18</v>
      </c>
      <c r="E4253" s="23" t="s">
        <v>100</v>
      </c>
      <c r="F4253" s="23" t="str">
        <f>"2170676642 "</f>
        <v xml:space="preserve">2170676642 </v>
      </c>
      <c r="G4253" s="23" t="str">
        <f t="shared" si="118"/>
        <v>ON1</v>
      </c>
      <c r="H4253" s="23" t="s">
        <v>20</v>
      </c>
      <c r="I4253" s="23" t="s">
        <v>101</v>
      </c>
      <c r="J4253" s="23" t="str">
        <f>""</f>
        <v/>
      </c>
      <c r="K4253" s="23" t="str">
        <f>"PFES1162675878_0001"</f>
        <v>PFES1162675878_0001</v>
      </c>
      <c r="L4253" s="23">
        <v>1</v>
      </c>
      <c r="M4253" s="23">
        <v>1</v>
      </c>
    </row>
    <row r="4254" spans="1:13">
      <c r="A4254" s="6">
        <v>43524</v>
      </c>
      <c r="B4254" s="7">
        <v>0.52916666666666667</v>
      </c>
      <c r="C4254" s="23" t="str">
        <f>"FES1162675905"</f>
        <v>FES1162675905</v>
      </c>
      <c r="D4254" s="23" t="s">
        <v>18</v>
      </c>
      <c r="E4254" s="23" t="s">
        <v>100</v>
      </c>
      <c r="F4254" s="23" t="str">
        <f>"2170676665 "</f>
        <v xml:space="preserve">2170676665 </v>
      </c>
      <c r="G4254" s="23" t="str">
        <f t="shared" si="118"/>
        <v>ON1</v>
      </c>
      <c r="H4254" s="23" t="s">
        <v>20</v>
      </c>
      <c r="I4254" s="23" t="s">
        <v>101</v>
      </c>
      <c r="J4254" s="23" t="str">
        <f>""</f>
        <v/>
      </c>
      <c r="K4254" s="23" t="str">
        <f>"PFES1162675905_0001"</f>
        <v>PFES1162675905_0001</v>
      </c>
      <c r="L4254" s="23">
        <v>1</v>
      </c>
      <c r="M4254" s="23">
        <v>7</v>
      </c>
    </row>
    <row r="4255" spans="1:13">
      <c r="A4255" s="6">
        <v>43524</v>
      </c>
      <c r="B4255" s="7">
        <v>0.52777777777777779</v>
      </c>
      <c r="C4255" s="23" t="str">
        <f>"FES1162675869"</f>
        <v>FES1162675869</v>
      </c>
      <c r="D4255" s="23" t="s">
        <v>18</v>
      </c>
      <c r="E4255" s="23" t="s">
        <v>1249</v>
      </c>
      <c r="F4255" s="23" t="str">
        <f>"2170675940 "</f>
        <v xml:space="preserve">2170675940 </v>
      </c>
      <c r="G4255" s="23" t="str">
        <f t="shared" si="118"/>
        <v>ON1</v>
      </c>
      <c r="H4255" s="23" t="s">
        <v>20</v>
      </c>
      <c r="I4255" s="23" t="s">
        <v>388</v>
      </c>
      <c r="J4255" s="23" t="str">
        <f>""</f>
        <v/>
      </c>
      <c r="K4255" s="23" t="str">
        <f>"PFES1162675869_0001"</f>
        <v>PFES1162675869_0001</v>
      </c>
      <c r="L4255" s="23">
        <v>1</v>
      </c>
      <c r="M4255" s="23">
        <v>3</v>
      </c>
    </row>
    <row r="4256" spans="1:13">
      <c r="A4256" s="6">
        <v>43524</v>
      </c>
      <c r="B4256" s="7">
        <v>0.5229166666666667</v>
      </c>
      <c r="C4256" s="23" t="str">
        <f>"FES1162675993"</f>
        <v>FES1162675993</v>
      </c>
      <c r="D4256" s="23" t="s">
        <v>18</v>
      </c>
      <c r="E4256" s="23" t="s">
        <v>212</v>
      </c>
      <c r="F4256" s="23" t="str">
        <f>"2170676763 "</f>
        <v xml:space="preserve">2170676763 </v>
      </c>
      <c r="G4256" s="23" t="str">
        <f t="shared" si="118"/>
        <v>ON1</v>
      </c>
      <c r="H4256" s="23" t="s">
        <v>20</v>
      </c>
      <c r="I4256" s="23" t="s">
        <v>213</v>
      </c>
      <c r="J4256" s="23" t="str">
        <f>""</f>
        <v/>
      </c>
      <c r="K4256" s="23" t="str">
        <f>"PFES1162675993_0001"</f>
        <v>PFES1162675993_0001</v>
      </c>
      <c r="L4256" s="23">
        <v>1</v>
      </c>
      <c r="M4256" s="23">
        <v>1</v>
      </c>
    </row>
    <row r="4257" spans="1:13">
      <c r="A4257" s="6">
        <v>43524</v>
      </c>
      <c r="B4257" s="7">
        <v>0.52222222222222225</v>
      </c>
      <c r="C4257" s="23" t="str">
        <f>"FES1162675921"</f>
        <v>FES1162675921</v>
      </c>
      <c r="D4257" s="23" t="s">
        <v>18</v>
      </c>
      <c r="E4257" s="23" t="s">
        <v>301</v>
      </c>
      <c r="F4257" s="23" t="str">
        <f>"2170676634 "</f>
        <v xml:space="preserve">2170676634 </v>
      </c>
      <c r="G4257" s="23" t="str">
        <f t="shared" si="118"/>
        <v>ON1</v>
      </c>
      <c r="H4257" s="23" t="s">
        <v>20</v>
      </c>
      <c r="I4257" s="23" t="s">
        <v>302</v>
      </c>
      <c r="J4257" s="23" t="str">
        <f>""</f>
        <v/>
      </c>
      <c r="K4257" s="23" t="str">
        <f>"PFES1162675921_0001"</f>
        <v>PFES1162675921_0001</v>
      </c>
      <c r="L4257" s="23">
        <v>1</v>
      </c>
      <c r="M4257" s="23">
        <v>1</v>
      </c>
    </row>
    <row r="4258" spans="1:13">
      <c r="A4258" s="6">
        <v>43524</v>
      </c>
      <c r="B4258" s="7">
        <v>0.52222222222222225</v>
      </c>
      <c r="C4258" s="23" t="str">
        <f>"FES1162675950"</f>
        <v>FES1162675950</v>
      </c>
      <c r="D4258" s="23" t="s">
        <v>18</v>
      </c>
      <c r="E4258" s="23" t="s">
        <v>1197</v>
      </c>
      <c r="F4258" s="23" t="str">
        <f>"217067670 "</f>
        <v xml:space="preserve">217067670 </v>
      </c>
      <c r="G4258" s="23" t="str">
        <f t="shared" si="118"/>
        <v>ON1</v>
      </c>
      <c r="H4258" s="23" t="s">
        <v>20</v>
      </c>
      <c r="I4258" s="23" t="s">
        <v>53</v>
      </c>
      <c r="J4258" s="23" t="str">
        <f>""</f>
        <v/>
      </c>
      <c r="K4258" s="23" t="str">
        <f>"PFES1162675950_0001"</f>
        <v>PFES1162675950_0001</v>
      </c>
      <c r="L4258" s="23">
        <v>1</v>
      </c>
      <c r="M4258" s="23">
        <v>1</v>
      </c>
    </row>
    <row r="4259" spans="1:13">
      <c r="A4259" s="6">
        <v>43524</v>
      </c>
      <c r="B4259" s="7">
        <v>0.52222222222222225</v>
      </c>
      <c r="C4259" s="23" t="str">
        <f>"FES1162675867"</f>
        <v>FES1162675867</v>
      </c>
      <c r="D4259" s="23" t="s">
        <v>18</v>
      </c>
      <c r="E4259" s="23" t="s">
        <v>92</v>
      </c>
      <c r="F4259" s="23" t="str">
        <f>"2170676640 "</f>
        <v xml:space="preserve">2170676640 </v>
      </c>
      <c r="G4259" s="23" t="str">
        <f t="shared" si="118"/>
        <v>ON1</v>
      </c>
      <c r="H4259" s="23" t="s">
        <v>20</v>
      </c>
      <c r="I4259" s="23" t="s">
        <v>93</v>
      </c>
      <c r="J4259" s="23" t="str">
        <f>""</f>
        <v/>
      </c>
      <c r="K4259" s="23" t="str">
        <f>"PFES1162675867_0001"</f>
        <v>PFES1162675867_0001</v>
      </c>
      <c r="L4259" s="23">
        <v>1</v>
      </c>
      <c r="M4259" s="23">
        <v>1</v>
      </c>
    </row>
    <row r="4260" spans="1:13">
      <c r="A4260" s="6">
        <v>43524</v>
      </c>
      <c r="B4260" s="7">
        <v>0.52152777777777781</v>
      </c>
      <c r="C4260" s="23" t="str">
        <f>"FES1162675853"</f>
        <v>FES1162675853</v>
      </c>
      <c r="D4260" s="23" t="s">
        <v>18</v>
      </c>
      <c r="E4260" s="23" t="s">
        <v>234</v>
      </c>
      <c r="F4260" s="23" t="str">
        <f>"2170676615 "</f>
        <v xml:space="preserve">2170676615 </v>
      </c>
      <c r="G4260" s="23" t="str">
        <f t="shared" si="118"/>
        <v>ON1</v>
      </c>
      <c r="H4260" s="23" t="s">
        <v>20</v>
      </c>
      <c r="I4260" s="23" t="s">
        <v>233</v>
      </c>
      <c r="J4260" s="23" t="str">
        <f>""</f>
        <v/>
      </c>
      <c r="K4260" s="23" t="str">
        <f>"PFES1162675853_0001"</f>
        <v>PFES1162675853_0001</v>
      </c>
      <c r="L4260" s="23">
        <v>1</v>
      </c>
      <c r="M4260" s="23">
        <v>1</v>
      </c>
    </row>
    <row r="4261" spans="1:13">
      <c r="A4261" s="6">
        <v>43524</v>
      </c>
      <c r="B4261" s="7">
        <v>0.52152777777777781</v>
      </c>
      <c r="C4261" s="23" t="str">
        <f>"FES1162675959"</f>
        <v>FES1162675959</v>
      </c>
      <c r="D4261" s="23" t="s">
        <v>18</v>
      </c>
      <c r="E4261" s="23" t="s">
        <v>332</v>
      </c>
      <c r="F4261" s="23" t="str">
        <f>"2170676716 "</f>
        <v xml:space="preserve">2170676716 </v>
      </c>
      <c r="G4261" s="23" t="str">
        <f t="shared" si="118"/>
        <v>ON1</v>
      </c>
      <c r="H4261" s="23" t="s">
        <v>20</v>
      </c>
      <c r="I4261" s="23" t="s">
        <v>333</v>
      </c>
      <c r="J4261" s="23" t="str">
        <f>""</f>
        <v/>
      </c>
      <c r="K4261" s="23" t="str">
        <f>"PFES1162675959_0001"</f>
        <v>PFES1162675959_0001</v>
      </c>
      <c r="L4261" s="23">
        <v>1</v>
      </c>
      <c r="M4261" s="23">
        <v>1</v>
      </c>
    </row>
    <row r="4262" spans="1:13">
      <c r="A4262" s="6">
        <v>43524</v>
      </c>
      <c r="B4262" s="7">
        <v>0.52083333333333337</v>
      </c>
      <c r="C4262" s="23" t="str">
        <f>"FES1162675880"</f>
        <v>FES1162675880</v>
      </c>
      <c r="D4262" s="23" t="s">
        <v>18</v>
      </c>
      <c r="E4262" s="23" t="s">
        <v>229</v>
      </c>
      <c r="F4262" s="23" t="str">
        <f>"2170676653 "</f>
        <v xml:space="preserve">2170676653 </v>
      </c>
      <c r="G4262" s="23" t="str">
        <f t="shared" si="118"/>
        <v>ON1</v>
      </c>
      <c r="H4262" s="23" t="s">
        <v>20</v>
      </c>
      <c r="I4262" s="23" t="s">
        <v>111</v>
      </c>
      <c r="J4262" s="23" t="str">
        <f>""</f>
        <v/>
      </c>
      <c r="K4262" s="23" t="str">
        <f>"PFES1162675880_0001"</f>
        <v>PFES1162675880_0001</v>
      </c>
      <c r="L4262" s="23">
        <v>1</v>
      </c>
      <c r="M4262" s="23">
        <v>1</v>
      </c>
    </row>
    <row r="4263" spans="1:13">
      <c r="A4263" s="6">
        <v>43524</v>
      </c>
      <c r="B4263" s="7">
        <v>0.52083333333333337</v>
      </c>
      <c r="C4263" s="23" t="str">
        <f>"FES1162675958"</f>
        <v>FES1162675958</v>
      </c>
      <c r="D4263" s="23" t="s">
        <v>18</v>
      </c>
      <c r="E4263" s="23" t="s">
        <v>92</v>
      </c>
      <c r="F4263" s="23" t="str">
        <f>"2170676715 "</f>
        <v xml:space="preserve">2170676715 </v>
      </c>
      <c r="G4263" s="23" t="str">
        <f t="shared" si="118"/>
        <v>ON1</v>
      </c>
      <c r="H4263" s="23" t="s">
        <v>20</v>
      </c>
      <c r="I4263" s="23" t="s">
        <v>93</v>
      </c>
      <c r="J4263" s="23" t="str">
        <f>""</f>
        <v/>
      </c>
      <c r="K4263" s="23" t="str">
        <f>"PFES1162675958_0001"</f>
        <v>PFES1162675958_0001</v>
      </c>
      <c r="L4263" s="23">
        <v>1</v>
      </c>
      <c r="M4263" s="23">
        <v>1</v>
      </c>
    </row>
    <row r="4264" spans="1:13">
      <c r="A4264" s="6">
        <v>43524</v>
      </c>
      <c r="B4264" s="7">
        <v>0.52083333333333337</v>
      </c>
      <c r="C4264" s="23" t="str">
        <f>"FES1162675922"</f>
        <v>FES1162675922</v>
      </c>
      <c r="D4264" s="23" t="s">
        <v>18</v>
      </c>
      <c r="E4264" s="23" t="s">
        <v>301</v>
      </c>
      <c r="F4264" s="23" t="str">
        <f>"2170675206 "</f>
        <v xml:space="preserve">2170675206 </v>
      </c>
      <c r="G4264" s="23" t="str">
        <f t="shared" si="118"/>
        <v>ON1</v>
      </c>
      <c r="H4264" s="23" t="s">
        <v>20</v>
      </c>
      <c r="I4264" s="23" t="s">
        <v>302</v>
      </c>
      <c r="J4264" s="23" t="str">
        <f>""</f>
        <v/>
      </c>
      <c r="K4264" s="23" t="str">
        <f>"PFES1162675922_0001"</f>
        <v>PFES1162675922_0001</v>
      </c>
      <c r="L4264" s="23">
        <v>1</v>
      </c>
      <c r="M4264" s="23">
        <v>1</v>
      </c>
    </row>
    <row r="4265" spans="1:13">
      <c r="A4265" s="6">
        <v>43524</v>
      </c>
      <c r="B4265" s="7">
        <v>0.51041666666666663</v>
      </c>
      <c r="C4265" s="23" t="str">
        <f>"FES1162675886"</f>
        <v>FES1162675886</v>
      </c>
      <c r="D4265" s="23" t="s">
        <v>18</v>
      </c>
      <c r="E4265" s="23" t="s">
        <v>1032</v>
      </c>
      <c r="F4265" s="23" t="str">
        <f>"2170674973 "</f>
        <v xml:space="preserve">2170674973 </v>
      </c>
      <c r="G4265" s="23" t="str">
        <f t="shared" si="118"/>
        <v>ON1</v>
      </c>
      <c r="H4265" s="23" t="s">
        <v>20</v>
      </c>
      <c r="I4265" s="23" t="s">
        <v>327</v>
      </c>
      <c r="J4265" s="23" t="str">
        <f>""</f>
        <v/>
      </c>
      <c r="K4265" s="23" t="str">
        <f>"PFES1162675886_0001"</f>
        <v>PFES1162675886_0001</v>
      </c>
      <c r="L4265" s="23">
        <v>1</v>
      </c>
      <c r="M4265" s="23">
        <v>1</v>
      </c>
    </row>
    <row r="4266" spans="1:13">
      <c r="A4266" s="6">
        <v>43524</v>
      </c>
      <c r="B4266" s="7">
        <v>0.51041666666666663</v>
      </c>
      <c r="C4266" s="23" t="str">
        <f>"FES1162675891"</f>
        <v>FES1162675891</v>
      </c>
      <c r="D4266" s="23" t="s">
        <v>18</v>
      </c>
      <c r="E4266" s="23" t="s">
        <v>328</v>
      </c>
      <c r="F4266" s="23" t="str">
        <f>"2170675515 "</f>
        <v xml:space="preserve">2170675515 </v>
      </c>
      <c r="G4266" s="23" t="str">
        <f t="shared" si="118"/>
        <v>ON1</v>
      </c>
      <c r="H4266" s="23" t="s">
        <v>20</v>
      </c>
      <c r="I4266" s="23" t="s">
        <v>29</v>
      </c>
      <c r="J4266" s="23" t="str">
        <f>""</f>
        <v/>
      </c>
      <c r="K4266" s="23" t="str">
        <f>"PFES1162675891_0001"</f>
        <v>PFES1162675891_0001</v>
      </c>
      <c r="L4266" s="23">
        <v>1</v>
      </c>
      <c r="M4266" s="23">
        <v>1</v>
      </c>
    </row>
    <row r="4267" spans="1:13">
      <c r="A4267" s="6">
        <v>43524</v>
      </c>
      <c r="B4267" s="7">
        <v>0.51041666666666663</v>
      </c>
      <c r="C4267" s="23" t="str">
        <f>"FES1162675906"</f>
        <v>FES1162675906</v>
      </c>
      <c r="D4267" s="23" t="s">
        <v>18</v>
      </c>
      <c r="E4267" s="23" t="s">
        <v>384</v>
      </c>
      <c r="F4267" s="23" t="str">
        <f>"2170676668 "</f>
        <v xml:space="preserve">2170676668 </v>
      </c>
      <c r="G4267" s="23" t="str">
        <f t="shared" si="118"/>
        <v>ON1</v>
      </c>
      <c r="H4267" s="23" t="s">
        <v>20</v>
      </c>
      <c r="I4267" s="23" t="s">
        <v>29</v>
      </c>
      <c r="J4267" s="23" t="str">
        <f>""</f>
        <v/>
      </c>
      <c r="K4267" s="23" t="str">
        <f>"PFES1162675906_0001"</f>
        <v>PFES1162675906_0001</v>
      </c>
      <c r="L4267" s="23">
        <v>1</v>
      </c>
      <c r="M4267" s="23">
        <v>1</v>
      </c>
    </row>
    <row r="4268" spans="1:13">
      <c r="A4268" s="6">
        <v>43524</v>
      </c>
      <c r="B4268" s="7">
        <v>0.50972222222222219</v>
      </c>
      <c r="C4268" s="23" t="str">
        <f>"FES1162675903"</f>
        <v>FES1162675903</v>
      </c>
      <c r="D4268" s="23" t="s">
        <v>18</v>
      </c>
      <c r="E4268" s="23" t="s">
        <v>670</v>
      </c>
      <c r="F4268" s="23" t="str">
        <f>"2170676657 "</f>
        <v xml:space="preserve">2170676657 </v>
      </c>
      <c r="G4268" s="23" t="str">
        <f t="shared" si="118"/>
        <v>ON1</v>
      </c>
      <c r="H4268" s="23" t="s">
        <v>20</v>
      </c>
      <c r="I4268" s="23" t="s">
        <v>213</v>
      </c>
      <c r="J4268" s="23" t="str">
        <f>""</f>
        <v/>
      </c>
      <c r="K4268" s="23" t="str">
        <f>"PFES1162675903_0001"</f>
        <v>PFES1162675903_0001</v>
      </c>
      <c r="L4268" s="23">
        <v>1</v>
      </c>
      <c r="M4268" s="23">
        <v>1</v>
      </c>
    </row>
    <row r="4269" spans="1:13">
      <c r="A4269" s="6">
        <v>43524</v>
      </c>
      <c r="B4269" s="7">
        <v>0.50972222222222219</v>
      </c>
      <c r="C4269" s="23" t="str">
        <f>"FES1162675900"</f>
        <v>FES1162675900</v>
      </c>
      <c r="D4269" s="23" t="s">
        <v>18</v>
      </c>
      <c r="E4269" s="23" t="s">
        <v>1161</v>
      </c>
      <c r="F4269" s="23" t="str">
        <f>"21706766660 "</f>
        <v xml:space="preserve">21706766660 </v>
      </c>
      <c r="G4269" s="23" t="str">
        <f t="shared" si="118"/>
        <v>ON1</v>
      </c>
      <c r="H4269" s="23" t="s">
        <v>20</v>
      </c>
      <c r="I4269" s="23" t="s">
        <v>867</v>
      </c>
      <c r="J4269" s="23" t="str">
        <f>""</f>
        <v/>
      </c>
      <c r="K4269" s="23" t="str">
        <f>"PFES1162675900_0001"</f>
        <v>PFES1162675900_0001</v>
      </c>
      <c r="L4269" s="23">
        <v>1</v>
      </c>
      <c r="M4269" s="23">
        <v>1</v>
      </c>
    </row>
    <row r="4270" spans="1:13">
      <c r="A4270" s="6">
        <v>43524</v>
      </c>
      <c r="B4270" s="7">
        <v>0.50972222222222219</v>
      </c>
      <c r="C4270" s="23" t="str">
        <f>"FES1162675916"</f>
        <v>FES1162675916</v>
      </c>
      <c r="D4270" s="23" t="s">
        <v>18</v>
      </c>
      <c r="E4270" s="23" t="s">
        <v>866</v>
      </c>
      <c r="F4270" s="23" t="str">
        <f>"2170675541 "</f>
        <v xml:space="preserve">2170675541 </v>
      </c>
      <c r="G4270" s="23" t="str">
        <f t="shared" si="118"/>
        <v>ON1</v>
      </c>
      <c r="H4270" s="23" t="s">
        <v>20</v>
      </c>
      <c r="I4270" s="23" t="s">
        <v>867</v>
      </c>
      <c r="J4270" s="23" t="str">
        <f>""</f>
        <v/>
      </c>
      <c r="K4270" s="23" t="str">
        <f>"PFES1162675916_0001"</f>
        <v>PFES1162675916_0001</v>
      </c>
      <c r="L4270" s="23">
        <v>1</v>
      </c>
      <c r="M4270" s="23">
        <v>1</v>
      </c>
    </row>
    <row r="4271" spans="1:13">
      <c r="A4271" s="6">
        <v>43524</v>
      </c>
      <c r="B4271" s="7">
        <v>0.50902777777777775</v>
      </c>
      <c r="C4271" s="23" t="str">
        <f>"FES1162675909"</f>
        <v>FES1162675909</v>
      </c>
      <c r="D4271" s="23" t="s">
        <v>18</v>
      </c>
      <c r="E4271" s="23" t="s">
        <v>866</v>
      </c>
      <c r="F4271" s="23" t="str">
        <f>"2170674622 "</f>
        <v xml:space="preserve">2170674622 </v>
      </c>
      <c r="G4271" s="23" t="str">
        <f t="shared" si="118"/>
        <v>ON1</v>
      </c>
      <c r="H4271" s="23" t="s">
        <v>20</v>
      </c>
      <c r="I4271" s="23" t="s">
        <v>867</v>
      </c>
      <c r="J4271" s="23" t="str">
        <f>""</f>
        <v/>
      </c>
      <c r="K4271" s="23" t="str">
        <f>"PFES1162675909_0001"</f>
        <v>PFES1162675909_0001</v>
      </c>
      <c r="L4271" s="23">
        <v>1</v>
      </c>
      <c r="M4271" s="23">
        <v>1</v>
      </c>
    </row>
    <row r="4272" spans="1:13">
      <c r="A4272" s="6">
        <v>43524</v>
      </c>
      <c r="B4272" s="7">
        <v>0.50902777777777775</v>
      </c>
      <c r="C4272" s="23" t="str">
        <f>"FES1162675960"</f>
        <v>FES1162675960</v>
      </c>
      <c r="D4272" s="23" t="s">
        <v>18</v>
      </c>
      <c r="E4272" s="23" t="s">
        <v>47</v>
      </c>
      <c r="F4272" s="23" t="str">
        <f>"2170676718 "</f>
        <v xml:space="preserve">2170676718 </v>
      </c>
      <c r="G4272" s="23" t="str">
        <f t="shared" si="118"/>
        <v>ON1</v>
      </c>
      <c r="H4272" s="23" t="s">
        <v>20</v>
      </c>
      <c r="I4272" s="23" t="s">
        <v>48</v>
      </c>
      <c r="J4272" s="23" t="str">
        <f>""</f>
        <v/>
      </c>
      <c r="K4272" s="23" t="str">
        <f>"PFES1162675960_0001"</f>
        <v>PFES1162675960_0001</v>
      </c>
      <c r="L4272" s="23">
        <v>1</v>
      </c>
      <c r="M4272" s="23">
        <v>1</v>
      </c>
    </row>
    <row r="4273" spans="1:13">
      <c r="A4273" s="6">
        <v>43524</v>
      </c>
      <c r="B4273" s="7">
        <v>0.50902777777777775</v>
      </c>
      <c r="C4273" s="23" t="str">
        <f>"FES1162675953"</f>
        <v>FES1162675953</v>
      </c>
      <c r="D4273" s="23" t="s">
        <v>18</v>
      </c>
      <c r="E4273" s="23" t="s">
        <v>207</v>
      </c>
      <c r="F4273" s="23" t="str">
        <f>"2170676709 "</f>
        <v xml:space="preserve">2170676709 </v>
      </c>
      <c r="G4273" s="23" t="str">
        <f t="shared" si="118"/>
        <v>ON1</v>
      </c>
      <c r="H4273" s="23" t="s">
        <v>20</v>
      </c>
      <c r="I4273" s="23" t="s">
        <v>208</v>
      </c>
      <c r="J4273" s="23" t="str">
        <f>""</f>
        <v/>
      </c>
      <c r="K4273" s="23" t="str">
        <f>"PFES1162675953_0001"</f>
        <v>PFES1162675953_0001</v>
      </c>
      <c r="L4273" s="23">
        <v>1</v>
      </c>
      <c r="M4273" s="23">
        <v>1</v>
      </c>
    </row>
    <row r="4274" spans="1:13">
      <c r="A4274" s="6">
        <v>43524</v>
      </c>
      <c r="B4274" s="7">
        <v>0.5083333333333333</v>
      </c>
      <c r="C4274" s="23" t="str">
        <f>"FES1162675956"</f>
        <v>FES1162675956</v>
      </c>
      <c r="D4274" s="23" t="s">
        <v>18</v>
      </c>
      <c r="E4274" s="23" t="s">
        <v>172</v>
      </c>
      <c r="F4274" s="23" t="str">
        <f>"2170676714 "</f>
        <v xml:space="preserve">2170676714 </v>
      </c>
      <c r="G4274" s="23" t="str">
        <f t="shared" si="118"/>
        <v>ON1</v>
      </c>
      <c r="H4274" s="23" t="s">
        <v>20</v>
      </c>
      <c r="I4274" s="23" t="s">
        <v>173</v>
      </c>
      <c r="J4274" s="23" t="str">
        <f>""</f>
        <v/>
      </c>
      <c r="K4274" s="23" t="str">
        <f>"PFES1162675956_0001"</f>
        <v>PFES1162675956_0001</v>
      </c>
      <c r="L4274" s="23">
        <v>1</v>
      </c>
      <c r="M4274" s="23">
        <v>1</v>
      </c>
    </row>
    <row r="4275" spans="1:13">
      <c r="A4275" s="6">
        <v>43524</v>
      </c>
      <c r="B4275" s="7">
        <v>0.5083333333333333</v>
      </c>
      <c r="C4275" s="23" t="str">
        <f>"FES1162675885"</f>
        <v>FES1162675885</v>
      </c>
      <c r="D4275" s="23" t="s">
        <v>18</v>
      </c>
      <c r="E4275" s="23" t="s">
        <v>47</v>
      </c>
      <c r="F4275" s="23" t="str">
        <f>"2170674950 "</f>
        <v xml:space="preserve">2170674950 </v>
      </c>
      <c r="G4275" s="23" t="str">
        <f t="shared" si="118"/>
        <v>ON1</v>
      </c>
      <c r="H4275" s="23" t="s">
        <v>20</v>
      </c>
      <c r="I4275" s="23" t="s">
        <v>48</v>
      </c>
      <c r="J4275" s="23" t="str">
        <f>""</f>
        <v/>
      </c>
      <c r="K4275" s="23" t="str">
        <f>"PFES1162675885_0001"</f>
        <v>PFES1162675885_0001</v>
      </c>
      <c r="L4275" s="23">
        <v>1</v>
      </c>
      <c r="M4275" s="23">
        <v>1</v>
      </c>
    </row>
    <row r="4276" spans="1:13">
      <c r="A4276" s="6">
        <v>43524</v>
      </c>
      <c r="B4276" s="7">
        <v>0.5083333333333333</v>
      </c>
      <c r="C4276" s="23" t="str">
        <f>"FES1162675901"</f>
        <v>FES1162675901</v>
      </c>
      <c r="D4276" s="23" t="s">
        <v>18</v>
      </c>
      <c r="E4276" s="23" t="s">
        <v>255</v>
      </c>
      <c r="F4276" s="23" t="str">
        <f>"2170676664 "</f>
        <v xml:space="preserve">2170676664 </v>
      </c>
      <c r="G4276" s="23" t="str">
        <f t="shared" si="118"/>
        <v>ON1</v>
      </c>
      <c r="H4276" s="23" t="s">
        <v>20</v>
      </c>
      <c r="I4276" s="23" t="s">
        <v>256</v>
      </c>
      <c r="J4276" s="23" t="str">
        <f>""</f>
        <v/>
      </c>
      <c r="K4276" s="23" t="str">
        <f>"PFES1162675901_0001"</f>
        <v>PFES1162675901_0001</v>
      </c>
      <c r="L4276" s="23">
        <v>1</v>
      </c>
      <c r="M4276" s="23">
        <v>1</v>
      </c>
    </row>
    <row r="4277" spans="1:13">
      <c r="A4277" s="6">
        <v>43524</v>
      </c>
      <c r="B4277" s="7">
        <v>0.50763888888888886</v>
      </c>
      <c r="C4277" s="23" t="str">
        <f>"FES1162675936"</f>
        <v>FES1162675936</v>
      </c>
      <c r="D4277" s="23" t="s">
        <v>18</v>
      </c>
      <c r="E4277" s="23" t="s">
        <v>1250</v>
      </c>
      <c r="F4277" s="23" t="str">
        <f>"2170676672 "</f>
        <v xml:space="preserve">2170676672 </v>
      </c>
      <c r="G4277" s="23" t="str">
        <f t="shared" si="118"/>
        <v>ON1</v>
      </c>
      <c r="H4277" s="23" t="s">
        <v>20</v>
      </c>
      <c r="I4277" s="23" t="s">
        <v>731</v>
      </c>
      <c r="J4277" s="23" t="str">
        <f>""</f>
        <v/>
      </c>
      <c r="K4277" s="23" t="str">
        <f>"PFES1162675936_0001"</f>
        <v>PFES1162675936_0001</v>
      </c>
      <c r="L4277" s="23">
        <v>1</v>
      </c>
      <c r="M4277" s="23">
        <v>1</v>
      </c>
    </row>
    <row r="4278" spans="1:13">
      <c r="A4278" s="6">
        <v>43524</v>
      </c>
      <c r="B4278" s="7">
        <v>0.50763888888888886</v>
      </c>
      <c r="C4278" s="23" t="str">
        <f>"FES1162675911"</f>
        <v>FES1162675911</v>
      </c>
      <c r="D4278" s="23" t="s">
        <v>18</v>
      </c>
      <c r="E4278" s="23" t="s">
        <v>866</v>
      </c>
      <c r="F4278" s="23" t="str">
        <f>"2170675185 "</f>
        <v xml:space="preserve">2170675185 </v>
      </c>
      <c r="G4278" s="23" t="str">
        <f t="shared" si="118"/>
        <v>ON1</v>
      </c>
      <c r="H4278" s="23" t="s">
        <v>20</v>
      </c>
      <c r="I4278" s="23" t="s">
        <v>867</v>
      </c>
      <c r="J4278" s="23" t="str">
        <f>""</f>
        <v/>
      </c>
      <c r="K4278" s="23" t="str">
        <f>"PFES1162675911_0001"</f>
        <v>PFES1162675911_0001</v>
      </c>
      <c r="L4278" s="23">
        <v>1</v>
      </c>
      <c r="M4278" s="23">
        <v>1</v>
      </c>
    </row>
    <row r="4279" spans="1:13">
      <c r="A4279" s="6">
        <v>43524</v>
      </c>
      <c r="B4279" s="7">
        <v>0.50763888888888886</v>
      </c>
      <c r="C4279" s="23" t="str">
        <f>"FES1162675915"</f>
        <v>FES1162675915</v>
      </c>
      <c r="D4279" s="23" t="s">
        <v>18</v>
      </c>
      <c r="E4279" s="23" t="s">
        <v>866</v>
      </c>
      <c r="F4279" s="23" t="str">
        <f>"2170675190 "</f>
        <v xml:space="preserve">2170675190 </v>
      </c>
      <c r="G4279" s="23" t="str">
        <f t="shared" si="118"/>
        <v>ON1</v>
      </c>
      <c r="H4279" s="23" t="s">
        <v>20</v>
      </c>
      <c r="I4279" s="23" t="s">
        <v>867</v>
      </c>
      <c r="J4279" s="23" t="str">
        <f>""</f>
        <v/>
      </c>
      <c r="K4279" s="23" t="str">
        <f>"PFES1162675915_0001"</f>
        <v>PFES1162675915_0001</v>
      </c>
      <c r="L4279" s="23">
        <v>1</v>
      </c>
      <c r="M4279" s="23">
        <v>1</v>
      </c>
    </row>
    <row r="4280" spans="1:13">
      <c r="A4280" s="6">
        <v>43524</v>
      </c>
      <c r="B4280" s="7">
        <v>0.50694444444444442</v>
      </c>
      <c r="C4280" s="23" t="str">
        <f>"FES1162675912"</f>
        <v>FES1162675912</v>
      </c>
      <c r="D4280" s="23" t="s">
        <v>18</v>
      </c>
      <c r="E4280" s="23" t="s">
        <v>866</v>
      </c>
      <c r="F4280" s="23" t="str">
        <f>"2170675186 "</f>
        <v xml:space="preserve">2170675186 </v>
      </c>
      <c r="G4280" s="23" t="str">
        <f t="shared" si="118"/>
        <v>ON1</v>
      </c>
      <c r="H4280" s="23" t="s">
        <v>20</v>
      </c>
      <c r="I4280" s="23" t="s">
        <v>867</v>
      </c>
      <c r="J4280" s="23" t="str">
        <f>""</f>
        <v/>
      </c>
      <c r="K4280" s="23" t="str">
        <f>"PFES1162675912_0001"</f>
        <v>PFES1162675912_0001</v>
      </c>
      <c r="L4280" s="23">
        <v>1</v>
      </c>
      <c r="M4280" s="23">
        <v>1</v>
      </c>
    </row>
    <row r="4281" spans="1:13">
      <c r="A4281" s="6">
        <v>43524</v>
      </c>
      <c r="B4281" s="7">
        <v>0.50694444444444442</v>
      </c>
      <c r="C4281" s="23" t="str">
        <f>"FES1162675966"</f>
        <v>FES1162675966</v>
      </c>
      <c r="D4281" s="23" t="s">
        <v>18</v>
      </c>
      <c r="E4281" s="23" t="s">
        <v>1075</v>
      </c>
      <c r="F4281" s="23" t="str">
        <f>"2170676723 "</f>
        <v xml:space="preserve">2170676723 </v>
      </c>
      <c r="G4281" s="23" t="str">
        <f t="shared" si="118"/>
        <v>ON1</v>
      </c>
      <c r="H4281" s="23" t="s">
        <v>20</v>
      </c>
      <c r="I4281" s="23" t="s">
        <v>213</v>
      </c>
      <c r="J4281" s="23" t="str">
        <f>""</f>
        <v/>
      </c>
      <c r="K4281" s="23" t="str">
        <f>"PFES1162675966_0001"</f>
        <v>PFES1162675966_0001</v>
      </c>
      <c r="L4281" s="23">
        <v>1</v>
      </c>
      <c r="M4281" s="23">
        <v>1</v>
      </c>
    </row>
    <row r="4282" spans="1:13">
      <c r="A4282" s="6">
        <v>43524</v>
      </c>
      <c r="B4282" s="7">
        <v>0.50624999999999998</v>
      </c>
      <c r="C4282" s="23" t="str">
        <f>"FES1162675925"</f>
        <v>FES1162675925</v>
      </c>
      <c r="D4282" s="23" t="s">
        <v>18</v>
      </c>
      <c r="E4282" s="23" t="s">
        <v>1251</v>
      </c>
      <c r="F4282" s="23" t="str">
        <f>"2170676678 "</f>
        <v xml:space="preserve">2170676678 </v>
      </c>
      <c r="G4282" s="23" t="str">
        <f t="shared" si="118"/>
        <v>ON1</v>
      </c>
      <c r="H4282" s="23" t="s">
        <v>20</v>
      </c>
      <c r="I4282" s="23" t="s">
        <v>1252</v>
      </c>
      <c r="J4282" s="23" t="str">
        <f>""</f>
        <v/>
      </c>
      <c r="K4282" s="23" t="str">
        <f>"PFES1162675925_0001"</f>
        <v>PFES1162675925_0001</v>
      </c>
      <c r="L4282" s="23">
        <v>1</v>
      </c>
      <c r="M4282" s="23">
        <v>1</v>
      </c>
    </row>
    <row r="4283" spans="1:13">
      <c r="A4283" s="6">
        <v>43524</v>
      </c>
      <c r="B4283" s="7">
        <v>0.50555555555555554</v>
      </c>
      <c r="C4283" s="23" t="str">
        <f>"FES1162675974"</f>
        <v>FES1162675974</v>
      </c>
      <c r="D4283" s="23" t="s">
        <v>18</v>
      </c>
      <c r="E4283" s="23" t="s">
        <v>425</v>
      </c>
      <c r="F4283" s="23" t="str">
        <f>"2170676738 "</f>
        <v xml:space="preserve">2170676738 </v>
      </c>
      <c r="G4283" s="23" t="str">
        <f t="shared" si="118"/>
        <v>ON1</v>
      </c>
      <c r="H4283" s="23" t="s">
        <v>20</v>
      </c>
      <c r="I4283" s="23" t="s">
        <v>213</v>
      </c>
      <c r="J4283" s="23" t="str">
        <f>""</f>
        <v/>
      </c>
      <c r="K4283" s="23" t="str">
        <f>"PFES1162675974_0001"</f>
        <v>PFES1162675974_0001</v>
      </c>
      <c r="L4283" s="23">
        <v>1</v>
      </c>
      <c r="M4283" s="23">
        <v>1</v>
      </c>
    </row>
    <row r="4284" spans="1:13">
      <c r="A4284" s="6">
        <v>43524</v>
      </c>
      <c r="B4284" s="7">
        <v>0.50486111111111109</v>
      </c>
      <c r="C4284" s="23" t="str">
        <f>"FES1162675972"</f>
        <v>FES1162675972</v>
      </c>
      <c r="D4284" s="23" t="s">
        <v>18</v>
      </c>
      <c r="E4284" s="23" t="s">
        <v>425</v>
      </c>
      <c r="F4284" s="23" t="str">
        <f>"2170676734 "</f>
        <v xml:space="preserve">2170676734 </v>
      </c>
      <c r="G4284" s="23" t="str">
        <f t="shared" si="118"/>
        <v>ON1</v>
      </c>
      <c r="H4284" s="23" t="s">
        <v>20</v>
      </c>
      <c r="I4284" s="23" t="s">
        <v>213</v>
      </c>
      <c r="J4284" s="23" t="str">
        <f>""</f>
        <v/>
      </c>
      <c r="K4284" s="23" t="str">
        <f>"PFES1162675972_0001"</f>
        <v>PFES1162675972_0001</v>
      </c>
      <c r="L4284" s="23">
        <v>1</v>
      </c>
      <c r="M4284" s="23">
        <v>1</v>
      </c>
    </row>
    <row r="4285" spans="1:13">
      <c r="A4285" s="6">
        <v>43524</v>
      </c>
      <c r="B4285" s="7">
        <v>0.50486111111111109</v>
      </c>
      <c r="C4285" s="23" t="str">
        <f>"FES1162675971"</f>
        <v>FES1162675971</v>
      </c>
      <c r="D4285" s="23" t="s">
        <v>18</v>
      </c>
      <c r="E4285" s="23" t="s">
        <v>425</v>
      </c>
      <c r="F4285" s="23" t="str">
        <f>"2170676733 "</f>
        <v xml:space="preserve">2170676733 </v>
      </c>
      <c r="G4285" s="23" t="str">
        <f t="shared" si="118"/>
        <v>ON1</v>
      </c>
      <c r="H4285" s="23" t="s">
        <v>20</v>
      </c>
      <c r="I4285" s="23" t="s">
        <v>213</v>
      </c>
      <c r="J4285" s="23" t="str">
        <f>""</f>
        <v/>
      </c>
      <c r="K4285" s="23" t="str">
        <f>"PFES1162675971_0001"</f>
        <v>PFES1162675971_0001</v>
      </c>
      <c r="L4285" s="23">
        <v>1</v>
      </c>
      <c r="M4285" s="23">
        <v>1</v>
      </c>
    </row>
    <row r="4286" spans="1:13">
      <c r="A4286" s="6">
        <v>43524</v>
      </c>
      <c r="B4286" s="7">
        <v>0.50416666666666665</v>
      </c>
      <c r="C4286" s="23" t="str">
        <f>"FES1162675890"</f>
        <v>FES1162675890</v>
      </c>
      <c r="D4286" s="23" t="s">
        <v>18</v>
      </c>
      <c r="E4286" s="23" t="s">
        <v>235</v>
      </c>
      <c r="F4286" s="23" t="str">
        <f>"2170675513 "</f>
        <v xml:space="preserve">2170675513 </v>
      </c>
      <c r="G4286" s="23" t="str">
        <f t="shared" si="118"/>
        <v>ON1</v>
      </c>
      <c r="H4286" s="23" t="s">
        <v>20</v>
      </c>
      <c r="I4286" s="23" t="s">
        <v>143</v>
      </c>
      <c r="J4286" s="23" t="str">
        <f>""</f>
        <v/>
      </c>
      <c r="K4286" s="23" t="str">
        <f>"PFES1162675890_0001"</f>
        <v>PFES1162675890_0001</v>
      </c>
      <c r="L4286" s="23">
        <v>1</v>
      </c>
      <c r="M4286" s="23">
        <v>1</v>
      </c>
    </row>
    <row r="4287" spans="1:13">
      <c r="A4287" s="6">
        <v>43524</v>
      </c>
      <c r="B4287" s="7">
        <v>0.50416666666666665</v>
      </c>
      <c r="C4287" s="23" t="str">
        <f>"FES1162675894"</f>
        <v>FES1162675894</v>
      </c>
      <c r="D4287" s="23" t="s">
        <v>18</v>
      </c>
      <c r="E4287" s="23" t="s">
        <v>168</v>
      </c>
      <c r="F4287" s="23" t="str">
        <f>"2170675544 "</f>
        <v xml:space="preserve">2170675544 </v>
      </c>
      <c r="G4287" s="23" t="str">
        <f t="shared" si="118"/>
        <v>ON1</v>
      </c>
      <c r="H4287" s="23" t="s">
        <v>20</v>
      </c>
      <c r="I4287" s="23" t="s">
        <v>63</v>
      </c>
      <c r="J4287" s="23" t="str">
        <f>""</f>
        <v/>
      </c>
      <c r="K4287" s="23" t="str">
        <f>"PFES1162675894_0001"</f>
        <v>PFES1162675894_0001</v>
      </c>
      <c r="L4287" s="23">
        <v>1</v>
      </c>
      <c r="M4287" s="23">
        <v>1</v>
      </c>
    </row>
    <row r="4288" spans="1:13">
      <c r="A4288" s="6">
        <v>43524</v>
      </c>
      <c r="B4288" s="7">
        <v>0.50416666666666665</v>
      </c>
      <c r="C4288" s="23" t="str">
        <f>"FES1162675967"</f>
        <v>FES1162675967</v>
      </c>
      <c r="D4288" s="23" t="s">
        <v>18</v>
      </c>
      <c r="E4288" s="23" t="s">
        <v>1158</v>
      </c>
      <c r="F4288" s="23" t="str">
        <f>"2170676727 "</f>
        <v xml:space="preserve">2170676727 </v>
      </c>
      <c r="G4288" s="23" t="str">
        <f t="shared" si="118"/>
        <v>ON1</v>
      </c>
      <c r="H4288" s="23" t="s">
        <v>20</v>
      </c>
      <c r="I4288" s="23" t="s">
        <v>43</v>
      </c>
      <c r="J4288" s="23" t="str">
        <f>""</f>
        <v/>
      </c>
      <c r="K4288" s="23" t="str">
        <f>"PFES1162675967_0001"</f>
        <v>PFES1162675967_0001</v>
      </c>
      <c r="L4288" s="23">
        <v>1</v>
      </c>
      <c r="M4288" s="23">
        <v>1</v>
      </c>
    </row>
    <row r="4289" spans="1:13">
      <c r="A4289" s="6">
        <v>43524</v>
      </c>
      <c r="B4289" s="7">
        <v>0.50347222222222221</v>
      </c>
      <c r="C4289" s="23" t="str">
        <f>"FES1162675887"</f>
        <v>FES1162675887</v>
      </c>
      <c r="D4289" s="23" t="s">
        <v>18</v>
      </c>
      <c r="E4289" s="23" t="s">
        <v>235</v>
      </c>
      <c r="F4289" s="23" t="str">
        <f>"2170674982 "</f>
        <v xml:space="preserve">2170674982 </v>
      </c>
      <c r="G4289" s="23" t="str">
        <f t="shared" si="118"/>
        <v>ON1</v>
      </c>
      <c r="H4289" s="23" t="s">
        <v>20</v>
      </c>
      <c r="I4289" s="23" t="s">
        <v>143</v>
      </c>
      <c r="J4289" s="23" t="str">
        <f>""</f>
        <v/>
      </c>
      <c r="K4289" s="23" t="str">
        <f>"PFES1162675887_0001"</f>
        <v>PFES1162675887_0001</v>
      </c>
      <c r="L4289" s="23">
        <v>1</v>
      </c>
      <c r="M4289" s="23">
        <v>1</v>
      </c>
    </row>
    <row r="4290" spans="1:13">
      <c r="A4290" s="6">
        <v>43524</v>
      </c>
      <c r="B4290" s="7">
        <v>0.50277777777777777</v>
      </c>
      <c r="C4290" s="23" t="str">
        <f>"FES1162675904"</f>
        <v>FES1162675904</v>
      </c>
      <c r="D4290" s="23" t="s">
        <v>18</v>
      </c>
      <c r="E4290" s="23" t="s">
        <v>1253</v>
      </c>
      <c r="F4290" s="23" t="str">
        <f>"2170676659 "</f>
        <v xml:space="preserve">2170676659 </v>
      </c>
      <c r="G4290" s="23" t="str">
        <f t="shared" si="118"/>
        <v>ON1</v>
      </c>
      <c r="H4290" s="23" t="s">
        <v>20</v>
      </c>
      <c r="I4290" s="23" t="s">
        <v>65</v>
      </c>
      <c r="J4290" s="23" t="str">
        <f>""</f>
        <v/>
      </c>
      <c r="K4290" s="23" t="str">
        <f>"PFES1162675904_0001"</f>
        <v>PFES1162675904_0001</v>
      </c>
      <c r="L4290" s="23">
        <v>1</v>
      </c>
      <c r="M4290" s="23">
        <v>1</v>
      </c>
    </row>
    <row r="4291" spans="1:13">
      <c r="A4291" s="6">
        <v>43524</v>
      </c>
      <c r="B4291" s="7">
        <v>0.50277777777777777</v>
      </c>
      <c r="C4291" s="23" t="str">
        <f>"FES1162675954"</f>
        <v>FES1162675954</v>
      </c>
      <c r="D4291" s="23" t="s">
        <v>18</v>
      </c>
      <c r="E4291" s="23" t="s">
        <v>610</v>
      </c>
      <c r="F4291" s="23" t="str">
        <f>"2170676711 "</f>
        <v xml:space="preserve">2170676711 </v>
      </c>
      <c r="G4291" s="23" t="str">
        <f t="shared" si="118"/>
        <v>ON1</v>
      </c>
      <c r="H4291" s="23" t="s">
        <v>20</v>
      </c>
      <c r="I4291" s="23" t="s">
        <v>272</v>
      </c>
      <c r="J4291" s="23" t="str">
        <f>""</f>
        <v/>
      </c>
      <c r="K4291" s="23" t="str">
        <f>"PFES1162675954_0001"</f>
        <v>PFES1162675954_0001</v>
      </c>
      <c r="L4291" s="23">
        <v>1</v>
      </c>
      <c r="M4291" s="23">
        <v>1</v>
      </c>
    </row>
    <row r="4292" spans="1:13">
      <c r="A4292" s="6">
        <v>43524</v>
      </c>
      <c r="B4292" s="7">
        <v>0.50208333333333333</v>
      </c>
      <c r="C4292" s="23" t="str">
        <f>"FES1162675883"</f>
        <v>FES1162675883</v>
      </c>
      <c r="D4292" s="23" t="s">
        <v>18</v>
      </c>
      <c r="E4292" s="23" t="s">
        <v>58</v>
      </c>
      <c r="F4292" s="23" t="str">
        <f>"2170672338 "</f>
        <v xml:space="preserve">2170672338 </v>
      </c>
      <c r="G4292" s="23" t="str">
        <f t="shared" si="118"/>
        <v>ON1</v>
      </c>
      <c r="H4292" s="23" t="s">
        <v>20</v>
      </c>
      <c r="I4292" s="23" t="s">
        <v>59</v>
      </c>
      <c r="J4292" s="23" t="str">
        <f>""</f>
        <v/>
      </c>
      <c r="K4292" s="23" t="str">
        <f>"PFES1162675883_0001"</f>
        <v>PFES1162675883_0001</v>
      </c>
      <c r="L4292" s="23">
        <v>1</v>
      </c>
      <c r="M4292" s="23">
        <v>1</v>
      </c>
    </row>
    <row r="4293" spans="1:13">
      <c r="A4293" s="6">
        <v>43524</v>
      </c>
      <c r="B4293" s="7">
        <v>0.50208333333333333</v>
      </c>
      <c r="C4293" s="23" t="str">
        <f>"FES1162675918"</f>
        <v>FES1162675918</v>
      </c>
      <c r="D4293" s="23" t="s">
        <v>18</v>
      </c>
      <c r="E4293" s="23" t="s">
        <v>1254</v>
      </c>
      <c r="F4293" s="23" t="str">
        <f>"2170676568 "</f>
        <v xml:space="preserve">2170676568 </v>
      </c>
      <c r="G4293" s="23" t="str">
        <f t="shared" si="118"/>
        <v>ON1</v>
      </c>
      <c r="H4293" s="23" t="s">
        <v>20</v>
      </c>
      <c r="I4293" s="23" t="s">
        <v>1255</v>
      </c>
      <c r="J4293" s="23" t="str">
        <f>""</f>
        <v/>
      </c>
      <c r="K4293" s="23" t="str">
        <f>"PFES1162675918_0001"</f>
        <v>PFES1162675918_0001</v>
      </c>
      <c r="L4293" s="23">
        <v>1</v>
      </c>
      <c r="M4293" s="23">
        <v>1</v>
      </c>
    </row>
    <row r="4294" spans="1:13">
      <c r="A4294" s="6">
        <v>43524</v>
      </c>
      <c r="B4294" s="7">
        <v>0.50069444444444444</v>
      </c>
      <c r="C4294" s="23" t="str">
        <f>"FES1162675893"</f>
        <v>FES1162675893</v>
      </c>
      <c r="D4294" s="23" t="s">
        <v>18</v>
      </c>
      <c r="E4294" s="23" t="s">
        <v>1256</v>
      </c>
      <c r="F4294" s="23" t="str">
        <f>"2170675528 "</f>
        <v xml:space="preserve">2170675528 </v>
      </c>
      <c r="G4294" s="23" t="str">
        <f t="shared" si="118"/>
        <v>ON1</v>
      </c>
      <c r="H4294" s="23" t="s">
        <v>20</v>
      </c>
      <c r="I4294" s="23" t="s">
        <v>351</v>
      </c>
      <c r="J4294" s="23" t="str">
        <f>""</f>
        <v/>
      </c>
      <c r="K4294" s="23" t="str">
        <f>"PFES1162675893_0001"</f>
        <v>PFES1162675893_0001</v>
      </c>
      <c r="L4294" s="23">
        <v>1</v>
      </c>
      <c r="M4294" s="23">
        <v>1</v>
      </c>
    </row>
    <row r="4295" spans="1:13">
      <c r="A4295" s="6">
        <v>43524</v>
      </c>
      <c r="B4295" s="7">
        <v>0.50069444444444444</v>
      </c>
      <c r="C4295" s="23" t="str">
        <f>"FES1162675892"</f>
        <v>FES1162675892</v>
      </c>
      <c r="D4295" s="23" t="s">
        <v>18</v>
      </c>
      <c r="E4295" s="23" t="s">
        <v>19</v>
      </c>
      <c r="F4295" s="23" t="str">
        <f>"2170675523 "</f>
        <v xml:space="preserve">2170675523 </v>
      </c>
      <c r="G4295" s="23" t="str">
        <f t="shared" si="118"/>
        <v>ON1</v>
      </c>
      <c r="H4295" s="23" t="s">
        <v>20</v>
      </c>
      <c r="I4295" s="23" t="s">
        <v>21</v>
      </c>
      <c r="J4295" s="23" t="str">
        <f>""</f>
        <v/>
      </c>
      <c r="K4295" s="23" t="str">
        <f>"PFES1162675892_0001"</f>
        <v>PFES1162675892_0001</v>
      </c>
      <c r="L4295" s="23">
        <v>1</v>
      </c>
      <c r="M4295" s="23">
        <v>1</v>
      </c>
    </row>
    <row r="4296" spans="1:13">
      <c r="A4296" s="6">
        <v>43524</v>
      </c>
      <c r="B4296" s="7">
        <v>0.5</v>
      </c>
      <c r="C4296" s="23" t="str">
        <f>"FES1162675917"</f>
        <v>FES1162675917</v>
      </c>
      <c r="D4296" s="23" t="s">
        <v>18</v>
      </c>
      <c r="E4296" s="23" t="s">
        <v>1257</v>
      </c>
      <c r="F4296" s="23" t="str">
        <f>"2170675584 "</f>
        <v xml:space="preserve">2170675584 </v>
      </c>
      <c r="G4296" s="23" t="str">
        <f t="shared" si="118"/>
        <v>ON1</v>
      </c>
      <c r="H4296" s="23" t="s">
        <v>20</v>
      </c>
      <c r="I4296" s="23" t="s">
        <v>278</v>
      </c>
      <c r="J4296" s="23" t="str">
        <f>""</f>
        <v/>
      </c>
      <c r="K4296" s="23" t="str">
        <f>"PFES1162675917_0001"</f>
        <v>PFES1162675917_0001</v>
      </c>
      <c r="L4296" s="23">
        <v>1</v>
      </c>
      <c r="M4296" s="23">
        <v>1</v>
      </c>
    </row>
    <row r="4297" spans="1:13">
      <c r="A4297" s="6">
        <v>43524</v>
      </c>
      <c r="B4297" s="7">
        <v>0.43124999999999997</v>
      </c>
      <c r="C4297" s="23" t="str">
        <f>"009935723021"</f>
        <v>009935723021</v>
      </c>
      <c r="D4297" s="23" t="s">
        <v>18</v>
      </c>
      <c r="E4297" s="23" t="s">
        <v>885</v>
      </c>
      <c r="F4297" s="23" t="str">
        <f>"1162674983 "</f>
        <v xml:space="preserve">1162674983 </v>
      </c>
      <c r="G4297" s="23" t="str">
        <f t="shared" si="118"/>
        <v>ON1</v>
      </c>
      <c r="H4297" s="23" t="s">
        <v>20</v>
      </c>
      <c r="I4297" s="23" t="s">
        <v>886</v>
      </c>
      <c r="J4297" s="23" t="str">
        <f>"DELIVER AND COLLECT(SENT WRONG STOCK)"</f>
        <v>DELIVER AND COLLECT(SENT WRONG STOCK)</v>
      </c>
      <c r="K4297" s="23" t="str">
        <f>"P009935723021_0001"</f>
        <v>P009935723021_0001</v>
      </c>
      <c r="L4297" s="23">
        <v>1</v>
      </c>
      <c r="M4297" s="23">
        <v>1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2019-02-04T06:15:31Z</dcterms:created>
  <dcterms:modified xsi:type="dcterms:W3CDTF">2019-03-01T05:47:54Z</dcterms:modified>
</cp:coreProperties>
</file>