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sto\Documents\"/>
    </mc:Choice>
  </mc:AlternateContent>
  <bookViews>
    <workbookView xWindow="0" yWindow="0" windowWidth="28800" windowHeight="10335"/>
  </bookViews>
  <sheets>
    <sheet name="Sheet1" sheetId="1" r:id="rId1"/>
  </sheets>
  <definedNames>
    <definedName name="_xlnm._FilterDatabase" localSheetId="0" hidden="1">Sheet1!$A$1:$O$1764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98" i="1" l="1"/>
  <c r="B1998" i="1"/>
  <c r="E1997" i="1"/>
  <c r="B1997" i="1"/>
  <c r="E1996" i="1"/>
  <c r="B1996" i="1"/>
  <c r="E1995" i="1"/>
  <c r="B1995" i="1"/>
  <c r="E1994" i="1"/>
  <c r="B1994" i="1"/>
  <c r="E1993" i="1"/>
  <c r="B1993" i="1"/>
  <c r="E1992" i="1"/>
  <c r="B1992" i="1"/>
  <c r="E1991" i="1"/>
  <c r="B1991" i="1"/>
  <c r="E1990" i="1"/>
  <c r="B1990" i="1"/>
  <c r="E1989" i="1"/>
  <c r="B1989" i="1"/>
  <c r="E1988" i="1"/>
  <c r="B1988" i="1"/>
  <c r="E1987" i="1"/>
  <c r="B1987" i="1"/>
  <c r="E1986" i="1"/>
  <c r="B1986" i="1"/>
  <c r="E1985" i="1"/>
  <c r="B1985" i="1"/>
  <c r="E1984" i="1"/>
  <c r="B1984" i="1"/>
  <c r="E1983" i="1"/>
  <c r="B1983" i="1"/>
  <c r="E1982" i="1"/>
  <c r="B1982" i="1"/>
  <c r="E1981" i="1"/>
  <c r="B1981" i="1"/>
  <c r="E1980" i="1"/>
  <c r="B1980" i="1"/>
  <c r="E1979" i="1"/>
  <c r="B1979" i="1"/>
  <c r="E1978" i="1"/>
  <c r="B1978" i="1"/>
  <c r="E1977" i="1"/>
  <c r="B1977" i="1"/>
  <c r="E1976" i="1"/>
  <c r="B1976" i="1"/>
  <c r="E1975" i="1"/>
  <c r="B1975" i="1"/>
  <c r="E1974" i="1"/>
  <c r="B1974" i="1"/>
  <c r="E1973" i="1"/>
  <c r="B1973" i="1"/>
  <c r="E1972" i="1"/>
  <c r="B1972" i="1"/>
  <c r="E1971" i="1"/>
  <c r="B1971" i="1"/>
  <c r="E1970" i="1"/>
  <c r="B1970" i="1"/>
  <c r="E1969" i="1"/>
  <c r="B1969" i="1"/>
  <c r="E1968" i="1"/>
  <c r="B1968" i="1"/>
  <c r="E1967" i="1"/>
  <c r="B1967" i="1"/>
  <c r="E1966" i="1"/>
  <c r="B1966" i="1"/>
  <c r="E1965" i="1"/>
  <c r="B1965" i="1"/>
  <c r="E1964" i="1"/>
  <c r="B1964" i="1"/>
  <c r="E1963" i="1"/>
  <c r="B1963" i="1"/>
  <c r="E1962" i="1"/>
  <c r="B1962" i="1"/>
  <c r="E1961" i="1"/>
  <c r="B1961" i="1"/>
  <c r="E1960" i="1"/>
  <c r="B1960" i="1"/>
  <c r="E1959" i="1"/>
  <c r="B1959" i="1"/>
  <c r="E1958" i="1"/>
  <c r="B1958" i="1"/>
  <c r="E1957" i="1"/>
  <c r="B1957" i="1"/>
  <c r="E1956" i="1"/>
  <c r="B1956" i="1"/>
  <c r="E1955" i="1"/>
  <c r="B1955" i="1"/>
  <c r="E1954" i="1"/>
  <c r="B1954" i="1"/>
  <c r="E1953" i="1"/>
  <c r="B1953" i="1"/>
  <c r="E1952" i="1"/>
  <c r="B1952" i="1"/>
  <c r="E1951" i="1"/>
  <c r="B1951" i="1"/>
  <c r="E1950" i="1"/>
  <c r="B1950" i="1"/>
  <c r="E1949" i="1"/>
  <c r="B1949" i="1"/>
  <c r="E1948" i="1"/>
  <c r="B1948" i="1"/>
  <c r="E1947" i="1"/>
  <c r="B1947" i="1"/>
  <c r="E1946" i="1"/>
  <c r="B1946" i="1"/>
  <c r="E1945" i="1"/>
  <c r="B1945" i="1"/>
  <c r="E1944" i="1"/>
  <c r="B1944" i="1"/>
  <c r="E1943" i="1"/>
  <c r="B1943" i="1"/>
  <c r="E1942" i="1"/>
  <c r="B1942" i="1"/>
  <c r="E1941" i="1"/>
  <c r="B1941" i="1"/>
  <c r="E1940" i="1"/>
  <c r="B1940" i="1"/>
  <c r="E1939" i="1"/>
  <c r="B1939" i="1"/>
  <c r="E1938" i="1"/>
  <c r="B1938" i="1"/>
  <c r="E1937" i="1"/>
  <c r="B1937" i="1"/>
  <c r="E1936" i="1"/>
  <c r="B1936" i="1"/>
  <c r="E1935" i="1"/>
  <c r="B1935" i="1"/>
  <c r="E1934" i="1"/>
  <c r="B1934" i="1"/>
  <c r="E1933" i="1"/>
  <c r="B1933" i="1"/>
  <c r="E1932" i="1"/>
  <c r="B1932" i="1"/>
  <c r="E1931" i="1"/>
  <c r="B1931" i="1"/>
  <c r="E1930" i="1"/>
  <c r="B1930" i="1"/>
  <c r="E1929" i="1"/>
  <c r="B1929" i="1"/>
  <c r="E1928" i="1"/>
  <c r="B1928" i="1"/>
  <c r="E1927" i="1"/>
  <c r="B1927" i="1"/>
  <c r="E1926" i="1"/>
  <c r="B1926" i="1"/>
  <c r="E1925" i="1"/>
  <c r="B1925" i="1"/>
  <c r="E1924" i="1"/>
  <c r="B1924" i="1"/>
  <c r="E1923" i="1"/>
  <c r="B1923" i="1"/>
  <c r="E1922" i="1"/>
  <c r="B1922" i="1"/>
  <c r="E1921" i="1"/>
  <c r="B1921" i="1"/>
  <c r="E1920" i="1"/>
  <c r="B1920" i="1"/>
  <c r="E1919" i="1"/>
  <c r="B1919" i="1"/>
  <c r="E1918" i="1"/>
  <c r="B1918" i="1"/>
  <c r="E1917" i="1"/>
  <c r="B1917" i="1"/>
  <c r="E1916" i="1"/>
  <c r="B1916" i="1"/>
  <c r="E1915" i="1"/>
  <c r="B1915" i="1"/>
  <c r="E1914" i="1"/>
  <c r="B1914" i="1"/>
  <c r="E1913" i="1"/>
  <c r="B1913" i="1"/>
  <c r="E1912" i="1"/>
  <c r="B1912" i="1"/>
  <c r="E1911" i="1"/>
  <c r="B1911" i="1"/>
  <c r="E1910" i="1"/>
  <c r="B1910" i="1"/>
  <c r="E1909" i="1"/>
  <c r="B1909" i="1"/>
  <c r="E1908" i="1"/>
  <c r="B1908" i="1"/>
  <c r="E1907" i="1"/>
  <c r="B1907" i="1"/>
  <c r="E1906" i="1"/>
  <c r="B1906" i="1"/>
  <c r="E1905" i="1"/>
  <c r="B1905" i="1"/>
  <c r="E1904" i="1"/>
  <c r="B1904" i="1"/>
  <c r="E1903" i="1"/>
  <c r="B1903" i="1"/>
  <c r="E1902" i="1"/>
  <c r="B1902" i="1"/>
  <c r="E1901" i="1"/>
  <c r="B1901" i="1"/>
  <c r="E1900" i="1"/>
  <c r="B1900" i="1"/>
  <c r="E1899" i="1"/>
  <c r="B1899" i="1"/>
  <c r="E1898" i="1"/>
  <c r="B1898" i="1"/>
  <c r="E1897" i="1"/>
  <c r="B1897" i="1"/>
  <c r="E1896" i="1"/>
  <c r="B1896" i="1"/>
  <c r="E1895" i="1"/>
  <c r="B1895" i="1"/>
  <c r="E1894" i="1"/>
  <c r="B1894" i="1"/>
  <c r="E1893" i="1"/>
  <c r="B1893" i="1"/>
  <c r="E1892" i="1"/>
  <c r="B1892" i="1"/>
  <c r="E1891" i="1"/>
  <c r="B1891" i="1"/>
  <c r="E1890" i="1"/>
  <c r="B1890" i="1"/>
  <c r="E1889" i="1"/>
  <c r="B1889" i="1"/>
  <c r="E1888" i="1"/>
  <c r="B1888" i="1"/>
  <c r="E1887" i="1"/>
  <c r="B1887" i="1"/>
  <c r="E1886" i="1"/>
  <c r="B1886" i="1"/>
  <c r="E1885" i="1"/>
  <c r="B1885" i="1"/>
  <c r="E1884" i="1"/>
  <c r="B1884" i="1"/>
  <c r="E1883" i="1"/>
  <c r="B1883" i="1"/>
  <c r="E1882" i="1"/>
  <c r="B1882" i="1"/>
  <c r="E1881" i="1"/>
  <c r="B1881" i="1"/>
  <c r="E1880" i="1"/>
  <c r="B1880" i="1"/>
  <c r="E1879" i="1"/>
  <c r="B1879" i="1"/>
  <c r="E1878" i="1"/>
  <c r="B1878" i="1"/>
  <c r="E1877" i="1"/>
  <c r="B1877" i="1"/>
  <c r="E1876" i="1"/>
  <c r="B1876" i="1"/>
  <c r="E1875" i="1"/>
  <c r="B1875" i="1"/>
  <c r="E1874" i="1"/>
  <c r="B1874" i="1"/>
  <c r="E1873" i="1"/>
  <c r="B1873" i="1"/>
  <c r="E1872" i="1"/>
  <c r="B1872" i="1"/>
  <c r="E1871" i="1"/>
  <c r="B1871" i="1"/>
  <c r="E1870" i="1"/>
  <c r="B1870" i="1"/>
  <c r="E1869" i="1"/>
  <c r="B1869" i="1"/>
  <c r="E1868" i="1"/>
  <c r="B1868" i="1"/>
  <c r="E1867" i="1"/>
  <c r="B1867" i="1"/>
  <c r="E1866" i="1"/>
  <c r="B1866" i="1"/>
  <c r="E1865" i="1"/>
  <c r="B1865" i="1"/>
  <c r="E1864" i="1"/>
  <c r="B1864" i="1"/>
  <c r="E1863" i="1"/>
  <c r="B1863" i="1"/>
  <c r="E1862" i="1"/>
  <c r="B1862" i="1"/>
  <c r="E1861" i="1"/>
  <c r="B1861" i="1"/>
  <c r="E1860" i="1"/>
  <c r="B1860" i="1"/>
  <c r="E1859" i="1"/>
  <c r="B1859" i="1"/>
  <c r="E1858" i="1"/>
  <c r="B1858" i="1"/>
  <c r="E1857" i="1"/>
  <c r="B1857" i="1"/>
  <c r="E1856" i="1"/>
  <c r="B1856" i="1"/>
  <c r="E1855" i="1"/>
  <c r="B1855" i="1"/>
  <c r="E1854" i="1"/>
  <c r="B1854" i="1"/>
  <c r="E1853" i="1"/>
  <c r="B1853" i="1"/>
  <c r="E1852" i="1"/>
  <c r="B1852" i="1"/>
  <c r="E1851" i="1"/>
  <c r="B1851" i="1"/>
  <c r="E1850" i="1"/>
  <c r="B1850" i="1"/>
  <c r="E1849" i="1"/>
  <c r="B1849" i="1"/>
  <c r="E1848" i="1"/>
  <c r="B1848" i="1"/>
  <c r="E1847" i="1"/>
  <c r="B1847" i="1"/>
  <c r="E1846" i="1"/>
  <c r="B1846" i="1"/>
  <c r="E1845" i="1"/>
  <c r="B1845" i="1"/>
  <c r="E1844" i="1"/>
  <c r="B1844" i="1"/>
  <c r="E1843" i="1"/>
  <c r="B1843" i="1"/>
  <c r="E1842" i="1"/>
  <c r="B1842" i="1"/>
  <c r="E1841" i="1"/>
  <c r="B1841" i="1"/>
  <c r="E1840" i="1"/>
  <c r="B1840" i="1"/>
  <c r="E1839" i="1"/>
  <c r="B1839" i="1"/>
  <c r="E1838" i="1"/>
  <c r="B1838" i="1"/>
  <c r="E1837" i="1"/>
  <c r="B1837" i="1"/>
  <c r="E1836" i="1"/>
  <c r="B1836" i="1"/>
  <c r="E1835" i="1"/>
  <c r="B1835" i="1"/>
  <c r="E1834" i="1"/>
  <c r="B1834" i="1"/>
  <c r="E1833" i="1"/>
  <c r="B1833" i="1"/>
  <c r="E1832" i="1"/>
  <c r="B1832" i="1"/>
  <c r="E1831" i="1"/>
  <c r="B1831" i="1"/>
  <c r="E1830" i="1"/>
  <c r="B1830" i="1"/>
  <c r="E1829" i="1"/>
  <c r="B1829" i="1"/>
  <c r="E1828" i="1"/>
  <c r="B1828" i="1"/>
  <c r="E1827" i="1"/>
  <c r="B1827" i="1"/>
  <c r="E1826" i="1"/>
  <c r="B1826" i="1"/>
  <c r="E1825" i="1"/>
  <c r="B1825" i="1"/>
  <c r="E1824" i="1"/>
  <c r="B1824" i="1"/>
  <c r="E1823" i="1"/>
  <c r="B1823" i="1"/>
  <c r="E1822" i="1"/>
  <c r="B1822" i="1"/>
  <c r="E1821" i="1"/>
  <c r="B1821" i="1"/>
  <c r="E1820" i="1"/>
  <c r="B1820" i="1"/>
  <c r="E1819" i="1"/>
  <c r="B1819" i="1"/>
  <c r="E1818" i="1"/>
  <c r="B1818" i="1"/>
  <c r="E1817" i="1"/>
  <c r="B1817" i="1"/>
  <c r="E1816" i="1"/>
  <c r="B1816" i="1"/>
  <c r="E1815" i="1"/>
  <c r="B1815" i="1"/>
  <c r="E1814" i="1"/>
  <c r="B1814" i="1"/>
  <c r="E1813" i="1"/>
  <c r="B1813" i="1"/>
  <c r="E1812" i="1"/>
  <c r="B1812" i="1"/>
  <c r="E1811" i="1"/>
  <c r="B1811" i="1"/>
  <c r="E1810" i="1"/>
  <c r="B1810" i="1"/>
  <c r="E1809" i="1"/>
  <c r="B1809" i="1"/>
  <c r="E1808" i="1"/>
  <c r="B1808" i="1"/>
  <c r="E1807" i="1"/>
  <c r="B1807" i="1"/>
  <c r="E1806" i="1"/>
  <c r="B1806" i="1"/>
  <c r="E1805" i="1"/>
  <c r="B1805" i="1"/>
  <c r="E1804" i="1"/>
  <c r="B1804" i="1"/>
  <c r="E1803" i="1"/>
  <c r="B1803" i="1"/>
  <c r="E1802" i="1"/>
  <c r="B1802" i="1"/>
  <c r="E1801" i="1"/>
  <c r="B1801" i="1"/>
  <c r="E1800" i="1"/>
  <c r="B1800" i="1"/>
  <c r="E1799" i="1"/>
  <c r="B1799" i="1"/>
  <c r="E1798" i="1"/>
  <c r="B1798" i="1"/>
  <c r="E1797" i="1"/>
  <c r="B1797" i="1"/>
  <c r="E1796" i="1"/>
  <c r="B1796" i="1"/>
  <c r="E1795" i="1"/>
  <c r="B1795" i="1"/>
  <c r="E1794" i="1"/>
  <c r="B1794" i="1"/>
  <c r="E1793" i="1"/>
  <c r="B1793" i="1"/>
  <c r="E1792" i="1"/>
  <c r="B1792" i="1"/>
  <c r="E1791" i="1"/>
  <c r="B1791" i="1"/>
  <c r="E1790" i="1"/>
  <c r="B1790" i="1"/>
  <c r="E1789" i="1"/>
  <c r="B1789" i="1"/>
  <c r="E1788" i="1"/>
  <c r="B1788" i="1"/>
  <c r="E1787" i="1"/>
  <c r="B1787" i="1"/>
  <c r="E1786" i="1"/>
  <c r="B1786" i="1"/>
  <c r="E1785" i="1"/>
  <c r="B1785" i="1"/>
  <c r="E1784" i="1"/>
  <c r="B1784" i="1"/>
  <c r="E1783" i="1"/>
  <c r="B1783" i="1"/>
  <c r="E1782" i="1"/>
  <c r="B1782" i="1"/>
  <c r="E1781" i="1"/>
  <c r="B1781" i="1"/>
  <c r="E1780" i="1"/>
  <c r="B1780" i="1"/>
  <c r="E1779" i="1"/>
  <c r="B1779" i="1"/>
  <c r="E1778" i="1"/>
  <c r="B1778" i="1"/>
  <c r="E1777" i="1"/>
  <c r="B1777" i="1"/>
  <c r="E1776" i="1"/>
  <c r="B1776" i="1"/>
  <c r="E1775" i="1"/>
  <c r="B1775" i="1"/>
  <c r="E1774" i="1"/>
  <c r="B1774" i="1"/>
  <c r="E1773" i="1"/>
  <c r="B1773" i="1"/>
  <c r="E1772" i="1"/>
  <c r="B1772" i="1"/>
  <c r="E1771" i="1"/>
  <c r="B1771" i="1"/>
  <c r="E1770" i="1"/>
  <c r="B1770" i="1"/>
  <c r="E1769" i="1"/>
  <c r="B1769" i="1"/>
  <c r="E1768" i="1"/>
  <c r="B1768" i="1"/>
  <c r="E1767" i="1"/>
  <c r="B1767" i="1"/>
  <c r="E1766" i="1"/>
  <c r="B1766" i="1"/>
  <c r="E1765" i="1"/>
  <c r="B1765" i="1"/>
  <c r="E1764" i="1"/>
  <c r="B1764" i="1"/>
  <c r="E1763" i="1"/>
  <c r="B1763" i="1"/>
  <c r="E1762" i="1"/>
  <c r="B1762" i="1"/>
  <c r="E1761" i="1"/>
  <c r="B1761" i="1"/>
  <c r="E1760" i="1"/>
  <c r="B1760" i="1"/>
  <c r="E1759" i="1"/>
  <c r="B1759" i="1"/>
  <c r="E1758" i="1"/>
  <c r="B1758" i="1"/>
  <c r="E1757" i="1"/>
  <c r="B1757" i="1"/>
  <c r="E1756" i="1"/>
  <c r="B1756" i="1"/>
  <c r="E1755" i="1"/>
  <c r="B1755" i="1"/>
  <c r="E1754" i="1"/>
  <c r="B1754" i="1"/>
  <c r="E1753" i="1"/>
  <c r="B1753" i="1"/>
  <c r="E1752" i="1"/>
  <c r="B1752" i="1"/>
  <c r="E1751" i="1"/>
  <c r="B1751" i="1"/>
  <c r="E1750" i="1"/>
  <c r="B1750" i="1"/>
  <c r="E1749" i="1"/>
  <c r="B1749" i="1"/>
  <c r="E1748" i="1"/>
  <c r="B1748" i="1"/>
  <c r="E1747" i="1"/>
  <c r="B1747" i="1"/>
  <c r="E1746" i="1"/>
  <c r="B1746" i="1"/>
  <c r="E1745" i="1"/>
  <c r="B1745" i="1"/>
  <c r="E1744" i="1"/>
  <c r="B1744" i="1"/>
  <c r="E1743" i="1"/>
  <c r="B1743" i="1"/>
  <c r="E1742" i="1"/>
  <c r="B1742" i="1"/>
  <c r="E1741" i="1"/>
  <c r="B1741" i="1"/>
  <c r="E1740" i="1"/>
  <c r="B1740" i="1"/>
  <c r="E1739" i="1"/>
  <c r="B1739" i="1"/>
  <c r="E1738" i="1"/>
  <c r="B1738" i="1"/>
  <c r="E1737" i="1"/>
  <c r="B1737" i="1"/>
  <c r="E1736" i="1"/>
  <c r="B1736" i="1"/>
  <c r="E1735" i="1"/>
  <c r="B1735" i="1"/>
  <c r="E1734" i="1"/>
  <c r="B1734" i="1"/>
  <c r="E1733" i="1"/>
  <c r="B1733" i="1"/>
  <c r="E1732" i="1"/>
  <c r="B1732" i="1"/>
  <c r="E1731" i="1"/>
  <c r="B1731" i="1"/>
  <c r="E1730" i="1"/>
  <c r="B1730" i="1"/>
  <c r="E1729" i="1"/>
  <c r="B1729" i="1"/>
  <c r="E1728" i="1"/>
  <c r="B1728" i="1"/>
  <c r="E1727" i="1"/>
  <c r="B1727" i="1"/>
  <c r="E1726" i="1"/>
  <c r="B1726" i="1"/>
  <c r="E1725" i="1"/>
  <c r="B1725" i="1"/>
  <c r="E1724" i="1"/>
  <c r="B1724" i="1"/>
  <c r="E1723" i="1"/>
  <c r="B1723" i="1"/>
  <c r="E1722" i="1"/>
  <c r="B1722" i="1"/>
  <c r="E1721" i="1"/>
  <c r="B1721" i="1"/>
  <c r="E1720" i="1"/>
  <c r="B1720" i="1"/>
  <c r="E1719" i="1"/>
  <c r="B1719" i="1"/>
  <c r="E1718" i="1"/>
  <c r="B1718" i="1"/>
  <c r="E1717" i="1"/>
  <c r="B1717" i="1"/>
  <c r="E1716" i="1"/>
  <c r="B1716" i="1"/>
  <c r="E1715" i="1"/>
  <c r="B1715" i="1"/>
  <c r="E1714" i="1"/>
  <c r="B1714" i="1"/>
  <c r="E1713" i="1"/>
  <c r="B1713" i="1"/>
  <c r="E1712" i="1"/>
  <c r="B1712" i="1"/>
  <c r="E1711" i="1"/>
  <c r="B1711" i="1"/>
  <c r="E1710" i="1"/>
  <c r="B1710" i="1"/>
  <c r="E1709" i="1"/>
  <c r="B1709" i="1"/>
  <c r="E1708" i="1"/>
  <c r="B1708" i="1"/>
  <c r="E1707" i="1"/>
  <c r="B1707" i="1"/>
  <c r="E1706" i="1"/>
  <c r="B1706" i="1"/>
  <c r="E1705" i="1"/>
  <c r="B1705" i="1"/>
  <c r="E1704" i="1"/>
  <c r="B1704" i="1"/>
  <c r="E1703" i="1"/>
  <c r="B1703" i="1"/>
  <c r="E1702" i="1"/>
  <c r="B1702" i="1"/>
  <c r="E1701" i="1"/>
  <c r="B1701" i="1"/>
  <c r="E1700" i="1"/>
  <c r="B1700" i="1"/>
  <c r="E1699" i="1"/>
  <c r="B1699" i="1"/>
  <c r="E1698" i="1"/>
  <c r="B1698" i="1"/>
  <c r="E1697" i="1"/>
  <c r="B1697" i="1"/>
  <c r="E1696" i="1"/>
  <c r="B1696" i="1"/>
  <c r="E1695" i="1"/>
  <c r="B1695" i="1"/>
  <c r="E1694" i="1"/>
  <c r="B1694" i="1"/>
  <c r="E1693" i="1"/>
  <c r="B1693" i="1"/>
  <c r="E1692" i="1"/>
  <c r="B1692" i="1"/>
  <c r="E1691" i="1"/>
  <c r="B1691" i="1"/>
  <c r="E1690" i="1"/>
  <c r="B1690" i="1"/>
  <c r="E1689" i="1"/>
  <c r="B1689" i="1"/>
  <c r="E1688" i="1"/>
  <c r="B1688" i="1"/>
  <c r="E1687" i="1"/>
  <c r="B1687" i="1"/>
  <c r="E1686" i="1"/>
  <c r="B1686" i="1"/>
  <c r="E1685" i="1"/>
  <c r="B1685" i="1"/>
  <c r="E1684" i="1"/>
  <c r="B1684" i="1"/>
  <c r="E1683" i="1"/>
  <c r="B1683" i="1"/>
  <c r="E1682" i="1"/>
  <c r="B1682" i="1"/>
  <c r="E1681" i="1"/>
  <c r="B1681" i="1"/>
  <c r="E1680" i="1"/>
  <c r="B1680" i="1"/>
  <c r="E1679" i="1"/>
  <c r="B1679" i="1"/>
  <c r="E1678" i="1"/>
  <c r="B1678" i="1"/>
  <c r="E1677" i="1"/>
  <c r="B1677" i="1"/>
  <c r="E1676" i="1"/>
  <c r="B1676" i="1"/>
  <c r="E1675" i="1"/>
  <c r="B1675" i="1"/>
  <c r="E1674" i="1"/>
  <c r="B1674" i="1"/>
  <c r="E1673" i="1" l="1"/>
  <c r="B1673" i="1"/>
  <c r="E1672" i="1"/>
  <c r="B1672" i="1"/>
  <c r="E1671" i="1"/>
  <c r="B1671" i="1"/>
  <c r="E1670" i="1"/>
  <c r="B1670" i="1"/>
  <c r="E1669" i="1"/>
  <c r="B1669" i="1"/>
  <c r="E1668" i="1"/>
  <c r="B1668" i="1"/>
  <c r="E1667" i="1"/>
  <c r="B1667" i="1"/>
  <c r="E1666" i="1"/>
  <c r="B1666" i="1"/>
  <c r="E1665" i="1"/>
  <c r="B1665" i="1"/>
  <c r="E1664" i="1"/>
  <c r="B1664" i="1"/>
  <c r="E1663" i="1"/>
  <c r="B1663" i="1"/>
  <c r="E1662" i="1"/>
  <c r="B1662" i="1"/>
  <c r="E1661" i="1"/>
  <c r="B1661" i="1"/>
  <c r="E1660" i="1"/>
  <c r="B1660" i="1"/>
  <c r="E1659" i="1"/>
  <c r="B1659" i="1"/>
  <c r="E1658" i="1"/>
  <c r="B1658" i="1"/>
  <c r="E1657" i="1"/>
  <c r="B1657" i="1"/>
  <c r="E1656" i="1"/>
  <c r="B1656" i="1"/>
  <c r="E1655" i="1"/>
  <c r="B1655" i="1"/>
  <c r="E1654" i="1"/>
  <c r="B1654" i="1"/>
  <c r="E1653" i="1"/>
  <c r="B1653" i="1"/>
  <c r="E1652" i="1"/>
  <c r="B1652" i="1"/>
  <c r="E1651" i="1"/>
  <c r="B1651" i="1"/>
  <c r="E1650" i="1"/>
  <c r="B1650" i="1"/>
  <c r="E1649" i="1"/>
  <c r="B1649" i="1"/>
  <c r="E1648" i="1"/>
  <c r="B1648" i="1"/>
  <c r="E1647" i="1"/>
  <c r="B1647" i="1"/>
  <c r="E1646" i="1"/>
  <c r="B1646" i="1"/>
  <c r="E1645" i="1"/>
  <c r="B1645" i="1"/>
  <c r="E1644" i="1"/>
  <c r="B1644" i="1"/>
  <c r="E1643" i="1"/>
  <c r="B1643" i="1"/>
  <c r="E1642" i="1"/>
  <c r="B1642" i="1"/>
  <c r="E1641" i="1"/>
  <c r="B1641" i="1"/>
  <c r="E1640" i="1"/>
  <c r="B1640" i="1"/>
  <c r="E1639" i="1"/>
  <c r="B1639" i="1"/>
  <c r="E1638" i="1"/>
  <c r="B1638" i="1"/>
  <c r="E1637" i="1"/>
  <c r="B1637" i="1"/>
  <c r="E1636" i="1"/>
  <c r="B1636" i="1"/>
  <c r="E1635" i="1"/>
  <c r="B1635" i="1"/>
  <c r="E1634" i="1"/>
  <c r="B1634" i="1"/>
  <c r="E1633" i="1"/>
  <c r="B1633" i="1"/>
  <c r="E1632" i="1"/>
  <c r="B1632" i="1"/>
  <c r="E1631" i="1"/>
  <c r="B1631" i="1"/>
  <c r="E1630" i="1"/>
  <c r="B1630" i="1"/>
  <c r="E1629" i="1"/>
  <c r="B1629" i="1"/>
  <c r="E1628" i="1"/>
  <c r="B1628" i="1"/>
  <c r="E1627" i="1"/>
  <c r="B1627" i="1"/>
  <c r="E1626" i="1"/>
  <c r="B1626" i="1"/>
  <c r="E1625" i="1"/>
  <c r="B1625" i="1"/>
  <c r="E1624" i="1"/>
  <c r="B1624" i="1"/>
  <c r="E1623" i="1"/>
  <c r="B1623" i="1"/>
  <c r="E1622" i="1"/>
  <c r="B1622" i="1"/>
  <c r="E1621" i="1"/>
  <c r="B1621" i="1"/>
  <c r="E1620" i="1"/>
  <c r="B1620" i="1"/>
  <c r="E1619" i="1"/>
  <c r="B1619" i="1"/>
  <c r="E1618" i="1"/>
  <c r="B1618" i="1"/>
  <c r="E1617" i="1"/>
  <c r="B1617" i="1"/>
  <c r="E1616" i="1"/>
  <c r="B1616" i="1"/>
  <c r="E1615" i="1"/>
  <c r="B1615" i="1"/>
  <c r="E1614" i="1"/>
  <c r="B1614" i="1"/>
  <c r="E1613" i="1"/>
  <c r="B1613" i="1"/>
  <c r="E1612" i="1"/>
  <c r="B1612" i="1"/>
  <c r="E1611" i="1"/>
  <c r="B1611" i="1"/>
  <c r="E1610" i="1"/>
  <c r="B1610" i="1"/>
  <c r="E1609" i="1"/>
  <c r="B1609" i="1"/>
  <c r="E1608" i="1"/>
  <c r="B1608" i="1"/>
  <c r="E1607" i="1"/>
  <c r="B1607" i="1"/>
  <c r="E1606" i="1"/>
  <c r="B1606" i="1"/>
  <c r="E1605" i="1"/>
  <c r="B1605" i="1"/>
  <c r="E1604" i="1"/>
  <c r="B1604" i="1"/>
  <c r="E1603" i="1"/>
  <c r="B1603" i="1"/>
  <c r="E1602" i="1"/>
  <c r="B1602" i="1"/>
  <c r="E1601" i="1"/>
  <c r="B1601" i="1"/>
  <c r="E1600" i="1"/>
  <c r="B1600" i="1"/>
  <c r="E1599" i="1"/>
  <c r="B1599" i="1"/>
  <c r="E1598" i="1"/>
  <c r="B1598" i="1"/>
  <c r="E1597" i="1"/>
  <c r="B1597" i="1"/>
  <c r="E1596" i="1"/>
  <c r="B1596" i="1"/>
  <c r="E1595" i="1"/>
  <c r="B1595" i="1"/>
  <c r="E1594" i="1"/>
  <c r="B1594" i="1"/>
  <c r="E1593" i="1"/>
  <c r="B1593" i="1"/>
  <c r="E1592" i="1"/>
  <c r="B1592" i="1"/>
  <c r="E1591" i="1"/>
  <c r="B1591" i="1"/>
  <c r="E1590" i="1"/>
  <c r="B1590" i="1"/>
  <c r="E1589" i="1"/>
  <c r="B1589" i="1"/>
  <c r="E1588" i="1"/>
  <c r="B1588" i="1"/>
  <c r="E1587" i="1"/>
  <c r="B1587" i="1"/>
  <c r="E1586" i="1"/>
  <c r="B1586" i="1"/>
  <c r="E1585" i="1"/>
  <c r="B1585" i="1"/>
  <c r="E1584" i="1" l="1"/>
  <c r="B1584" i="1"/>
  <c r="E1583" i="1"/>
  <c r="B1583" i="1"/>
  <c r="E1582" i="1"/>
  <c r="B1582" i="1"/>
  <c r="E1581" i="1"/>
  <c r="B1581" i="1"/>
  <c r="E1580" i="1"/>
  <c r="B1580" i="1"/>
  <c r="E1579" i="1"/>
  <c r="B1579" i="1"/>
  <c r="E1578" i="1"/>
  <c r="B1578" i="1"/>
  <c r="E1577" i="1"/>
  <c r="B1577" i="1"/>
  <c r="E1576" i="1"/>
  <c r="B1576" i="1"/>
  <c r="E1575" i="1"/>
  <c r="B1575" i="1"/>
  <c r="E1574" i="1"/>
  <c r="B1574" i="1"/>
  <c r="E1573" i="1"/>
  <c r="B1573" i="1"/>
  <c r="E1572" i="1"/>
  <c r="B1572" i="1"/>
  <c r="E1571" i="1"/>
  <c r="B1571" i="1"/>
  <c r="E1570" i="1"/>
  <c r="B1570" i="1"/>
  <c r="E1569" i="1"/>
  <c r="B1569" i="1"/>
  <c r="E1568" i="1"/>
  <c r="B1568" i="1"/>
  <c r="E1567" i="1"/>
  <c r="B1567" i="1"/>
  <c r="E1566" i="1"/>
  <c r="B1566" i="1"/>
  <c r="E1565" i="1"/>
  <c r="B1565" i="1"/>
  <c r="E1564" i="1"/>
  <c r="B1564" i="1"/>
  <c r="E1563" i="1"/>
  <c r="B1563" i="1"/>
  <c r="E1562" i="1"/>
  <c r="B1562" i="1"/>
  <c r="E1561" i="1"/>
  <c r="B1561" i="1"/>
  <c r="E1560" i="1"/>
  <c r="B1560" i="1"/>
  <c r="E1559" i="1"/>
  <c r="B1559" i="1"/>
  <c r="E1558" i="1"/>
  <c r="B1558" i="1"/>
  <c r="E1557" i="1"/>
  <c r="B1557" i="1"/>
  <c r="E1556" i="1"/>
  <c r="B1556" i="1"/>
  <c r="E1555" i="1"/>
  <c r="B1555" i="1"/>
  <c r="E1554" i="1"/>
  <c r="B1554" i="1"/>
  <c r="E1553" i="1"/>
  <c r="B1553" i="1"/>
  <c r="E1552" i="1"/>
  <c r="B1552" i="1"/>
  <c r="E1551" i="1"/>
  <c r="B1551" i="1"/>
  <c r="E1550" i="1"/>
  <c r="B1550" i="1"/>
  <c r="E1549" i="1"/>
  <c r="B1549" i="1"/>
  <c r="E1548" i="1"/>
  <c r="B1548" i="1"/>
  <c r="E1547" i="1"/>
  <c r="B1547" i="1"/>
  <c r="E1546" i="1"/>
  <c r="B1546" i="1"/>
  <c r="E1545" i="1"/>
  <c r="B1545" i="1"/>
  <c r="E1544" i="1"/>
  <c r="B1544" i="1"/>
  <c r="E1543" i="1"/>
  <c r="B1543" i="1"/>
  <c r="E1542" i="1"/>
  <c r="B1542" i="1"/>
  <c r="E1541" i="1"/>
  <c r="B1541" i="1"/>
  <c r="E1540" i="1"/>
  <c r="B1540" i="1"/>
  <c r="E1539" i="1"/>
  <c r="B1539" i="1"/>
  <c r="E1538" i="1"/>
  <c r="B1538" i="1"/>
  <c r="E1537" i="1"/>
  <c r="B1537" i="1"/>
  <c r="E1536" i="1"/>
  <c r="B1536" i="1"/>
  <c r="E1535" i="1"/>
  <c r="B1535" i="1"/>
  <c r="E1534" i="1"/>
  <c r="B1534" i="1"/>
  <c r="E1533" i="1"/>
  <c r="B1533" i="1"/>
  <c r="E1532" i="1"/>
  <c r="B1532" i="1"/>
  <c r="E1531" i="1"/>
  <c r="B1531" i="1"/>
  <c r="E1530" i="1"/>
  <c r="B1530" i="1"/>
  <c r="E1529" i="1"/>
  <c r="B1529" i="1"/>
  <c r="E1528" i="1"/>
  <c r="B1528" i="1"/>
  <c r="E1527" i="1"/>
  <c r="B1527" i="1"/>
  <c r="E1526" i="1"/>
  <c r="B1526" i="1"/>
  <c r="E1525" i="1"/>
  <c r="B1525" i="1"/>
  <c r="E1524" i="1"/>
  <c r="B1524" i="1"/>
  <c r="E1523" i="1"/>
  <c r="B1523" i="1"/>
  <c r="E1522" i="1"/>
  <c r="B1522" i="1"/>
  <c r="E1521" i="1"/>
  <c r="B1521" i="1"/>
  <c r="E1520" i="1"/>
  <c r="B1520" i="1"/>
  <c r="E1519" i="1"/>
  <c r="B1519" i="1"/>
  <c r="E1518" i="1"/>
  <c r="B1518" i="1"/>
  <c r="E1517" i="1"/>
  <c r="B1517" i="1"/>
  <c r="E1516" i="1"/>
  <c r="B1516" i="1"/>
  <c r="E1515" i="1"/>
  <c r="B1515" i="1"/>
  <c r="E1514" i="1"/>
  <c r="B1514" i="1"/>
  <c r="E1513" i="1"/>
  <c r="B1513" i="1"/>
  <c r="E1512" i="1"/>
  <c r="B1512" i="1"/>
  <c r="E1511" i="1"/>
  <c r="B1511" i="1"/>
  <c r="E1510" i="1"/>
  <c r="B1510" i="1"/>
  <c r="E1509" i="1"/>
  <c r="B1509" i="1"/>
  <c r="E1508" i="1"/>
  <c r="B1508" i="1"/>
  <c r="E1507" i="1"/>
  <c r="B1507" i="1"/>
  <c r="E1506" i="1"/>
  <c r="B1506" i="1"/>
  <c r="E1505" i="1"/>
  <c r="B1505" i="1"/>
  <c r="E1504" i="1"/>
  <c r="B1504" i="1"/>
  <c r="E1503" i="1"/>
  <c r="B1503" i="1"/>
  <c r="E1502" i="1"/>
  <c r="B1502" i="1"/>
  <c r="E1501" i="1"/>
  <c r="B1501" i="1"/>
  <c r="E1500" i="1"/>
  <c r="B1500" i="1"/>
  <c r="E1499" i="1"/>
  <c r="B1499" i="1"/>
  <c r="E1498" i="1"/>
  <c r="B1498" i="1"/>
  <c r="E1497" i="1"/>
  <c r="B1497" i="1"/>
  <c r="E1496" i="1"/>
  <c r="B1496" i="1"/>
  <c r="E1495" i="1"/>
  <c r="B1495" i="1"/>
  <c r="E1494" i="1"/>
  <c r="B1494" i="1"/>
  <c r="E1493" i="1"/>
  <c r="B1493" i="1"/>
  <c r="E1492" i="1"/>
  <c r="B1492" i="1"/>
  <c r="E1491" i="1"/>
  <c r="B1491" i="1"/>
  <c r="E1490" i="1"/>
  <c r="B1490" i="1"/>
  <c r="E1489" i="1"/>
  <c r="B1489" i="1"/>
  <c r="E1488" i="1"/>
  <c r="B1488" i="1"/>
  <c r="E1487" i="1"/>
  <c r="B1487" i="1"/>
  <c r="E1486" i="1"/>
  <c r="B1486" i="1"/>
  <c r="E1485" i="1"/>
  <c r="B1485" i="1"/>
  <c r="E1484" i="1"/>
  <c r="B1484" i="1"/>
  <c r="E1483" i="1"/>
  <c r="B1483" i="1"/>
  <c r="E1482" i="1"/>
  <c r="B1482" i="1"/>
  <c r="E1481" i="1"/>
  <c r="B1481" i="1"/>
  <c r="E1480" i="1"/>
  <c r="B1480" i="1"/>
  <c r="E1479" i="1"/>
  <c r="B1479" i="1"/>
  <c r="E1478" i="1"/>
  <c r="B1478" i="1"/>
  <c r="E1477" i="1"/>
  <c r="B1477" i="1"/>
  <c r="E1476" i="1"/>
  <c r="B1476" i="1"/>
  <c r="E1475" i="1"/>
  <c r="B1475" i="1"/>
  <c r="E1474" i="1"/>
  <c r="B1474" i="1"/>
  <c r="E1473" i="1"/>
  <c r="B1473" i="1"/>
  <c r="E1472" i="1"/>
  <c r="B1472" i="1"/>
  <c r="E1471" i="1"/>
  <c r="B1471" i="1"/>
  <c r="E1470" i="1"/>
  <c r="B1470" i="1"/>
  <c r="E1469" i="1"/>
  <c r="B1469" i="1"/>
  <c r="E1468" i="1"/>
  <c r="B1468" i="1"/>
  <c r="E1467" i="1"/>
  <c r="B1467" i="1"/>
  <c r="E1466" i="1"/>
  <c r="B1466" i="1"/>
  <c r="E1465" i="1"/>
  <c r="B1465" i="1"/>
  <c r="E1464" i="1"/>
  <c r="B1464" i="1"/>
  <c r="E1463" i="1"/>
  <c r="B1463" i="1"/>
  <c r="E1462" i="1"/>
  <c r="B1462" i="1"/>
  <c r="E1461" i="1"/>
  <c r="B1461" i="1"/>
  <c r="E1460" i="1"/>
  <c r="B1460" i="1"/>
  <c r="E1459" i="1"/>
  <c r="B1459" i="1"/>
  <c r="E1458" i="1"/>
  <c r="B1458" i="1"/>
  <c r="E1457" i="1"/>
  <c r="B1457" i="1"/>
  <c r="E1456" i="1"/>
  <c r="B1456" i="1"/>
  <c r="E1455" i="1"/>
  <c r="B1455" i="1"/>
  <c r="E1454" i="1"/>
  <c r="B1454" i="1"/>
  <c r="E1453" i="1"/>
  <c r="B1453" i="1"/>
  <c r="E1452" i="1"/>
  <c r="B1452" i="1"/>
  <c r="E1451" i="1"/>
  <c r="B1451" i="1"/>
  <c r="E1450" i="1"/>
  <c r="B1450" i="1"/>
  <c r="E1449" i="1"/>
  <c r="B1449" i="1"/>
  <c r="E1448" i="1"/>
  <c r="B1448" i="1"/>
  <c r="E1447" i="1"/>
  <c r="B1447" i="1"/>
  <c r="E1446" i="1"/>
  <c r="B1446" i="1"/>
  <c r="E1445" i="1"/>
  <c r="B1445" i="1"/>
  <c r="E1444" i="1"/>
  <c r="B1444" i="1"/>
  <c r="E1443" i="1"/>
  <c r="B1443" i="1"/>
  <c r="E1442" i="1"/>
  <c r="B1442" i="1"/>
  <c r="E1441" i="1"/>
  <c r="B1441" i="1"/>
  <c r="E1440" i="1"/>
  <c r="B1440" i="1"/>
  <c r="E1439" i="1"/>
  <c r="B1439" i="1"/>
  <c r="E1438" i="1"/>
  <c r="B1438" i="1"/>
  <c r="E1437" i="1"/>
  <c r="B1437" i="1"/>
  <c r="E1436" i="1"/>
  <c r="B1436" i="1"/>
  <c r="E1435" i="1"/>
  <c r="B1435" i="1"/>
  <c r="E1434" i="1"/>
  <c r="B1434" i="1"/>
  <c r="E1433" i="1"/>
  <c r="B1433" i="1"/>
  <c r="E1432" i="1"/>
  <c r="B1432" i="1"/>
  <c r="E1431" i="1"/>
  <c r="B1431" i="1"/>
  <c r="E1430" i="1"/>
  <c r="B1430" i="1"/>
  <c r="E1429" i="1"/>
  <c r="B1429" i="1"/>
  <c r="E1428" i="1"/>
  <c r="B1428" i="1"/>
  <c r="E1427" i="1"/>
  <c r="B1427" i="1"/>
  <c r="E1426" i="1"/>
  <c r="B1426" i="1"/>
  <c r="E1425" i="1"/>
  <c r="B1425" i="1"/>
  <c r="E1424" i="1"/>
  <c r="B1424" i="1"/>
  <c r="E1423" i="1"/>
  <c r="B1423" i="1"/>
  <c r="E1422" i="1"/>
  <c r="B1422" i="1"/>
  <c r="E1421" i="1"/>
  <c r="B1421" i="1"/>
  <c r="E1420" i="1"/>
  <c r="B1420" i="1"/>
  <c r="E1419" i="1"/>
  <c r="B1419" i="1"/>
  <c r="E1418" i="1"/>
  <c r="B1418" i="1"/>
  <c r="E1417" i="1"/>
  <c r="B1417" i="1"/>
  <c r="E1416" i="1"/>
  <c r="B1416" i="1"/>
  <c r="E1415" i="1"/>
  <c r="B1415" i="1"/>
  <c r="E1414" i="1"/>
  <c r="B1414" i="1"/>
  <c r="E1413" i="1"/>
  <c r="B1413" i="1"/>
  <c r="E1412" i="1"/>
  <c r="B1412" i="1"/>
  <c r="E1411" i="1"/>
  <c r="B1411" i="1"/>
  <c r="E1410" i="1" l="1"/>
  <c r="B1410" i="1"/>
  <c r="E1409" i="1"/>
  <c r="B1409" i="1"/>
  <c r="E1408" i="1"/>
  <c r="B1408" i="1"/>
  <c r="E1407" i="1"/>
  <c r="B1407" i="1"/>
  <c r="E1406" i="1"/>
  <c r="B1406" i="1"/>
  <c r="E1405" i="1"/>
  <c r="B1405" i="1"/>
  <c r="E1404" i="1"/>
  <c r="B1404" i="1"/>
  <c r="E1403" i="1"/>
  <c r="B1403" i="1"/>
  <c r="E1402" i="1"/>
  <c r="B1402" i="1"/>
  <c r="E1401" i="1"/>
  <c r="B1401" i="1"/>
  <c r="E1400" i="1"/>
  <c r="B1400" i="1"/>
  <c r="E1399" i="1"/>
  <c r="B1399" i="1"/>
  <c r="E1398" i="1"/>
  <c r="B1398" i="1"/>
  <c r="E1397" i="1"/>
  <c r="B1397" i="1"/>
  <c r="E1396" i="1"/>
  <c r="B1396" i="1"/>
  <c r="E1395" i="1"/>
  <c r="B1395" i="1"/>
  <c r="E1394" i="1"/>
  <c r="B1394" i="1"/>
  <c r="E1393" i="1"/>
  <c r="B1393" i="1"/>
  <c r="E1392" i="1"/>
  <c r="B1392" i="1"/>
  <c r="E1391" i="1"/>
  <c r="B1391" i="1"/>
  <c r="E1390" i="1"/>
  <c r="B1390" i="1"/>
  <c r="E1389" i="1"/>
  <c r="B1389" i="1"/>
  <c r="E1388" i="1"/>
  <c r="B1388" i="1"/>
  <c r="E1387" i="1"/>
  <c r="B1387" i="1"/>
  <c r="E1386" i="1"/>
  <c r="B1386" i="1"/>
  <c r="E1385" i="1"/>
  <c r="B1385" i="1"/>
  <c r="E1384" i="1"/>
  <c r="B1384" i="1"/>
  <c r="E1383" i="1"/>
  <c r="B1383" i="1"/>
  <c r="E1382" i="1"/>
  <c r="B1382" i="1"/>
  <c r="E1381" i="1"/>
  <c r="B1381" i="1"/>
  <c r="E1380" i="1"/>
  <c r="B1380" i="1"/>
  <c r="E1379" i="1"/>
  <c r="B1379" i="1"/>
  <c r="E1378" i="1"/>
  <c r="B1378" i="1"/>
  <c r="E1377" i="1"/>
  <c r="B1377" i="1"/>
  <c r="E1376" i="1"/>
  <c r="B1376" i="1"/>
  <c r="E1375" i="1"/>
  <c r="B1375" i="1"/>
  <c r="E1374" i="1"/>
  <c r="B1374" i="1"/>
  <c r="E1373" i="1"/>
  <c r="B1373" i="1"/>
  <c r="E1372" i="1"/>
  <c r="B1372" i="1"/>
  <c r="E1371" i="1"/>
  <c r="B1371" i="1"/>
  <c r="E1370" i="1"/>
  <c r="B1370" i="1"/>
  <c r="E1369" i="1"/>
  <c r="B1369" i="1"/>
  <c r="E1368" i="1"/>
  <c r="B1368" i="1"/>
  <c r="E1367" i="1"/>
  <c r="B1367" i="1"/>
  <c r="E1366" i="1"/>
  <c r="B1366" i="1"/>
  <c r="E1365" i="1"/>
  <c r="B1365" i="1"/>
  <c r="E1364" i="1"/>
  <c r="B1364" i="1"/>
  <c r="E1363" i="1"/>
  <c r="B1363" i="1"/>
  <c r="E1362" i="1"/>
  <c r="B1362" i="1"/>
  <c r="E1361" i="1"/>
  <c r="B1361" i="1"/>
  <c r="E1360" i="1"/>
  <c r="B1360" i="1"/>
  <c r="E1359" i="1"/>
  <c r="B1359" i="1"/>
  <c r="E1358" i="1"/>
  <c r="B1358" i="1"/>
  <c r="E1357" i="1"/>
  <c r="B1357" i="1"/>
  <c r="E1356" i="1"/>
  <c r="B1356" i="1"/>
  <c r="E1355" i="1"/>
  <c r="B1355" i="1"/>
  <c r="E1354" i="1"/>
  <c r="B1354" i="1"/>
  <c r="E1353" i="1"/>
  <c r="B1353" i="1"/>
  <c r="E1352" i="1"/>
  <c r="B1352" i="1"/>
  <c r="E1351" i="1"/>
  <c r="B1351" i="1"/>
  <c r="E1350" i="1"/>
  <c r="B1350" i="1"/>
  <c r="E1349" i="1"/>
  <c r="B1349" i="1"/>
  <c r="E1348" i="1"/>
  <c r="B1348" i="1"/>
  <c r="E1347" i="1"/>
  <c r="B1347" i="1"/>
  <c r="E1346" i="1"/>
  <c r="B1346" i="1"/>
  <c r="E1345" i="1"/>
  <c r="B1345" i="1"/>
  <c r="E1344" i="1"/>
  <c r="B1344" i="1"/>
  <c r="E1343" i="1"/>
  <c r="B1343" i="1"/>
  <c r="E1342" i="1"/>
  <c r="B1342" i="1"/>
  <c r="E1341" i="1"/>
  <c r="B1341" i="1"/>
  <c r="E1340" i="1"/>
  <c r="B1340" i="1"/>
  <c r="E1339" i="1"/>
  <c r="B1339" i="1"/>
  <c r="E1338" i="1"/>
  <c r="B1338" i="1"/>
  <c r="E1337" i="1"/>
  <c r="B1337" i="1"/>
  <c r="E1336" i="1"/>
  <c r="B1336" i="1"/>
  <c r="E1335" i="1"/>
  <c r="B1335" i="1"/>
  <c r="E1334" i="1"/>
  <c r="B1334" i="1"/>
  <c r="E1333" i="1"/>
  <c r="B1333" i="1"/>
  <c r="E1332" i="1"/>
  <c r="B1332" i="1"/>
  <c r="E1331" i="1"/>
  <c r="B1331" i="1"/>
  <c r="E1330" i="1"/>
  <c r="B1330" i="1"/>
  <c r="E1329" i="1"/>
  <c r="B1329" i="1"/>
  <c r="E1328" i="1"/>
  <c r="B1328" i="1"/>
  <c r="E1327" i="1"/>
  <c r="B1327" i="1"/>
  <c r="E1326" i="1"/>
  <c r="B1326" i="1"/>
  <c r="E1325" i="1"/>
  <c r="B1325" i="1"/>
  <c r="E1324" i="1"/>
  <c r="B1324" i="1"/>
  <c r="E1323" i="1"/>
  <c r="B1323" i="1"/>
  <c r="E1322" i="1"/>
  <c r="B1322" i="1"/>
  <c r="E1321" i="1"/>
  <c r="B1321" i="1"/>
  <c r="E1320" i="1"/>
  <c r="B1320" i="1"/>
  <c r="E1319" i="1"/>
  <c r="B1319" i="1"/>
  <c r="E1318" i="1"/>
  <c r="B1318" i="1"/>
  <c r="E1317" i="1"/>
  <c r="B1317" i="1"/>
  <c r="E1316" i="1"/>
  <c r="B1316" i="1"/>
  <c r="E1315" i="1"/>
  <c r="B1315" i="1"/>
  <c r="E1314" i="1"/>
  <c r="B1314" i="1"/>
  <c r="E1313" i="1"/>
  <c r="B1313" i="1"/>
  <c r="E1312" i="1"/>
  <c r="B1312" i="1"/>
  <c r="E1311" i="1"/>
  <c r="B1311" i="1"/>
  <c r="E1310" i="1"/>
  <c r="B1310" i="1"/>
  <c r="E1309" i="1"/>
  <c r="B1309" i="1"/>
  <c r="E1308" i="1"/>
  <c r="B1308" i="1"/>
  <c r="E1307" i="1"/>
  <c r="B1307" i="1"/>
  <c r="E1306" i="1"/>
  <c r="B1306" i="1"/>
  <c r="E1305" i="1"/>
  <c r="B1305" i="1"/>
  <c r="E1304" i="1"/>
  <c r="B1304" i="1"/>
  <c r="E1303" i="1"/>
  <c r="B1303" i="1"/>
  <c r="E1302" i="1"/>
  <c r="B1302" i="1"/>
  <c r="E1301" i="1"/>
  <c r="B1301" i="1"/>
  <c r="E1300" i="1"/>
  <c r="B1300" i="1"/>
  <c r="E1299" i="1"/>
  <c r="B1299" i="1"/>
  <c r="E1298" i="1"/>
  <c r="B1298" i="1"/>
  <c r="E1297" i="1"/>
  <c r="B1297" i="1"/>
  <c r="E1296" i="1"/>
  <c r="B1296" i="1"/>
  <c r="E1295" i="1"/>
  <c r="B1295" i="1"/>
  <c r="E1294" i="1"/>
  <c r="B1294" i="1"/>
  <c r="E1293" i="1"/>
  <c r="B1293" i="1"/>
  <c r="E1292" i="1"/>
  <c r="B1292" i="1"/>
  <c r="E1291" i="1"/>
  <c r="B1291" i="1"/>
  <c r="E1290" i="1"/>
  <c r="B1290" i="1"/>
  <c r="E1289" i="1"/>
  <c r="B1289" i="1"/>
  <c r="E1288" i="1"/>
  <c r="B1288" i="1"/>
  <c r="E1287" i="1"/>
  <c r="B1287" i="1"/>
  <c r="E1286" i="1"/>
  <c r="B1286" i="1"/>
  <c r="E1285" i="1"/>
  <c r="B1285" i="1"/>
  <c r="E1284" i="1"/>
  <c r="B1284" i="1"/>
  <c r="E1283" i="1"/>
  <c r="B1283" i="1"/>
  <c r="E1282" i="1"/>
  <c r="B1282" i="1"/>
  <c r="E1281" i="1"/>
  <c r="B1281" i="1"/>
  <c r="E1280" i="1"/>
  <c r="B1280" i="1"/>
  <c r="E1279" i="1"/>
  <c r="B1279" i="1"/>
  <c r="E1278" i="1"/>
  <c r="B1278" i="1"/>
  <c r="E1277" i="1"/>
  <c r="B1277" i="1"/>
  <c r="E1276" i="1"/>
  <c r="B1276" i="1"/>
  <c r="E1275" i="1"/>
  <c r="B1275" i="1"/>
  <c r="E1274" i="1"/>
  <c r="B1274" i="1"/>
  <c r="E1273" i="1"/>
  <c r="B1273" i="1"/>
  <c r="E1272" i="1"/>
  <c r="B1272" i="1"/>
  <c r="E1271" i="1"/>
  <c r="B1271" i="1"/>
  <c r="E1270" i="1"/>
  <c r="B1270" i="1"/>
  <c r="E1269" i="1"/>
  <c r="B1269" i="1"/>
  <c r="E1268" i="1"/>
  <c r="B1268" i="1"/>
  <c r="E1267" i="1"/>
  <c r="B1267" i="1"/>
  <c r="E1266" i="1"/>
  <c r="B1266" i="1"/>
  <c r="E1265" i="1"/>
  <c r="B1265" i="1"/>
  <c r="E1264" i="1"/>
  <c r="B1264" i="1"/>
  <c r="E1260" i="1"/>
  <c r="E1263" i="1" l="1"/>
  <c r="B1263" i="1"/>
  <c r="E1262" i="1"/>
  <c r="B1262" i="1"/>
  <c r="E1261" i="1"/>
  <c r="B1261" i="1"/>
  <c r="B1260" i="1"/>
  <c r="E1259" i="1"/>
  <c r="B1259" i="1"/>
  <c r="E1258" i="1"/>
  <c r="B1258" i="1"/>
  <c r="E1257" i="1"/>
  <c r="B1257" i="1"/>
  <c r="E1256" i="1"/>
  <c r="B1256" i="1"/>
  <c r="E1255" i="1"/>
  <c r="B1255" i="1"/>
  <c r="E1254" i="1"/>
  <c r="B1254" i="1"/>
  <c r="E1253" i="1"/>
  <c r="B1253" i="1"/>
  <c r="E1252" i="1"/>
  <c r="B1252" i="1"/>
  <c r="E1251" i="1"/>
  <c r="B1251" i="1"/>
  <c r="E1250" i="1"/>
  <c r="B1250" i="1"/>
  <c r="E1249" i="1"/>
  <c r="B1249" i="1"/>
  <c r="E1248" i="1"/>
  <c r="B1248" i="1"/>
  <c r="E1247" i="1"/>
  <c r="B1247" i="1"/>
  <c r="E1246" i="1"/>
  <c r="B1246" i="1"/>
  <c r="E1245" i="1"/>
  <c r="B1245" i="1"/>
  <c r="E1244" i="1"/>
  <c r="B1244" i="1"/>
  <c r="E1243" i="1"/>
  <c r="B1243" i="1"/>
  <c r="E1242" i="1"/>
  <c r="B1242" i="1"/>
  <c r="E1241" i="1"/>
  <c r="B1241" i="1"/>
  <c r="E1240" i="1"/>
  <c r="B1240" i="1"/>
  <c r="E1239" i="1"/>
  <c r="B1239" i="1"/>
  <c r="E1238" i="1"/>
  <c r="B1238" i="1"/>
  <c r="E1237" i="1"/>
  <c r="B1237" i="1"/>
  <c r="E1236" i="1"/>
  <c r="B1236" i="1"/>
  <c r="E1235" i="1"/>
  <c r="B1235" i="1"/>
  <c r="E1234" i="1"/>
  <c r="B1234" i="1"/>
  <c r="E1233" i="1"/>
  <c r="B1233" i="1"/>
  <c r="E1232" i="1"/>
  <c r="B1232" i="1"/>
  <c r="E1231" i="1"/>
  <c r="B1231" i="1"/>
  <c r="E1230" i="1"/>
  <c r="B1230" i="1"/>
  <c r="E1229" i="1"/>
  <c r="B1229" i="1"/>
  <c r="E1228" i="1"/>
  <c r="B1228" i="1"/>
  <c r="E1227" i="1"/>
  <c r="B1227" i="1"/>
  <c r="E1226" i="1"/>
  <c r="B1226" i="1"/>
  <c r="E1225" i="1"/>
  <c r="B1225" i="1"/>
  <c r="E1224" i="1"/>
  <c r="B1224" i="1"/>
  <c r="E1223" i="1"/>
  <c r="B1223" i="1"/>
  <c r="E1222" i="1"/>
  <c r="B1222" i="1"/>
  <c r="E1221" i="1"/>
  <c r="B1221" i="1"/>
  <c r="E1220" i="1"/>
  <c r="B1220" i="1"/>
  <c r="E1219" i="1"/>
  <c r="B1219" i="1"/>
  <c r="E1218" i="1"/>
  <c r="B1218" i="1"/>
  <c r="E1217" i="1"/>
  <c r="B1217" i="1"/>
  <c r="E1216" i="1"/>
  <c r="B1216" i="1"/>
  <c r="E1215" i="1"/>
  <c r="B1215" i="1"/>
  <c r="E1214" i="1"/>
  <c r="B1214" i="1"/>
  <c r="E1213" i="1"/>
  <c r="B1213" i="1"/>
  <c r="E1212" i="1"/>
  <c r="B1212" i="1"/>
  <c r="E1211" i="1"/>
  <c r="B1211" i="1"/>
  <c r="E1210" i="1"/>
  <c r="B1210" i="1"/>
  <c r="E1209" i="1"/>
  <c r="B1209" i="1"/>
  <c r="E1208" i="1"/>
  <c r="B1208" i="1"/>
  <c r="E1207" i="1"/>
  <c r="B1207" i="1"/>
  <c r="E1206" i="1"/>
  <c r="B1206" i="1"/>
  <c r="E1205" i="1"/>
  <c r="B1205" i="1"/>
  <c r="E1204" i="1"/>
  <c r="B1204" i="1"/>
  <c r="E1203" i="1"/>
  <c r="B1203" i="1"/>
  <c r="E1202" i="1"/>
  <c r="B1202" i="1"/>
  <c r="E1201" i="1"/>
  <c r="B1201" i="1"/>
  <c r="E1200" i="1"/>
  <c r="B1200" i="1"/>
  <c r="E1199" i="1"/>
  <c r="B1199" i="1"/>
  <c r="E1198" i="1"/>
  <c r="B1198" i="1"/>
  <c r="E1197" i="1"/>
  <c r="B1197" i="1"/>
  <c r="E1196" i="1"/>
  <c r="B1196" i="1"/>
  <c r="E1195" i="1"/>
  <c r="B1195" i="1"/>
  <c r="E1194" i="1"/>
  <c r="B1194" i="1"/>
  <c r="E1193" i="1"/>
  <c r="B1193" i="1"/>
  <c r="E1192" i="1"/>
  <c r="B1192" i="1"/>
  <c r="E1191" i="1"/>
  <c r="B1191" i="1"/>
  <c r="E1190" i="1"/>
  <c r="B1190" i="1"/>
  <c r="E1189" i="1"/>
  <c r="B1189" i="1"/>
  <c r="E1188" i="1"/>
  <c r="B1188" i="1"/>
  <c r="E1187" i="1"/>
  <c r="B1187" i="1"/>
  <c r="E1186" i="1"/>
  <c r="B1186" i="1"/>
  <c r="E1185" i="1"/>
  <c r="B1185" i="1"/>
  <c r="E1184" i="1"/>
  <c r="B1184" i="1"/>
  <c r="E1183" i="1"/>
  <c r="B1183" i="1"/>
  <c r="E1182" i="1"/>
  <c r="B1182" i="1"/>
  <c r="E1181" i="1"/>
  <c r="B1181" i="1"/>
  <c r="E1180" i="1"/>
  <c r="B1180" i="1"/>
  <c r="E1179" i="1"/>
  <c r="B1179" i="1"/>
  <c r="E1178" i="1"/>
  <c r="B1178" i="1"/>
  <c r="E1177" i="1"/>
  <c r="B1177" i="1"/>
  <c r="E1176" i="1"/>
  <c r="B1176" i="1"/>
  <c r="E1175" i="1"/>
  <c r="B1175" i="1"/>
  <c r="E1174" i="1"/>
  <c r="B1174" i="1"/>
  <c r="E1173" i="1"/>
  <c r="B1173" i="1"/>
  <c r="E1172" i="1"/>
  <c r="B1172" i="1"/>
  <c r="E1171" i="1"/>
  <c r="B1171" i="1"/>
  <c r="E1170" i="1"/>
  <c r="B1170" i="1"/>
  <c r="E1169" i="1"/>
  <c r="B1169" i="1"/>
  <c r="E1168" i="1"/>
  <c r="B1168" i="1"/>
  <c r="E1167" i="1"/>
  <c r="B1167" i="1"/>
  <c r="E1166" i="1"/>
  <c r="B1166" i="1"/>
  <c r="E1165" i="1"/>
  <c r="B1165" i="1"/>
  <c r="E1164" i="1"/>
  <c r="B1164" i="1"/>
  <c r="E1163" i="1"/>
  <c r="B1163" i="1"/>
  <c r="E1162" i="1"/>
  <c r="B1162" i="1"/>
  <c r="E1161" i="1"/>
  <c r="B1161" i="1"/>
  <c r="E1160" i="1"/>
  <c r="B1160" i="1"/>
  <c r="E1159" i="1"/>
  <c r="B1159" i="1"/>
  <c r="E1158" i="1"/>
  <c r="B1158" i="1"/>
  <c r="E1157" i="1"/>
  <c r="B1157" i="1"/>
  <c r="E1156" i="1"/>
  <c r="B1156" i="1"/>
  <c r="E1155" i="1"/>
  <c r="B1155" i="1"/>
  <c r="E1154" i="1"/>
  <c r="B1154" i="1"/>
  <c r="E1153" i="1"/>
  <c r="B1153" i="1"/>
  <c r="E1152" i="1"/>
  <c r="B1152" i="1"/>
  <c r="E1151" i="1"/>
  <c r="B1151" i="1"/>
  <c r="E1150" i="1"/>
  <c r="B1150" i="1"/>
  <c r="E1149" i="1"/>
  <c r="B1149" i="1"/>
  <c r="E1148" i="1"/>
  <c r="B1148" i="1"/>
  <c r="E1147" i="1"/>
  <c r="B1147" i="1"/>
  <c r="E1146" i="1"/>
  <c r="B1146" i="1"/>
  <c r="E1145" i="1"/>
  <c r="B1145" i="1"/>
  <c r="E1144" i="1"/>
  <c r="B1144" i="1"/>
  <c r="E1143" i="1"/>
  <c r="B1143" i="1"/>
  <c r="E1142" i="1"/>
  <c r="B1142" i="1"/>
  <c r="E1141" i="1"/>
  <c r="B1141" i="1"/>
  <c r="E1140" i="1"/>
  <c r="B1140" i="1"/>
  <c r="E1139" i="1"/>
  <c r="B1139" i="1"/>
  <c r="E1138" i="1"/>
  <c r="B1138" i="1"/>
  <c r="E1137" i="1"/>
  <c r="B1137" i="1"/>
  <c r="E1136" i="1"/>
  <c r="B1136" i="1"/>
  <c r="E1135" i="1"/>
  <c r="B1135" i="1"/>
  <c r="E1134" i="1"/>
  <c r="B1134" i="1"/>
  <c r="E1133" i="1"/>
  <c r="B1133" i="1"/>
  <c r="E1132" i="1"/>
  <c r="B1132" i="1"/>
  <c r="E1131" i="1"/>
  <c r="B1131" i="1"/>
  <c r="E1130" i="1"/>
  <c r="B1130" i="1"/>
  <c r="E1129" i="1"/>
  <c r="B1129" i="1"/>
  <c r="E1128" i="1"/>
  <c r="B1128" i="1"/>
  <c r="E1127" i="1"/>
  <c r="B1127" i="1"/>
  <c r="E1126" i="1"/>
  <c r="B1126" i="1"/>
  <c r="E1125" i="1"/>
  <c r="B1125" i="1"/>
  <c r="E1124" i="1"/>
  <c r="B1124" i="1"/>
  <c r="E1123" i="1"/>
  <c r="B1123" i="1"/>
  <c r="E1122" i="1"/>
  <c r="B1122" i="1"/>
  <c r="E1121" i="1"/>
  <c r="B1121" i="1"/>
  <c r="E1120" i="1"/>
  <c r="B1120" i="1"/>
  <c r="E1119" i="1"/>
  <c r="B1119" i="1"/>
  <c r="E1118" i="1"/>
  <c r="B1118" i="1"/>
  <c r="E1117" i="1"/>
  <c r="B1117" i="1"/>
  <c r="E1116" i="1"/>
  <c r="B1116" i="1"/>
  <c r="E1115" i="1"/>
  <c r="B1115" i="1"/>
  <c r="E1114" i="1"/>
  <c r="B1114" i="1"/>
  <c r="E1113" i="1"/>
  <c r="B1113" i="1"/>
  <c r="E1112" i="1"/>
  <c r="B1112" i="1"/>
  <c r="E1111" i="1"/>
  <c r="B1111" i="1"/>
  <c r="E1110" i="1"/>
  <c r="B1110" i="1"/>
  <c r="E1109" i="1"/>
  <c r="B1109" i="1"/>
  <c r="E1108" i="1"/>
  <c r="B1108" i="1"/>
  <c r="E1107" i="1"/>
  <c r="B1107" i="1"/>
  <c r="E1106" i="1"/>
  <c r="B1106" i="1"/>
  <c r="E1105" i="1"/>
  <c r="B1105" i="1"/>
  <c r="E1104" i="1"/>
  <c r="B1104" i="1"/>
  <c r="E1103" i="1"/>
  <c r="B1103" i="1"/>
  <c r="E1102" i="1"/>
  <c r="B1102" i="1"/>
  <c r="E1101" i="1"/>
  <c r="B1101" i="1"/>
  <c r="E1100" i="1"/>
  <c r="B1100" i="1"/>
  <c r="E1099" i="1"/>
  <c r="B1099" i="1"/>
  <c r="E1098" i="1"/>
  <c r="B1098" i="1"/>
  <c r="E1097" i="1"/>
  <c r="B1097" i="1"/>
  <c r="E1096" i="1"/>
  <c r="B1096" i="1"/>
  <c r="E1095" i="1"/>
  <c r="B1095" i="1"/>
  <c r="E1094" i="1"/>
  <c r="B1094" i="1"/>
  <c r="E1093" i="1"/>
  <c r="B1093" i="1"/>
  <c r="E1092" i="1"/>
  <c r="B1092" i="1"/>
  <c r="E1091" i="1"/>
  <c r="B1091" i="1"/>
  <c r="E1090" i="1"/>
  <c r="B1090" i="1"/>
  <c r="E1089" i="1"/>
  <c r="B1089" i="1"/>
  <c r="E1088" i="1"/>
  <c r="B1088" i="1"/>
  <c r="E1087" i="1"/>
  <c r="B1087" i="1"/>
  <c r="E1086" i="1"/>
  <c r="B1086" i="1"/>
  <c r="E1085" i="1"/>
  <c r="B1085" i="1"/>
  <c r="E1084" i="1"/>
  <c r="B1084" i="1"/>
  <c r="E1083" i="1"/>
  <c r="B1083" i="1"/>
  <c r="E1082" i="1"/>
  <c r="B1082" i="1"/>
  <c r="E1081" i="1"/>
  <c r="B1081" i="1"/>
  <c r="E1080" i="1"/>
  <c r="B1080" i="1"/>
  <c r="E1079" i="1"/>
  <c r="B1079" i="1"/>
  <c r="E1078" i="1"/>
  <c r="B1078" i="1"/>
  <c r="E1077" i="1"/>
  <c r="B1077" i="1"/>
  <c r="E1076" i="1"/>
  <c r="B1076" i="1"/>
  <c r="E1075" i="1"/>
  <c r="B1075" i="1"/>
  <c r="E1074" i="1"/>
  <c r="B1074" i="1"/>
  <c r="E1073" i="1"/>
  <c r="B1073" i="1"/>
  <c r="E1072" i="1"/>
  <c r="B1072" i="1"/>
  <c r="E1071" i="1"/>
  <c r="B1071" i="1"/>
  <c r="E1070" i="1"/>
  <c r="B1070" i="1"/>
  <c r="E1069" i="1"/>
  <c r="B1069" i="1"/>
  <c r="E1068" i="1"/>
  <c r="B1068" i="1"/>
  <c r="E1067" i="1"/>
  <c r="B1067" i="1"/>
  <c r="E1066" i="1"/>
  <c r="B1066" i="1"/>
  <c r="E1065" i="1"/>
  <c r="B1065" i="1"/>
  <c r="E1064" i="1"/>
  <c r="B1064" i="1"/>
  <c r="E1063" i="1"/>
  <c r="B1063" i="1"/>
  <c r="E1062" i="1"/>
  <c r="B1062" i="1"/>
  <c r="E1061" i="1"/>
  <c r="B1061" i="1"/>
  <c r="E1060" i="1"/>
  <c r="B1060" i="1"/>
  <c r="E1059" i="1"/>
  <c r="B1059" i="1"/>
  <c r="E1058" i="1"/>
  <c r="B1058" i="1"/>
  <c r="E1057" i="1"/>
  <c r="B1057" i="1"/>
  <c r="E1056" i="1"/>
  <c r="B1056" i="1"/>
  <c r="E1055" i="1"/>
  <c r="B1055" i="1"/>
  <c r="E1054" i="1"/>
  <c r="B1054" i="1"/>
  <c r="E1053" i="1"/>
  <c r="B1053" i="1"/>
  <c r="E1052" i="1"/>
  <c r="B1052" i="1"/>
  <c r="E1051" i="1"/>
  <c r="B1051" i="1"/>
  <c r="E1050" i="1"/>
  <c r="B1050" i="1"/>
  <c r="E1049" i="1"/>
  <c r="B1049" i="1"/>
  <c r="E1048" i="1"/>
  <c r="B1048" i="1"/>
  <c r="E1047" i="1"/>
  <c r="B1047" i="1"/>
  <c r="E1046" i="1"/>
  <c r="B1046" i="1"/>
  <c r="E1045" i="1"/>
  <c r="B1045" i="1"/>
  <c r="E1044" i="1"/>
  <c r="B1044" i="1"/>
  <c r="E1043" i="1"/>
  <c r="B1043" i="1"/>
  <c r="E1042" i="1"/>
  <c r="B1042" i="1"/>
  <c r="E1041" i="1"/>
  <c r="B1041" i="1"/>
  <c r="E1040" i="1"/>
  <c r="B1040" i="1"/>
  <c r="E1039" i="1"/>
  <c r="B1039" i="1"/>
  <c r="E1038" i="1"/>
  <c r="B1038" i="1"/>
  <c r="E1037" i="1"/>
  <c r="B1037" i="1"/>
  <c r="E1036" i="1"/>
  <c r="B1036" i="1"/>
  <c r="E1035" i="1"/>
  <c r="B1035" i="1"/>
  <c r="E1034" i="1"/>
  <c r="B1034" i="1"/>
  <c r="E1033" i="1"/>
  <c r="B1033" i="1"/>
  <c r="E1032" i="1"/>
  <c r="B1032" i="1"/>
  <c r="E1031" i="1"/>
  <c r="B1031" i="1"/>
  <c r="E1030" i="1"/>
  <c r="B1030" i="1"/>
  <c r="E1029" i="1"/>
  <c r="B1029" i="1"/>
  <c r="E1028" i="1"/>
  <c r="B1028" i="1"/>
  <c r="E1027" i="1"/>
  <c r="B1027" i="1"/>
  <c r="E1026" i="1"/>
  <c r="B1026" i="1"/>
  <c r="E1025" i="1"/>
  <c r="B1025" i="1"/>
  <c r="E1024" i="1"/>
  <c r="B1024" i="1"/>
  <c r="E1023" i="1"/>
  <c r="B1023" i="1"/>
  <c r="E1022" i="1"/>
  <c r="B1022" i="1"/>
  <c r="E1021" i="1"/>
  <c r="B1021" i="1"/>
  <c r="E1020" i="1"/>
  <c r="B1020" i="1"/>
  <c r="E1019" i="1"/>
  <c r="B1019" i="1"/>
  <c r="E1018" i="1"/>
  <c r="B1018" i="1"/>
  <c r="E1017" i="1"/>
  <c r="B1017" i="1"/>
  <c r="E1016" i="1"/>
  <c r="B1016" i="1"/>
  <c r="E1015" i="1"/>
  <c r="B1015" i="1"/>
  <c r="E1014" i="1"/>
  <c r="B1014" i="1"/>
  <c r="E1013" i="1"/>
  <c r="B1013" i="1"/>
  <c r="E1012" i="1"/>
  <c r="B1012" i="1"/>
  <c r="E1011" i="1"/>
  <c r="B1011" i="1"/>
  <c r="E1010" i="1"/>
  <c r="B1010" i="1"/>
  <c r="E1009" i="1"/>
  <c r="B1009" i="1"/>
  <c r="E1008" i="1"/>
  <c r="B1008" i="1"/>
  <c r="E1007" i="1"/>
  <c r="B1007" i="1"/>
  <c r="E1006" i="1"/>
  <c r="B1006" i="1"/>
  <c r="E1005" i="1"/>
  <c r="B1005" i="1"/>
  <c r="E1004" i="1"/>
  <c r="B1004" i="1"/>
  <c r="E1003" i="1"/>
  <c r="B1003" i="1"/>
  <c r="E1002" i="1"/>
  <c r="B1002" i="1"/>
  <c r="E1001" i="1"/>
  <c r="B1001" i="1"/>
  <c r="E1000" i="1"/>
  <c r="B1000" i="1"/>
  <c r="E999" i="1"/>
  <c r="B999" i="1"/>
  <c r="E998" i="1"/>
  <c r="B998" i="1"/>
  <c r="E997" i="1"/>
  <c r="B997" i="1"/>
  <c r="E996" i="1"/>
  <c r="B996" i="1"/>
  <c r="E995" i="1"/>
  <c r="B995" i="1"/>
  <c r="E994" i="1"/>
  <c r="B994" i="1"/>
  <c r="E993" i="1" l="1"/>
  <c r="B993" i="1"/>
  <c r="E992" i="1"/>
  <c r="B992" i="1"/>
  <c r="E991" i="1"/>
  <c r="B991" i="1"/>
  <c r="E990" i="1"/>
  <c r="B990" i="1"/>
  <c r="E989" i="1"/>
  <c r="B989" i="1"/>
  <c r="E988" i="1"/>
  <c r="B988" i="1"/>
  <c r="E987" i="1"/>
  <c r="B987" i="1"/>
  <c r="E986" i="1"/>
  <c r="B986" i="1"/>
  <c r="E985" i="1"/>
  <c r="B985" i="1"/>
  <c r="E984" i="1"/>
  <c r="B984" i="1"/>
  <c r="E983" i="1"/>
  <c r="B983" i="1"/>
  <c r="E982" i="1"/>
  <c r="B982" i="1"/>
  <c r="E981" i="1"/>
  <c r="B981" i="1"/>
  <c r="E980" i="1"/>
  <c r="B980" i="1"/>
  <c r="E979" i="1"/>
  <c r="B979" i="1"/>
  <c r="E978" i="1"/>
  <c r="B978" i="1"/>
  <c r="E977" i="1"/>
  <c r="B977" i="1"/>
  <c r="E976" i="1"/>
  <c r="B976" i="1"/>
  <c r="E975" i="1"/>
  <c r="B975" i="1"/>
  <c r="E974" i="1"/>
  <c r="B974" i="1"/>
  <c r="E973" i="1"/>
  <c r="B973" i="1"/>
  <c r="E972" i="1"/>
  <c r="B972" i="1"/>
  <c r="E971" i="1"/>
  <c r="B971" i="1"/>
  <c r="E970" i="1"/>
  <c r="B970" i="1"/>
  <c r="E969" i="1"/>
  <c r="B969" i="1"/>
  <c r="E968" i="1"/>
  <c r="B968" i="1"/>
  <c r="E967" i="1"/>
  <c r="B967" i="1"/>
  <c r="E966" i="1"/>
  <c r="B966" i="1"/>
  <c r="E965" i="1"/>
  <c r="B965" i="1"/>
  <c r="E964" i="1"/>
  <c r="B964" i="1"/>
  <c r="E963" i="1"/>
  <c r="B963" i="1"/>
  <c r="E962" i="1"/>
  <c r="B962" i="1"/>
  <c r="E961" i="1"/>
  <c r="B961" i="1"/>
  <c r="E960" i="1"/>
  <c r="B960" i="1"/>
  <c r="E959" i="1"/>
  <c r="B959" i="1"/>
  <c r="E958" i="1"/>
  <c r="B958" i="1"/>
  <c r="E957" i="1"/>
  <c r="B957" i="1"/>
  <c r="E956" i="1"/>
  <c r="B956" i="1"/>
  <c r="E955" i="1"/>
  <c r="B955" i="1"/>
  <c r="E954" i="1"/>
  <c r="B954" i="1"/>
  <c r="E953" i="1"/>
  <c r="B953" i="1"/>
  <c r="E952" i="1"/>
  <c r="B952" i="1"/>
  <c r="E951" i="1"/>
  <c r="B951" i="1"/>
  <c r="E950" i="1"/>
  <c r="B950" i="1"/>
  <c r="E949" i="1"/>
  <c r="B949" i="1"/>
  <c r="E948" i="1"/>
  <c r="B948" i="1"/>
  <c r="E947" i="1"/>
  <c r="B947" i="1"/>
  <c r="E946" i="1"/>
  <c r="B946" i="1"/>
  <c r="E945" i="1"/>
  <c r="B945" i="1"/>
  <c r="E944" i="1"/>
  <c r="B944" i="1"/>
  <c r="E943" i="1"/>
  <c r="B943" i="1"/>
  <c r="E942" i="1"/>
  <c r="B942" i="1"/>
  <c r="E941" i="1"/>
  <c r="B941" i="1"/>
  <c r="E940" i="1"/>
  <c r="B940" i="1"/>
  <c r="E939" i="1"/>
  <c r="B939" i="1"/>
  <c r="E938" i="1"/>
  <c r="B938" i="1"/>
  <c r="E937" i="1"/>
  <c r="B937" i="1"/>
  <c r="E936" i="1"/>
  <c r="B936" i="1"/>
  <c r="E935" i="1"/>
  <c r="B935" i="1"/>
  <c r="E934" i="1"/>
  <c r="B934" i="1"/>
  <c r="E933" i="1"/>
  <c r="B933" i="1"/>
  <c r="E932" i="1"/>
  <c r="B932" i="1"/>
  <c r="E931" i="1"/>
  <c r="B931" i="1"/>
  <c r="E930" i="1"/>
  <c r="B930" i="1"/>
  <c r="E929" i="1"/>
  <c r="B929" i="1"/>
  <c r="E928" i="1"/>
  <c r="B928" i="1"/>
  <c r="E927" i="1"/>
  <c r="B927" i="1"/>
  <c r="E926" i="1"/>
  <c r="B926" i="1"/>
  <c r="E925" i="1"/>
  <c r="B925" i="1"/>
  <c r="E924" i="1"/>
  <c r="B924" i="1"/>
  <c r="E923" i="1"/>
  <c r="B923" i="1"/>
  <c r="E922" i="1"/>
  <c r="B922" i="1"/>
  <c r="E921" i="1"/>
  <c r="B921" i="1"/>
  <c r="E920" i="1"/>
  <c r="B920" i="1"/>
  <c r="E919" i="1"/>
  <c r="B919" i="1"/>
  <c r="E918" i="1"/>
  <c r="B918" i="1"/>
  <c r="E917" i="1"/>
  <c r="B917" i="1"/>
  <c r="E916" i="1"/>
  <c r="B916" i="1"/>
  <c r="E915" i="1"/>
  <c r="B915" i="1"/>
  <c r="E914" i="1"/>
  <c r="B914" i="1"/>
  <c r="E913" i="1"/>
  <c r="B913" i="1"/>
  <c r="E912" i="1"/>
  <c r="B912" i="1"/>
  <c r="E911" i="1"/>
  <c r="B911" i="1"/>
  <c r="E910" i="1"/>
  <c r="B910" i="1"/>
  <c r="E909" i="1"/>
  <c r="B909" i="1"/>
  <c r="E908" i="1"/>
  <c r="B908" i="1"/>
  <c r="E907" i="1"/>
  <c r="B907" i="1"/>
  <c r="E906" i="1"/>
  <c r="B906" i="1"/>
  <c r="E905" i="1"/>
  <c r="B905" i="1"/>
  <c r="E904" i="1"/>
  <c r="B904" i="1"/>
  <c r="E903" i="1"/>
  <c r="B903" i="1"/>
  <c r="E902" i="1"/>
  <c r="B902" i="1"/>
  <c r="E901" i="1"/>
  <c r="B901" i="1"/>
  <c r="E900" i="1"/>
  <c r="B900" i="1"/>
  <c r="E899" i="1"/>
  <c r="B899" i="1"/>
  <c r="E898" i="1"/>
  <c r="B898" i="1"/>
  <c r="E897" i="1"/>
  <c r="B897" i="1"/>
  <c r="E896" i="1"/>
  <c r="B896" i="1"/>
  <c r="E895" i="1"/>
  <c r="B895" i="1"/>
  <c r="E894" i="1"/>
  <c r="B894" i="1"/>
  <c r="E893" i="1"/>
  <c r="B893" i="1"/>
  <c r="E892" i="1"/>
  <c r="B892" i="1"/>
  <c r="E891" i="1"/>
  <c r="B891" i="1"/>
  <c r="E890" i="1"/>
  <c r="B890" i="1"/>
  <c r="E889" i="1"/>
  <c r="B889" i="1"/>
  <c r="E888" i="1"/>
  <c r="B888" i="1"/>
  <c r="E887" i="1"/>
  <c r="B887" i="1"/>
  <c r="E886" i="1"/>
  <c r="B886" i="1"/>
  <c r="E885" i="1"/>
  <c r="B885" i="1"/>
  <c r="E884" i="1"/>
  <c r="B884" i="1"/>
  <c r="E883" i="1"/>
  <c r="B883" i="1"/>
  <c r="E882" i="1"/>
  <c r="B882" i="1"/>
  <c r="E881" i="1"/>
  <c r="B881" i="1"/>
  <c r="E880" i="1"/>
  <c r="B880" i="1"/>
  <c r="E879" i="1"/>
  <c r="B879" i="1"/>
  <c r="E878" i="1"/>
  <c r="B878" i="1"/>
  <c r="E877" i="1"/>
  <c r="B877" i="1"/>
  <c r="E876" i="1"/>
  <c r="B876" i="1"/>
  <c r="E875" i="1"/>
  <c r="B875" i="1"/>
  <c r="E874" i="1"/>
  <c r="B874" i="1"/>
  <c r="E873" i="1"/>
  <c r="B873" i="1"/>
  <c r="E872" i="1"/>
  <c r="B872" i="1"/>
  <c r="E871" i="1"/>
  <c r="B871" i="1"/>
  <c r="E870" i="1"/>
  <c r="B870" i="1"/>
  <c r="E869" i="1"/>
  <c r="B869" i="1"/>
  <c r="E868" i="1"/>
  <c r="B868" i="1"/>
  <c r="E867" i="1"/>
  <c r="B867" i="1"/>
  <c r="E866" i="1"/>
  <c r="B866" i="1"/>
  <c r="E865" i="1"/>
  <c r="B865" i="1"/>
  <c r="E864" i="1"/>
  <c r="B864" i="1"/>
  <c r="E863" i="1"/>
  <c r="B863" i="1"/>
  <c r="E862" i="1"/>
  <c r="B862" i="1"/>
  <c r="E861" i="1"/>
  <c r="B861" i="1"/>
  <c r="E860" i="1"/>
  <c r="B860" i="1"/>
  <c r="E859" i="1"/>
  <c r="B859" i="1"/>
  <c r="E858" i="1"/>
  <c r="B858" i="1"/>
  <c r="E857" i="1"/>
  <c r="B857" i="1"/>
  <c r="E856" i="1"/>
  <c r="B856" i="1"/>
  <c r="E855" i="1"/>
  <c r="B855" i="1"/>
  <c r="E854" i="1"/>
  <c r="B854" i="1"/>
  <c r="E853" i="1"/>
  <c r="B853" i="1"/>
  <c r="E852" i="1"/>
  <c r="B852" i="1"/>
  <c r="E851" i="1"/>
  <c r="B851" i="1"/>
  <c r="E850" i="1"/>
  <c r="B850" i="1"/>
  <c r="E849" i="1"/>
  <c r="B849" i="1"/>
  <c r="E848" i="1"/>
  <c r="B848" i="1"/>
  <c r="E847" i="1"/>
  <c r="B847" i="1"/>
  <c r="E846" i="1"/>
  <c r="B846" i="1"/>
  <c r="E845" i="1"/>
  <c r="B845" i="1"/>
  <c r="E844" i="1"/>
  <c r="B844" i="1"/>
  <c r="E843" i="1"/>
  <c r="B843" i="1"/>
  <c r="E842" i="1"/>
  <c r="B842" i="1"/>
  <c r="E841" i="1"/>
  <c r="B841" i="1"/>
  <c r="E840" i="1"/>
  <c r="B840" i="1"/>
  <c r="E839" i="1"/>
  <c r="B839" i="1"/>
  <c r="E838" i="1"/>
  <c r="B838" i="1"/>
  <c r="E837" i="1"/>
  <c r="B837" i="1"/>
  <c r="E836" i="1"/>
  <c r="B836" i="1"/>
  <c r="E835" i="1"/>
  <c r="B835" i="1"/>
  <c r="E834" i="1"/>
  <c r="B834" i="1"/>
  <c r="E833" i="1"/>
  <c r="B833" i="1"/>
  <c r="E832" i="1"/>
  <c r="B832" i="1"/>
  <c r="E831" i="1"/>
  <c r="B831" i="1"/>
  <c r="E830" i="1"/>
  <c r="B830" i="1"/>
  <c r="E829" i="1"/>
  <c r="B829" i="1"/>
  <c r="E828" i="1"/>
  <c r="B828" i="1"/>
  <c r="E827" i="1"/>
  <c r="B827" i="1"/>
  <c r="E826" i="1"/>
  <c r="B826" i="1"/>
  <c r="E825" i="1" l="1"/>
  <c r="B825" i="1"/>
  <c r="E824" i="1"/>
  <c r="B824" i="1"/>
  <c r="E823" i="1"/>
  <c r="B823" i="1"/>
  <c r="E822" i="1"/>
  <c r="B822" i="1"/>
  <c r="E821" i="1"/>
  <c r="B821" i="1"/>
  <c r="E820" i="1"/>
  <c r="B820" i="1"/>
  <c r="E819" i="1"/>
  <c r="B819" i="1"/>
  <c r="E818" i="1"/>
  <c r="B818" i="1"/>
  <c r="E817" i="1"/>
  <c r="B817" i="1"/>
  <c r="E816" i="1"/>
  <c r="B816" i="1"/>
  <c r="E815" i="1"/>
  <c r="B815" i="1"/>
  <c r="E814" i="1"/>
  <c r="B814" i="1"/>
  <c r="E813" i="1"/>
  <c r="B813" i="1"/>
  <c r="E812" i="1"/>
  <c r="B812" i="1"/>
  <c r="E811" i="1"/>
  <c r="B811" i="1"/>
  <c r="E810" i="1"/>
  <c r="B810" i="1"/>
  <c r="E809" i="1"/>
  <c r="B809" i="1"/>
  <c r="E808" i="1"/>
  <c r="B808" i="1"/>
  <c r="E807" i="1"/>
  <c r="B807" i="1"/>
  <c r="E806" i="1"/>
  <c r="B806" i="1"/>
  <c r="E805" i="1"/>
  <c r="B805" i="1"/>
  <c r="E804" i="1"/>
  <c r="B804" i="1"/>
  <c r="E803" i="1"/>
  <c r="B803" i="1"/>
  <c r="E802" i="1"/>
  <c r="B802" i="1"/>
  <c r="E801" i="1"/>
  <c r="B801" i="1"/>
  <c r="E800" i="1"/>
  <c r="B800" i="1"/>
  <c r="E799" i="1"/>
  <c r="B799" i="1"/>
  <c r="E798" i="1"/>
  <c r="B798" i="1"/>
  <c r="E797" i="1"/>
  <c r="B797" i="1"/>
  <c r="E796" i="1"/>
  <c r="B796" i="1"/>
  <c r="E795" i="1"/>
  <c r="B795" i="1"/>
  <c r="E794" i="1"/>
  <c r="B794" i="1"/>
  <c r="E793" i="1"/>
  <c r="B793" i="1"/>
  <c r="E792" i="1"/>
  <c r="B792" i="1"/>
  <c r="E791" i="1"/>
  <c r="B791" i="1"/>
  <c r="E790" i="1"/>
  <c r="B790" i="1"/>
  <c r="E789" i="1"/>
  <c r="B789" i="1"/>
  <c r="E788" i="1"/>
  <c r="B788" i="1"/>
  <c r="E787" i="1"/>
  <c r="B787" i="1"/>
  <c r="E786" i="1"/>
  <c r="B786" i="1"/>
  <c r="E785" i="1"/>
  <c r="B785" i="1"/>
  <c r="E784" i="1"/>
  <c r="B784" i="1"/>
  <c r="E783" i="1"/>
  <c r="B783" i="1"/>
  <c r="E782" i="1"/>
  <c r="B782" i="1"/>
  <c r="E781" i="1"/>
  <c r="B781" i="1"/>
  <c r="E780" i="1"/>
  <c r="B780" i="1"/>
  <c r="E779" i="1"/>
  <c r="B779" i="1"/>
  <c r="E778" i="1"/>
  <c r="B778" i="1"/>
  <c r="E777" i="1"/>
  <c r="B777" i="1"/>
  <c r="E776" i="1"/>
  <c r="B776" i="1"/>
  <c r="E775" i="1"/>
  <c r="B775" i="1"/>
  <c r="E774" i="1"/>
  <c r="B774" i="1"/>
  <c r="E773" i="1"/>
  <c r="B773" i="1"/>
  <c r="E772" i="1"/>
  <c r="B772" i="1"/>
  <c r="E771" i="1"/>
  <c r="B771" i="1"/>
  <c r="E770" i="1"/>
  <c r="B770" i="1"/>
  <c r="E769" i="1"/>
  <c r="B769" i="1"/>
  <c r="E768" i="1"/>
  <c r="B768" i="1"/>
  <c r="E767" i="1"/>
  <c r="B767" i="1"/>
  <c r="E766" i="1"/>
  <c r="B766" i="1"/>
  <c r="E765" i="1"/>
  <c r="B765" i="1"/>
  <c r="E764" i="1"/>
  <c r="B764" i="1"/>
  <c r="E763" i="1"/>
  <c r="B763" i="1"/>
  <c r="E762" i="1"/>
  <c r="B762" i="1"/>
  <c r="E761" i="1"/>
  <c r="B761" i="1"/>
  <c r="E760" i="1"/>
  <c r="B760" i="1"/>
  <c r="E759" i="1"/>
  <c r="B759" i="1"/>
  <c r="E758" i="1"/>
  <c r="B758" i="1"/>
  <c r="E757" i="1"/>
  <c r="B757" i="1"/>
  <c r="E756" i="1"/>
  <c r="B756" i="1"/>
  <c r="E755" i="1"/>
  <c r="B755" i="1"/>
  <c r="E754" i="1"/>
  <c r="B754" i="1"/>
  <c r="E753" i="1"/>
  <c r="B753" i="1"/>
  <c r="E752" i="1"/>
  <c r="B752" i="1"/>
  <c r="E751" i="1"/>
  <c r="B751" i="1"/>
  <c r="E750" i="1"/>
  <c r="B750" i="1"/>
  <c r="E749" i="1"/>
  <c r="B749" i="1"/>
  <c r="E748" i="1"/>
  <c r="B748" i="1"/>
  <c r="E747" i="1"/>
  <c r="B747" i="1"/>
  <c r="E746" i="1"/>
  <c r="B746" i="1"/>
  <c r="E745" i="1"/>
  <c r="B745" i="1"/>
  <c r="E744" i="1"/>
  <c r="B744" i="1"/>
  <c r="E743" i="1"/>
  <c r="B743" i="1"/>
  <c r="E742" i="1"/>
  <c r="B742" i="1"/>
  <c r="E741" i="1"/>
  <c r="B741" i="1"/>
  <c r="E740" i="1"/>
  <c r="B740" i="1"/>
  <c r="E739" i="1"/>
  <c r="B739" i="1"/>
  <c r="E738" i="1"/>
  <c r="B738" i="1"/>
  <c r="E737" i="1"/>
  <c r="B737" i="1"/>
  <c r="E736" i="1"/>
  <c r="B736" i="1"/>
  <c r="E735" i="1"/>
  <c r="B735" i="1"/>
  <c r="E734" i="1"/>
  <c r="B734" i="1"/>
  <c r="E733" i="1"/>
  <c r="B733" i="1"/>
  <c r="E732" i="1"/>
  <c r="B732" i="1"/>
  <c r="E731" i="1"/>
  <c r="B731" i="1"/>
  <c r="E730" i="1"/>
  <c r="B730" i="1"/>
  <c r="E729" i="1"/>
  <c r="B729" i="1"/>
  <c r="E728" i="1"/>
  <c r="B728" i="1"/>
  <c r="E727" i="1"/>
  <c r="B727" i="1"/>
  <c r="E726" i="1"/>
  <c r="B726" i="1"/>
  <c r="E725" i="1"/>
  <c r="B725" i="1"/>
  <c r="E724" i="1"/>
  <c r="B724" i="1"/>
  <c r="E723" i="1"/>
  <c r="B723" i="1"/>
  <c r="E722" i="1"/>
  <c r="B722" i="1"/>
  <c r="E721" i="1"/>
  <c r="B721" i="1"/>
  <c r="E720" i="1"/>
  <c r="B720" i="1"/>
  <c r="E719" i="1"/>
  <c r="B719" i="1"/>
  <c r="E718" i="1"/>
  <c r="B718" i="1"/>
  <c r="E717" i="1"/>
  <c r="B717" i="1"/>
  <c r="E716" i="1"/>
  <c r="B716" i="1"/>
  <c r="E715" i="1"/>
  <c r="B715" i="1"/>
  <c r="E714" i="1"/>
  <c r="B714" i="1"/>
  <c r="E713" i="1"/>
  <c r="B713" i="1"/>
  <c r="E712" i="1"/>
  <c r="B712" i="1"/>
  <c r="E711" i="1"/>
  <c r="B711" i="1"/>
  <c r="E710" i="1"/>
  <c r="B710" i="1"/>
  <c r="E709" i="1"/>
  <c r="B709" i="1"/>
  <c r="E708" i="1"/>
  <c r="B708" i="1"/>
  <c r="E707" i="1"/>
  <c r="B707" i="1"/>
  <c r="E706" i="1"/>
  <c r="B706" i="1"/>
  <c r="E705" i="1"/>
  <c r="B705" i="1"/>
  <c r="E704" i="1"/>
  <c r="B704" i="1"/>
  <c r="E703" i="1"/>
  <c r="B703" i="1"/>
  <c r="E702" i="1"/>
  <c r="B702" i="1"/>
  <c r="E701" i="1"/>
  <c r="B701" i="1"/>
  <c r="E700" i="1"/>
  <c r="B700" i="1"/>
  <c r="E699" i="1"/>
  <c r="B699" i="1"/>
  <c r="E698" i="1"/>
  <c r="B698" i="1"/>
  <c r="E697" i="1"/>
  <c r="B697" i="1"/>
  <c r="E696" i="1"/>
  <c r="B696" i="1"/>
  <c r="E695" i="1"/>
  <c r="B695" i="1"/>
  <c r="E694" i="1"/>
  <c r="B694" i="1"/>
  <c r="E693" i="1"/>
  <c r="B693" i="1"/>
  <c r="E692" i="1"/>
  <c r="B692" i="1"/>
  <c r="E691" i="1"/>
  <c r="B691" i="1"/>
  <c r="E690" i="1"/>
  <c r="B690" i="1"/>
  <c r="E689" i="1"/>
  <c r="B689" i="1"/>
  <c r="E688" i="1"/>
  <c r="B688" i="1"/>
  <c r="E687" i="1"/>
  <c r="B687" i="1"/>
  <c r="E686" i="1"/>
  <c r="B686" i="1"/>
  <c r="E685" i="1"/>
  <c r="B685" i="1"/>
  <c r="E684" i="1"/>
  <c r="B684" i="1"/>
  <c r="E683" i="1"/>
  <c r="B683" i="1"/>
  <c r="E682" i="1"/>
  <c r="B682" i="1"/>
  <c r="E681" i="1"/>
  <c r="B681" i="1"/>
  <c r="E680" i="1"/>
  <c r="B680" i="1"/>
  <c r="E679" i="1"/>
  <c r="B679" i="1"/>
  <c r="E678" i="1"/>
  <c r="B678" i="1"/>
  <c r="E677" i="1"/>
  <c r="B677" i="1"/>
  <c r="E676" i="1"/>
  <c r="B676" i="1"/>
  <c r="E675" i="1"/>
  <c r="B675" i="1"/>
  <c r="E674" i="1"/>
  <c r="B674" i="1"/>
  <c r="E673" i="1"/>
  <c r="B673" i="1"/>
  <c r="E672" i="1"/>
  <c r="B672" i="1"/>
  <c r="B535" i="1" l="1"/>
  <c r="E535" i="1"/>
  <c r="B536" i="1"/>
  <c r="E536" i="1"/>
  <c r="B537" i="1"/>
  <c r="E537" i="1"/>
  <c r="B538" i="1"/>
  <c r="E538" i="1"/>
  <c r="B539" i="1"/>
  <c r="E539" i="1"/>
  <c r="B540" i="1"/>
  <c r="E540" i="1"/>
  <c r="B541" i="1"/>
  <c r="E541" i="1"/>
  <c r="B542" i="1"/>
  <c r="E542" i="1"/>
  <c r="B543" i="1"/>
  <c r="E543" i="1"/>
  <c r="B544" i="1"/>
  <c r="E544" i="1"/>
  <c r="B545" i="1"/>
  <c r="E545" i="1"/>
  <c r="B546" i="1"/>
  <c r="E546" i="1"/>
  <c r="B547" i="1"/>
  <c r="E547" i="1"/>
  <c r="B548" i="1"/>
  <c r="E548" i="1"/>
  <c r="B549" i="1"/>
  <c r="E549" i="1"/>
  <c r="B550" i="1"/>
  <c r="E550" i="1"/>
  <c r="B551" i="1"/>
  <c r="E551" i="1"/>
  <c r="B552" i="1"/>
  <c r="E552" i="1"/>
  <c r="B553" i="1"/>
  <c r="E553" i="1"/>
  <c r="B554" i="1"/>
  <c r="E554" i="1"/>
  <c r="B555" i="1"/>
  <c r="E555" i="1"/>
  <c r="B556" i="1"/>
  <c r="E556" i="1"/>
  <c r="B557" i="1"/>
  <c r="E557" i="1"/>
  <c r="B558" i="1"/>
  <c r="E558" i="1"/>
  <c r="B559" i="1"/>
  <c r="E559" i="1"/>
  <c r="B560" i="1"/>
  <c r="E560" i="1"/>
  <c r="B561" i="1"/>
  <c r="E561" i="1"/>
  <c r="B562" i="1"/>
  <c r="E562" i="1"/>
  <c r="B563" i="1"/>
  <c r="E563" i="1"/>
  <c r="B564" i="1"/>
  <c r="E564" i="1"/>
  <c r="B565" i="1"/>
  <c r="E565" i="1"/>
  <c r="B566" i="1"/>
  <c r="E566" i="1"/>
  <c r="B567" i="1"/>
  <c r="E567" i="1"/>
  <c r="B568" i="1"/>
  <c r="E568" i="1"/>
  <c r="B569" i="1"/>
  <c r="E569" i="1"/>
  <c r="B570" i="1"/>
  <c r="E570" i="1"/>
  <c r="B571" i="1"/>
  <c r="E571" i="1"/>
  <c r="B572" i="1"/>
  <c r="E572" i="1"/>
  <c r="B573" i="1"/>
  <c r="E573" i="1"/>
  <c r="B574" i="1"/>
  <c r="E574" i="1"/>
  <c r="B575" i="1"/>
  <c r="E575" i="1"/>
  <c r="B576" i="1"/>
  <c r="E576" i="1"/>
  <c r="B577" i="1"/>
  <c r="E577" i="1"/>
  <c r="B578" i="1"/>
  <c r="E578" i="1"/>
  <c r="B579" i="1"/>
  <c r="E579" i="1"/>
  <c r="B580" i="1"/>
  <c r="E580" i="1"/>
  <c r="B581" i="1"/>
  <c r="E581" i="1"/>
  <c r="B582" i="1"/>
  <c r="E582" i="1"/>
  <c r="B583" i="1"/>
  <c r="E583" i="1"/>
  <c r="B584" i="1"/>
  <c r="E584" i="1"/>
  <c r="B585" i="1"/>
  <c r="E585" i="1"/>
  <c r="B586" i="1"/>
  <c r="E586" i="1"/>
  <c r="B587" i="1"/>
  <c r="E587" i="1"/>
  <c r="B588" i="1"/>
  <c r="E588" i="1"/>
  <c r="B589" i="1"/>
  <c r="E589" i="1"/>
  <c r="B590" i="1"/>
  <c r="E590" i="1"/>
  <c r="B591" i="1"/>
  <c r="E591" i="1"/>
  <c r="B592" i="1"/>
  <c r="E592" i="1"/>
  <c r="B593" i="1"/>
  <c r="E593" i="1"/>
  <c r="B594" i="1"/>
  <c r="E594" i="1"/>
  <c r="B595" i="1"/>
  <c r="E595" i="1"/>
  <c r="B596" i="1"/>
  <c r="E596" i="1"/>
  <c r="B597" i="1"/>
  <c r="E597" i="1"/>
  <c r="B598" i="1"/>
  <c r="E598" i="1"/>
  <c r="B599" i="1"/>
  <c r="E599" i="1"/>
  <c r="B600" i="1"/>
  <c r="E600" i="1"/>
  <c r="B601" i="1"/>
  <c r="E601" i="1"/>
  <c r="B602" i="1"/>
  <c r="E602" i="1"/>
  <c r="B603" i="1"/>
  <c r="E603" i="1"/>
  <c r="B604" i="1"/>
  <c r="E604" i="1"/>
  <c r="B605" i="1"/>
  <c r="E605" i="1"/>
  <c r="B606" i="1"/>
  <c r="E606" i="1"/>
  <c r="B607" i="1"/>
  <c r="E607" i="1"/>
  <c r="B608" i="1"/>
  <c r="E608" i="1"/>
  <c r="B609" i="1"/>
  <c r="E609" i="1"/>
  <c r="B610" i="1"/>
  <c r="E610" i="1"/>
  <c r="B611" i="1"/>
  <c r="E611" i="1"/>
  <c r="B612" i="1"/>
  <c r="E612" i="1"/>
  <c r="B613" i="1"/>
  <c r="E613" i="1"/>
  <c r="B614" i="1"/>
  <c r="E614" i="1"/>
  <c r="B615" i="1"/>
  <c r="E615" i="1"/>
  <c r="B616" i="1"/>
  <c r="E616" i="1"/>
  <c r="B617" i="1"/>
  <c r="E617" i="1"/>
  <c r="B618" i="1"/>
  <c r="E618" i="1"/>
  <c r="B619" i="1"/>
  <c r="E619" i="1"/>
  <c r="B620" i="1"/>
  <c r="E620" i="1"/>
  <c r="B621" i="1"/>
  <c r="E621" i="1"/>
  <c r="B622" i="1"/>
  <c r="E622" i="1"/>
  <c r="B623" i="1"/>
  <c r="E623" i="1"/>
  <c r="B624" i="1"/>
  <c r="E624" i="1"/>
  <c r="B625" i="1"/>
  <c r="E625" i="1"/>
  <c r="B626" i="1"/>
  <c r="E626" i="1"/>
  <c r="B627" i="1"/>
  <c r="E627" i="1"/>
  <c r="B628" i="1"/>
  <c r="E628" i="1"/>
  <c r="B629" i="1"/>
  <c r="E629" i="1"/>
  <c r="B630" i="1"/>
  <c r="E630" i="1"/>
  <c r="B631" i="1"/>
  <c r="E631" i="1"/>
  <c r="B632" i="1"/>
  <c r="E632" i="1"/>
  <c r="B633" i="1"/>
  <c r="E633" i="1"/>
  <c r="B634" i="1"/>
  <c r="E634" i="1"/>
  <c r="B635" i="1"/>
  <c r="E635" i="1"/>
  <c r="B636" i="1"/>
  <c r="E636" i="1"/>
  <c r="B637" i="1"/>
  <c r="E637" i="1"/>
  <c r="B638" i="1"/>
  <c r="E638" i="1"/>
  <c r="B639" i="1"/>
  <c r="E639" i="1"/>
  <c r="B640" i="1"/>
  <c r="E640" i="1"/>
  <c r="B641" i="1"/>
  <c r="E641" i="1"/>
  <c r="B642" i="1"/>
  <c r="E642" i="1"/>
  <c r="B643" i="1"/>
  <c r="E643" i="1"/>
  <c r="B644" i="1"/>
  <c r="E644" i="1"/>
  <c r="B645" i="1"/>
  <c r="E645" i="1"/>
  <c r="B646" i="1"/>
  <c r="E646" i="1"/>
  <c r="B647" i="1"/>
  <c r="E647" i="1"/>
  <c r="B648" i="1"/>
  <c r="E648" i="1"/>
  <c r="B649" i="1"/>
  <c r="E649" i="1"/>
  <c r="B650" i="1"/>
  <c r="E650" i="1"/>
  <c r="B651" i="1"/>
  <c r="E651" i="1"/>
  <c r="B652" i="1"/>
  <c r="E652" i="1"/>
  <c r="B653" i="1"/>
  <c r="E653" i="1"/>
  <c r="B654" i="1"/>
  <c r="E654" i="1"/>
  <c r="B655" i="1"/>
  <c r="E655" i="1"/>
  <c r="B656" i="1"/>
  <c r="E656" i="1"/>
  <c r="B657" i="1"/>
  <c r="E657" i="1"/>
  <c r="B658" i="1"/>
  <c r="E658" i="1"/>
  <c r="B659" i="1"/>
  <c r="E659" i="1"/>
  <c r="B660" i="1"/>
  <c r="E660" i="1"/>
  <c r="B661" i="1"/>
  <c r="E661" i="1"/>
  <c r="B662" i="1"/>
  <c r="E662" i="1"/>
  <c r="B663" i="1"/>
  <c r="E663" i="1"/>
  <c r="B664" i="1"/>
  <c r="E664" i="1"/>
  <c r="B665" i="1"/>
  <c r="E665" i="1"/>
  <c r="B666" i="1"/>
  <c r="E666" i="1"/>
  <c r="B667" i="1"/>
  <c r="E667" i="1"/>
  <c r="B668" i="1"/>
  <c r="E668" i="1"/>
  <c r="B669" i="1"/>
  <c r="E669" i="1"/>
  <c r="B670" i="1"/>
  <c r="E670" i="1"/>
  <c r="B671" i="1"/>
  <c r="E671" i="1"/>
  <c r="E534" i="1" l="1"/>
  <c r="B534" i="1"/>
  <c r="E533" i="1"/>
  <c r="B533" i="1"/>
  <c r="E532" i="1"/>
  <c r="B532" i="1"/>
  <c r="E531" i="1"/>
  <c r="B531" i="1"/>
  <c r="E530" i="1"/>
  <c r="B530" i="1"/>
  <c r="E529" i="1"/>
  <c r="B529" i="1"/>
  <c r="E528" i="1"/>
  <c r="B528" i="1"/>
  <c r="E527" i="1"/>
  <c r="B527" i="1"/>
  <c r="E526" i="1"/>
  <c r="B526" i="1"/>
  <c r="E525" i="1"/>
  <c r="B525" i="1"/>
  <c r="E524" i="1"/>
  <c r="B524" i="1"/>
  <c r="E523" i="1"/>
  <c r="B523" i="1"/>
  <c r="E522" i="1"/>
  <c r="B522" i="1"/>
  <c r="E521" i="1"/>
  <c r="B521" i="1"/>
  <c r="E520" i="1"/>
  <c r="B520" i="1"/>
  <c r="E519" i="1"/>
  <c r="B519" i="1"/>
  <c r="E518" i="1"/>
  <c r="B518" i="1"/>
  <c r="E517" i="1"/>
  <c r="B517" i="1"/>
  <c r="E516" i="1"/>
  <c r="B516" i="1"/>
  <c r="E515" i="1"/>
  <c r="B515" i="1"/>
  <c r="E514" i="1"/>
  <c r="B514" i="1"/>
  <c r="E513" i="1"/>
  <c r="B513" i="1"/>
  <c r="E512" i="1"/>
  <c r="B512" i="1"/>
  <c r="E511" i="1"/>
  <c r="B511" i="1"/>
  <c r="E510" i="1"/>
  <c r="B510" i="1"/>
  <c r="E509" i="1"/>
  <c r="B509" i="1"/>
  <c r="E508" i="1"/>
  <c r="B508" i="1"/>
  <c r="E507" i="1"/>
  <c r="B507" i="1"/>
  <c r="E506" i="1"/>
  <c r="B506" i="1"/>
  <c r="E505" i="1"/>
  <c r="B505" i="1"/>
  <c r="E504" i="1"/>
  <c r="B504" i="1"/>
  <c r="E503" i="1"/>
  <c r="B503" i="1"/>
  <c r="E502" i="1"/>
  <c r="B502" i="1"/>
  <c r="E501" i="1"/>
  <c r="B501" i="1"/>
  <c r="E500" i="1"/>
  <c r="B500" i="1"/>
  <c r="E499" i="1"/>
  <c r="B499" i="1"/>
  <c r="E498" i="1"/>
  <c r="B498" i="1"/>
  <c r="E497" i="1"/>
  <c r="B497" i="1"/>
  <c r="E496" i="1"/>
  <c r="B496" i="1"/>
  <c r="E495" i="1"/>
  <c r="B495" i="1"/>
  <c r="E494" i="1"/>
  <c r="B494" i="1"/>
  <c r="E493" i="1"/>
  <c r="B493" i="1"/>
  <c r="E492" i="1"/>
  <c r="B492" i="1"/>
  <c r="E491" i="1"/>
  <c r="B491" i="1"/>
  <c r="E490" i="1"/>
  <c r="B490" i="1"/>
  <c r="E489" i="1"/>
  <c r="B489" i="1"/>
  <c r="E488" i="1"/>
  <c r="B488" i="1"/>
  <c r="E487" i="1"/>
  <c r="B487" i="1"/>
  <c r="E486" i="1"/>
  <c r="B486" i="1"/>
  <c r="E485" i="1"/>
  <c r="B485" i="1"/>
  <c r="E484" i="1"/>
  <c r="B484" i="1"/>
  <c r="E483" i="1"/>
  <c r="B483" i="1"/>
  <c r="E482" i="1"/>
  <c r="B482" i="1"/>
  <c r="E481" i="1"/>
  <c r="B481" i="1"/>
  <c r="E480" i="1"/>
  <c r="B480" i="1"/>
  <c r="E479" i="1"/>
  <c r="B479" i="1"/>
  <c r="E478" i="1"/>
  <c r="B478" i="1"/>
  <c r="E477" i="1"/>
  <c r="B477" i="1"/>
  <c r="E476" i="1"/>
  <c r="B476" i="1"/>
  <c r="E475" i="1"/>
  <c r="B475" i="1"/>
  <c r="E474" i="1"/>
  <c r="B474" i="1"/>
  <c r="E473" i="1"/>
  <c r="B473" i="1"/>
  <c r="E472" i="1"/>
  <c r="B472" i="1"/>
  <c r="E471" i="1"/>
  <c r="B471" i="1"/>
  <c r="E470" i="1"/>
  <c r="B470" i="1"/>
  <c r="E469" i="1"/>
  <c r="B469" i="1"/>
  <c r="E468" i="1"/>
  <c r="B468" i="1"/>
  <c r="E467" i="1"/>
  <c r="B467" i="1"/>
  <c r="E466" i="1"/>
  <c r="B466" i="1"/>
  <c r="E465" i="1"/>
  <c r="B465" i="1"/>
  <c r="E464" i="1"/>
  <c r="B464" i="1"/>
  <c r="E463" i="1"/>
  <c r="B463" i="1"/>
  <c r="E462" i="1"/>
  <c r="B462" i="1"/>
  <c r="E461" i="1"/>
  <c r="B461" i="1"/>
  <c r="E460" i="1"/>
  <c r="B460" i="1"/>
  <c r="E459" i="1"/>
  <c r="B459" i="1"/>
  <c r="E458" i="1"/>
  <c r="B458" i="1"/>
  <c r="E457" i="1"/>
  <c r="B457" i="1"/>
  <c r="E456" i="1"/>
  <c r="B456" i="1"/>
  <c r="E455" i="1"/>
  <c r="B455" i="1"/>
  <c r="E454" i="1"/>
  <c r="B454" i="1"/>
  <c r="E453" i="1"/>
  <c r="B453" i="1"/>
  <c r="E452" i="1"/>
  <c r="B452" i="1"/>
  <c r="E451" i="1"/>
  <c r="B451" i="1"/>
  <c r="E450" i="1"/>
  <c r="B450" i="1"/>
  <c r="E449" i="1"/>
  <c r="B449" i="1"/>
  <c r="E448" i="1"/>
  <c r="B448" i="1"/>
  <c r="E447" i="1"/>
  <c r="B447" i="1"/>
  <c r="E446" i="1"/>
  <c r="B446" i="1"/>
  <c r="E445" i="1"/>
  <c r="B445" i="1"/>
  <c r="E444" i="1"/>
  <c r="B444" i="1"/>
  <c r="E443" i="1"/>
  <c r="B443" i="1"/>
  <c r="E442" i="1"/>
  <c r="B442" i="1"/>
  <c r="E441" i="1"/>
  <c r="B441" i="1"/>
  <c r="E440" i="1"/>
  <c r="B440" i="1"/>
  <c r="E439" i="1"/>
  <c r="B439" i="1"/>
  <c r="E438" i="1"/>
  <c r="B438" i="1"/>
  <c r="E437" i="1"/>
  <c r="B437" i="1"/>
  <c r="E436" i="1"/>
  <c r="B436" i="1"/>
  <c r="E435" i="1"/>
  <c r="B435" i="1"/>
  <c r="E434" i="1"/>
  <c r="B434" i="1"/>
  <c r="E433" i="1"/>
  <c r="B433" i="1"/>
  <c r="E432" i="1"/>
  <c r="B432" i="1"/>
  <c r="E431" i="1"/>
  <c r="B431" i="1"/>
  <c r="E430" i="1"/>
  <c r="B430" i="1"/>
  <c r="E429" i="1"/>
  <c r="B429" i="1"/>
  <c r="E428" i="1"/>
  <c r="B428" i="1"/>
  <c r="E427" i="1"/>
  <c r="B427" i="1"/>
  <c r="E426" i="1"/>
  <c r="B426" i="1"/>
  <c r="E425" i="1"/>
  <c r="B425" i="1"/>
  <c r="E424" i="1"/>
  <c r="B424" i="1"/>
  <c r="E423" i="1"/>
  <c r="B423" i="1"/>
  <c r="E422" i="1"/>
  <c r="B422" i="1"/>
  <c r="E421" i="1"/>
  <c r="B421" i="1"/>
  <c r="E420" i="1"/>
  <c r="B420" i="1"/>
  <c r="E419" i="1"/>
  <c r="B419" i="1"/>
  <c r="E418" i="1"/>
  <c r="B418" i="1"/>
  <c r="E417" i="1"/>
  <c r="B417" i="1"/>
  <c r="E416" i="1"/>
  <c r="B416" i="1"/>
  <c r="E415" i="1"/>
  <c r="B415" i="1"/>
  <c r="E414" i="1"/>
  <c r="B414" i="1"/>
  <c r="E413" i="1"/>
  <c r="B413" i="1"/>
  <c r="E412" i="1"/>
  <c r="B412" i="1"/>
  <c r="E411" i="1"/>
  <c r="B411" i="1"/>
  <c r="E410" i="1"/>
  <c r="B410" i="1"/>
  <c r="E409" i="1"/>
  <c r="B409" i="1"/>
  <c r="E408" i="1"/>
  <c r="B408" i="1"/>
  <c r="E407" i="1"/>
  <c r="B407" i="1"/>
  <c r="E406" i="1"/>
  <c r="B406" i="1"/>
  <c r="E405" i="1"/>
  <c r="B405" i="1"/>
  <c r="E404" i="1"/>
  <c r="B404" i="1"/>
  <c r="E403" i="1"/>
  <c r="B403" i="1"/>
  <c r="E402" i="1"/>
  <c r="B402" i="1"/>
  <c r="E401" i="1"/>
  <c r="B401" i="1"/>
  <c r="E400" i="1"/>
  <c r="B400" i="1"/>
  <c r="E399" i="1"/>
  <c r="B399" i="1"/>
  <c r="E398" i="1"/>
  <c r="B398" i="1"/>
  <c r="E397" i="1"/>
  <c r="B397" i="1"/>
  <c r="E396" i="1"/>
  <c r="B396" i="1"/>
  <c r="E395" i="1"/>
  <c r="B395" i="1"/>
  <c r="E394" i="1"/>
  <c r="B394" i="1"/>
  <c r="E393" i="1"/>
  <c r="B393" i="1"/>
  <c r="E392" i="1"/>
  <c r="B392" i="1"/>
  <c r="E391" i="1"/>
  <c r="B391" i="1"/>
  <c r="E390" i="1"/>
  <c r="B390" i="1"/>
  <c r="E389" i="1"/>
  <c r="B389" i="1"/>
  <c r="E388" i="1"/>
  <c r="B388" i="1"/>
  <c r="E387" i="1"/>
  <c r="B387" i="1"/>
  <c r="E386" i="1"/>
  <c r="B386" i="1"/>
  <c r="E385" i="1"/>
  <c r="B385" i="1"/>
  <c r="E384" i="1"/>
  <c r="B384" i="1"/>
  <c r="E383" i="1"/>
  <c r="B383" i="1"/>
  <c r="E382" i="1"/>
  <c r="B382" i="1"/>
  <c r="E381" i="1"/>
  <c r="B381" i="1"/>
  <c r="E380" i="1"/>
  <c r="B380" i="1"/>
  <c r="E379" i="1"/>
  <c r="B379" i="1"/>
  <c r="E378" i="1"/>
  <c r="B378" i="1"/>
  <c r="E377" i="1"/>
  <c r="B377" i="1"/>
  <c r="E376" i="1"/>
  <c r="B376" i="1"/>
  <c r="E375" i="1"/>
  <c r="B375" i="1"/>
  <c r="E374" i="1"/>
  <c r="B374" i="1"/>
  <c r="E373" i="1"/>
  <c r="B373" i="1"/>
  <c r="E372" i="1"/>
  <c r="B372" i="1"/>
  <c r="E371" i="1"/>
  <c r="B371" i="1"/>
  <c r="E370" i="1"/>
  <c r="B370" i="1"/>
  <c r="E369" i="1"/>
  <c r="B369" i="1"/>
  <c r="E368" i="1"/>
  <c r="B368" i="1"/>
  <c r="E367" i="1"/>
  <c r="B367" i="1"/>
  <c r="E366" i="1"/>
  <c r="B366" i="1"/>
  <c r="E365" i="1"/>
  <c r="B365" i="1"/>
  <c r="E364" i="1"/>
  <c r="B364" i="1"/>
  <c r="E363" i="1"/>
  <c r="B363" i="1"/>
  <c r="E362" i="1"/>
  <c r="B362" i="1"/>
  <c r="E361" i="1"/>
  <c r="B361" i="1"/>
  <c r="E360" i="1"/>
  <c r="B360" i="1"/>
  <c r="E359" i="1"/>
  <c r="B359" i="1"/>
  <c r="E358" i="1"/>
  <c r="B358" i="1"/>
  <c r="E357" i="1"/>
  <c r="B357" i="1"/>
  <c r="E356" i="1"/>
  <c r="B356" i="1"/>
  <c r="E355" i="1"/>
  <c r="B355" i="1"/>
  <c r="E354" i="1"/>
  <c r="B354" i="1"/>
  <c r="E353" i="1"/>
  <c r="B353" i="1"/>
  <c r="E352" i="1"/>
  <c r="B352" i="1"/>
  <c r="B159" i="1" l="1"/>
  <c r="E351" i="1"/>
  <c r="B351" i="1"/>
  <c r="E350" i="1"/>
  <c r="B350" i="1"/>
  <c r="E349" i="1"/>
  <c r="B349" i="1"/>
  <c r="E348" i="1"/>
  <c r="B348" i="1"/>
  <c r="E347" i="1"/>
  <c r="B347" i="1"/>
  <c r="E346" i="1"/>
  <c r="B346" i="1"/>
  <c r="E345" i="1"/>
  <c r="B345" i="1"/>
  <c r="E344" i="1"/>
  <c r="B344" i="1"/>
  <c r="E343" i="1"/>
  <c r="B343" i="1"/>
  <c r="E342" i="1"/>
  <c r="B342" i="1"/>
  <c r="E341" i="1"/>
  <c r="B341" i="1"/>
  <c r="E340" i="1"/>
  <c r="B340" i="1"/>
  <c r="E339" i="1"/>
  <c r="B339" i="1"/>
  <c r="E338" i="1"/>
  <c r="B338" i="1"/>
  <c r="E337" i="1"/>
  <c r="B337" i="1"/>
  <c r="E336" i="1"/>
  <c r="B336" i="1"/>
  <c r="E335" i="1"/>
  <c r="B335" i="1"/>
  <c r="E334" i="1"/>
  <c r="B334" i="1"/>
  <c r="E333" i="1"/>
  <c r="B333" i="1"/>
  <c r="E332" i="1"/>
  <c r="B332" i="1"/>
  <c r="E331" i="1"/>
  <c r="B331" i="1"/>
  <c r="E330" i="1"/>
  <c r="B330" i="1"/>
  <c r="E329" i="1"/>
  <c r="B329" i="1"/>
  <c r="E328" i="1"/>
  <c r="B328" i="1"/>
  <c r="E327" i="1"/>
  <c r="B327" i="1"/>
  <c r="E326" i="1"/>
  <c r="B326" i="1"/>
  <c r="E325" i="1"/>
  <c r="B325" i="1"/>
  <c r="E324" i="1"/>
  <c r="B324" i="1"/>
  <c r="E323" i="1"/>
  <c r="B323" i="1"/>
  <c r="E322" i="1"/>
  <c r="B322" i="1"/>
  <c r="E321" i="1"/>
  <c r="B321" i="1"/>
  <c r="E320" i="1"/>
  <c r="B320" i="1"/>
  <c r="E319" i="1"/>
  <c r="B319" i="1"/>
  <c r="E318" i="1"/>
  <c r="B318" i="1"/>
  <c r="E317" i="1"/>
  <c r="B317" i="1"/>
  <c r="E316" i="1"/>
  <c r="B316" i="1"/>
  <c r="E315" i="1"/>
  <c r="B315" i="1"/>
  <c r="E314" i="1"/>
  <c r="B314" i="1"/>
  <c r="E313" i="1"/>
  <c r="B313" i="1"/>
  <c r="E312" i="1"/>
  <c r="B312" i="1"/>
  <c r="E311" i="1"/>
  <c r="B311" i="1"/>
  <c r="E310" i="1"/>
  <c r="B310" i="1"/>
  <c r="E309" i="1"/>
  <c r="B309" i="1"/>
  <c r="E308" i="1"/>
  <c r="B308" i="1"/>
  <c r="E307" i="1"/>
  <c r="B307" i="1"/>
  <c r="E306" i="1"/>
  <c r="B306" i="1"/>
  <c r="E305" i="1"/>
  <c r="B305" i="1"/>
  <c r="E304" i="1"/>
  <c r="B304" i="1"/>
  <c r="E303" i="1"/>
  <c r="B303" i="1"/>
  <c r="E302" i="1"/>
  <c r="B302" i="1"/>
  <c r="E301" i="1"/>
  <c r="B301" i="1"/>
  <c r="E300" i="1"/>
  <c r="B300" i="1"/>
  <c r="E299" i="1"/>
  <c r="B299" i="1"/>
  <c r="E298" i="1"/>
  <c r="B298" i="1"/>
  <c r="E297" i="1"/>
  <c r="B297" i="1"/>
  <c r="E296" i="1"/>
  <c r="B296" i="1"/>
  <c r="E295" i="1"/>
  <c r="B295" i="1"/>
  <c r="E294" i="1"/>
  <c r="B294" i="1"/>
  <c r="E293" i="1"/>
  <c r="B293" i="1"/>
  <c r="E292" i="1"/>
  <c r="B292" i="1"/>
  <c r="E291" i="1"/>
  <c r="B291" i="1"/>
  <c r="E290" i="1"/>
  <c r="B290" i="1"/>
  <c r="E289" i="1"/>
  <c r="B289" i="1"/>
  <c r="E288" i="1"/>
  <c r="B288" i="1"/>
  <c r="E287" i="1"/>
  <c r="B287" i="1"/>
  <c r="E286" i="1"/>
  <c r="B286" i="1"/>
  <c r="E285" i="1"/>
  <c r="B285" i="1"/>
  <c r="E284" i="1"/>
  <c r="B284" i="1"/>
  <c r="E283" i="1"/>
  <c r="B283" i="1"/>
  <c r="E282" i="1"/>
  <c r="B282" i="1"/>
  <c r="E281" i="1"/>
  <c r="B281" i="1"/>
  <c r="E280" i="1"/>
  <c r="B280" i="1"/>
  <c r="E279" i="1"/>
  <c r="B279" i="1"/>
  <c r="E278" i="1"/>
  <c r="B278" i="1"/>
  <c r="E277" i="1"/>
  <c r="B277" i="1"/>
  <c r="E276" i="1"/>
  <c r="B276" i="1"/>
  <c r="E275" i="1"/>
  <c r="B275" i="1"/>
  <c r="E274" i="1"/>
  <c r="B274" i="1"/>
  <c r="E273" i="1"/>
  <c r="B273" i="1"/>
  <c r="E272" i="1"/>
  <c r="B272" i="1"/>
  <c r="E271" i="1"/>
  <c r="B271" i="1"/>
  <c r="E270" i="1"/>
  <c r="B270" i="1"/>
  <c r="E269" i="1"/>
  <c r="B269" i="1"/>
  <c r="E268" i="1"/>
  <c r="B268" i="1"/>
  <c r="E267" i="1"/>
  <c r="B267" i="1"/>
  <c r="E266" i="1"/>
  <c r="B266" i="1"/>
  <c r="E265" i="1"/>
  <c r="B265" i="1"/>
  <c r="E264" i="1"/>
  <c r="B264" i="1"/>
  <c r="E263" i="1"/>
  <c r="B263" i="1"/>
  <c r="E262" i="1"/>
  <c r="B262" i="1"/>
  <c r="E261" i="1"/>
  <c r="B261" i="1"/>
  <c r="E260" i="1"/>
  <c r="B260" i="1"/>
  <c r="E259" i="1"/>
  <c r="B259" i="1"/>
  <c r="E258" i="1"/>
  <c r="B258" i="1"/>
  <c r="E257" i="1"/>
  <c r="B257" i="1"/>
  <c r="E256" i="1"/>
  <c r="B256" i="1"/>
  <c r="E255" i="1"/>
  <c r="B255" i="1"/>
  <c r="E254" i="1"/>
  <c r="B254" i="1"/>
  <c r="E253" i="1"/>
  <c r="B253" i="1"/>
  <c r="E252" i="1"/>
  <c r="B252" i="1"/>
  <c r="E251" i="1"/>
  <c r="B251" i="1"/>
  <c r="E250" i="1"/>
  <c r="B250" i="1"/>
  <c r="E249" i="1"/>
  <c r="B249" i="1"/>
  <c r="E248" i="1"/>
  <c r="B248" i="1"/>
  <c r="E247" i="1"/>
  <c r="B247" i="1"/>
  <c r="E246" i="1"/>
  <c r="B246" i="1"/>
  <c r="E245" i="1"/>
  <c r="B245" i="1"/>
  <c r="E244" i="1"/>
  <c r="B244" i="1"/>
  <c r="E243" i="1"/>
  <c r="B243" i="1"/>
  <c r="E242" i="1"/>
  <c r="B242" i="1"/>
  <c r="E241" i="1"/>
  <c r="B241" i="1"/>
  <c r="E240" i="1"/>
  <c r="B240" i="1"/>
  <c r="E239" i="1"/>
  <c r="B239" i="1"/>
  <c r="E238" i="1"/>
  <c r="B238" i="1"/>
  <c r="E237" i="1"/>
  <c r="B237" i="1"/>
  <c r="E236" i="1"/>
  <c r="B236" i="1"/>
  <c r="E235" i="1"/>
  <c r="B235" i="1"/>
  <c r="E234" i="1"/>
  <c r="B234" i="1"/>
  <c r="E233" i="1"/>
  <c r="B233" i="1"/>
  <c r="E232" i="1"/>
  <c r="B232" i="1"/>
  <c r="E231" i="1"/>
  <c r="B231" i="1"/>
  <c r="E230" i="1"/>
  <c r="B230" i="1"/>
  <c r="E229" i="1"/>
  <c r="B229" i="1"/>
  <c r="E228" i="1"/>
  <c r="B228" i="1"/>
  <c r="E227" i="1"/>
  <c r="B227" i="1"/>
  <c r="E226" i="1"/>
  <c r="B226" i="1"/>
  <c r="E225" i="1"/>
  <c r="B225" i="1"/>
  <c r="E224" i="1"/>
  <c r="B224" i="1"/>
  <c r="E223" i="1"/>
  <c r="B223" i="1"/>
  <c r="E222" i="1"/>
  <c r="B222" i="1"/>
  <c r="E221" i="1"/>
  <c r="B221" i="1"/>
  <c r="E220" i="1"/>
  <c r="B220" i="1"/>
  <c r="E219" i="1"/>
  <c r="B219" i="1"/>
  <c r="E218" i="1"/>
  <c r="B218" i="1"/>
  <c r="E217" i="1"/>
  <c r="B217" i="1"/>
  <c r="E216" i="1"/>
  <c r="B216" i="1"/>
  <c r="E215" i="1"/>
  <c r="B215" i="1"/>
  <c r="E214" i="1"/>
  <c r="B214" i="1"/>
  <c r="E213" i="1"/>
  <c r="B213" i="1"/>
  <c r="E212" i="1"/>
  <c r="B212" i="1"/>
  <c r="E211" i="1"/>
  <c r="B211" i="1"/>
  <c r="E210" i="1"/>
  <c r="B210" i="1"/>
  <c r="E209" i="1"/>
  <c r="B209" i="1"/>
  <c r="E208" i="1"/>
  <c r="B208" i="1"/>
  <c r="E207" i="1"/>
  <c r="B207" i="1"/>
  <c r="E206" i="1"/>
  <c r="B206" i="1"/>
  <c r="E205" i="1"/>
  <c r="B205" i="1"/>
  <c r="E204" i="1"/>
  <c r="B204" i="1"/>
  <c r="E203" i="1"/>
  <c r="B203" i="1"/>
  <c r="E202" i="1"/>
  <c r="B202" i="1"/>
  <c r="E201" i="1"/>
  <c r="B201" i="1"/>
  <c r="E200" i="1"/>
  <c r="B200" i="1"/>
  <c r="E199" i="1"/>
  <c r="B199" i="1"/>
  <c r="E198" i="1"/>
  <c r="B198" i="1"/>
  <c r="E197" i="1"/>
  <c r="B197" i="1"/>
  <c r="E196" i="1"/>
  <c r="B196" i="1"/>
  <c r="E195" i="1"/>
  <c r="B195" i="1"/>
  <c r="E194" i="1"/>
  <c r="B194" i="1"/>
  <c r="E193" i="1"/>
  <c r="B193" i="1"/>
  <c r="E192" i="1"/>
  <c r="B192" i="1"/>
  <c r="E191" i="1"/>
  <c r="B191" i="1"/>
  <c r="E190" i="1"/>
  <c r="B190" i="1"/>
  <c r="E189" i="1"/>
  <c r="B189" i="1"/>
  <c r="E188" i="1"/>
  <c r="B188" i="1"/>
  <c r="E187" i="1"/>
  <c r="B187" i="1"/>
  <c r="E186" i="1"/>
  <c r="B186" i="1"/>
  <c r="E185" i="1"/>
  <c r="B185" i="1"/>
  <c r="E184" i="1"/>
  <c r="B184" i="1"/>
  <c r="E183" i="1"/>
  <c r="B183" i="1"/>
  <c r="E182" i="1"/>
  <c r="B182" i="1"/>
  <c r="E181" i="1"/>
  <c r="B181" i="1"/>
  <c r="E180" i="1"/>
  <c r="B180" i="1"/>
  <c r="E179" i="1"/>
  <c r="B179" i="1"/>
  <c r="E178" i="1"/>
  <c r="B178" i="1"/>
  <c r="E177" i="1"/>
  <c r="B177" i="1"/>
  <c r="E176" i="1"/>
  <c r="B176" i="1"/>
  <c r="E175" i="1"/>
  <c r="B175" i="1"/>
  <c r="E174" i="1"/>
  <c r="B174" i="1"/>
  <c r="E173" i="1"/>
  <c r="B173" i="1"/>
  <c r="E172" i="1"/>
  <c r="B172" i="1"/>
  <c r="E171" i="1"/>
  <c r="B171" i="1"/>
  <c r="E170" i="1"/>
  <c r="B170" i="1"/>
  <c r="E169" i="1"/>
  <c r="B169" i="1"/>
  <c r="E168" i="1"/>
  <c r="B168" i="1"/>
  <c r="E167" i="1"/>
  <c r="B167" i="1"/>
  <c r="E166" i="1"/>
  <c r="B166" i="1"/>
  <c r="E165" i="1"/>
  <c r="B165" i="1"/>
  <c r="E164" i="1"/>
  <c r="B164" i="1"/>
  <c r="E163" i="1"/>
  <c r="B163" i="1"/>
  <c r="E162" i="1"/>
  <c r="B162" i="1"/>
  <c r="E161" i="1"/>
  <c r="B161" i="1"/>
  <c r="E160" i="1"/>
  <c r="B160" i="1"/>
  <c r="E159" i="1"/>
  <c r="E158" i="1"/>
  <c r="B158" i="1"/>
  <c r="E157" i="1"/>
  <c r="B157" i="1"/>
  <c r="E156" i="1"/>
  <c r="B156" i="1"/>
  <c r="E155" i="1"/>
  <c r="B155" i="1"/>
  <c r="E154" i="1"/>
  <c r="B154" i="1"/>
  <c r="B128" i="1"/>
  <c r="E153" i="1" l="1"/>
  <c r="B153" i="1"/>
  <c r="E152" i="1"/>
  <c r="B152" i="1"/>
  <c r="E151" i="1"/>
  <c r="B151" i="1"/>
  <c r="E150" i="1"/>
  <c r="B150" i="1"/>
  <c r="E149" i="1"/>
  <c r="B149" i="1"/>
  <c r="E148" i="1"/>
  <c r="B148" i="1"/>
  <c r="E147" i="1"/>
  <c r="B147" i="1"/>
  <c r="E146" i="1"/>
  <c r="B146" i="1"/>
  <c r="E145" i="1"/>
  <c r="B145" i="1"/>
  <c r="E144" i="1"/>
  <c r="B144" i="1"/>
  <c r="E143" i="1"/>
  <c r="B143" i="1"/>
  <c r="E142" i="1"/>
  <c r="B142" i="1"/>
  <c r="E141" i="1"/>
  <c r="B141" i="1"/>
  <c r="E140" i="1"/>
  <c r="B140" i="1"/>
  <c r="E139" i="1"/>
  <c r="B139" i="1"/>
  <c r="E138" i="1"/>
  <c r="B138" i="1"/>
  <c r="E137" i="1"/>
  <c r="B137" i="1"/>
  <c r="E136" i="1"/>
  <c r="B136" i="1"/>
  <c r="E135" i="1"/>
  <c r="B135" i="1"/>
  <c r="E134" i="1"/>
  <c r="B134" i="1"/>
  <c r="E133" i="1"/>
  <c r="B133" i="1"/>
  <c r="E132" i="1"/>
  <c r="B132" i="1"/>
  <c r="E131" i="1"/>
  <c r="B131" i="1"/>
  <c r="E130" i="1"/>
  <c r="B130" i="1"/>
  <c r="E129" i="1"/>
  <c r="B129" i="1"/>
  <c r="E128" i="1"/>
  <c r="E127" i="1"/>
  <c r="B127" i="1"/>
  <c r="E126" i="1"/>
  <c r="B126" i="1"/>
  <c r="E125" i="1"/>
  <c r="B125" i="1"/>
  <c r="E124" i="1"/>
  <c r="B124" i="1"/>
  <c r="E123" i="1"/>
  <c r="B123" i="1"/>
  <c r="E122" i="1"/>
  <c r="B122" i="1"/>
  <c r="E121" i="1"/>
  <c r="B121" i="1"/>
  <c r="E120" i="1"/>
  <c r="B120" i="1"/>
  <c r="E119" i="1"/>
  <c r="B119" i="1"/>
  <c r="E118" i="1"/>
  <c r="B118" i="1"/>
  <c r="E117" i="1"/>
  <c r="B117" i="1"/>
  <c r="E116" i="1"/>
  <c r="B116" i="1"/>
  <c r="E115" i="1"/>
  <c r="B115" i="1"/>
  <c r="E114" i="1"/>
  <c r="B114" i="1"/>
  <c r="E113" i="1"/>
  <c r="B113" i="1"/>
  <c r="E112" i="1"/>
  <c r="B112" i="1"/>
  <c r="E111" i="1"/>
  <c r="B111" i="1"/>
  <c r="E110" i="1"/>
  <c r="B110" i="1"/>
  <c r="E109" i="1"/>
  <c r="B109" i="1"/>
  <c r="E108" i="1"/>
  <c r="B108" i="1"/>
  <c r="E107" i="1"/>
  <c r="B107" i="1"/>
  <c r="E106" i="1"/>
  <c r="B106" i="1"/>
  <c r="E105" i="1"/>
  <c r="B105" i="1"/>
  <c r="E104" i="1"/>
  <c r="B104" i="1"/>
  <c r="E103" i="1"/>
  <c r="B103" i="1"/>
  <c r="E102" i="1"/>
  <c r="B102" i="1"/>
  <c r="E101" i="1"/>
  <c r="B101" i="1"/>
  <c r="E100" i="1"/>
  <c r="B100" i="1"/>
  <c r="E99" i="1"/>
  <c r="B99" i="1"/>
  <c r="E98" i="1"/>
  <c r="B98" i="1"/>
  <c r="E97" i="1"/>
  <c r="B97" i="1"/>
  <c r="E96" i="1"/>
  <c r="B96" i="1"/>
  <c r="E95" i="1"/>
  <c r="B95" i="1"/>
  <c r="E94" i="1"/>
  <c r="B94" i="1"/>
  <c r="E93" i="1"/>
  <c r="B93" i="1"/>
  <c r="E92" i="1"/>
  <c r="B92" i="1"/>
  <c r="E91" i="1"/>
  <c r="B91" i="1"/>
  <c r="E90" i="1"/>
  <c r="B90" i="1"/>
  <c r="E89" i="1"/>
  <c r="B89" i="1"/>
  <c r="E88" i="1"/>
  <c r="B88" i="1"/>
  <c r="E87" i="1"/>
  <c r="B87" i="1"/>
  <c r="E86" i="1"/>
  <c r="B86" i="1"/>
  <c r="E85" i="1"/>
  <c r="B85" i="1"/>
  <c r="E84" i="1"/>
  <c r="B84" i="1"/>
  <c r="E83" i="1"/>
  <c r="B83" i="1"/>
  <c r="E82" i="1"/>
  <c r="B82" i="1"/>
  <c r="E81" i="1"/>
  <c r="B81" i="1"/>
  <c r="E80" i="1"/>
  <c r="B80" i="1"/>
  <c r="E79" i="1"/>
  <c r="B79" i="1"/>
  <c r="E78" i="1"/>
  <c r="B78" i="1"/>
  <c r="E77" i="1"/>
  <c r="B77" i="1"/>
  <c r="E76" i="1"/>
  <c r="B76" i="1"/>
  <c r="E75" i="1"/>
  <c r="B75" i="1"/>
  <c r="E74" i="1"/>
  <c r="B74" i="1"/>
  <c r="E73" i="1"/>
  <c r="B73" i="1"/>
  <c r="E72" i="1"/>
  <c r="B72" i="1"/>
  <c r="E71" i="1"/>
  <c r="B71" i="1"/>
  <c r="E70" i="1"/>
  <c r="B70" i="1"/>
  <c r="E69" i="1"/>
  <c r="B69" i="1"/>
  <c r="E68" i="1"/>
  <c r="B68" i="1"/>
  <c r="E67" i="1"/>
  <c r="B67" i="1"/>
  <c r="E66" i="1"/>
  <c r="B66" i="1"/>
  <c r="E65" i="1"/>
  <c r="B65" i="1"/>
  <c r="E64" i="1"/>
  <c r="B64" i="1"/>
  <c r="E63" i="1"/>
  <c r="B63" i="1"/>
  <c r="E62" i="1"/>
  <c r="B62" i="1"/>
  <c r="E61" i="1"/>
  <c r="B61" i="1"/>
  <c r="E60" i="1"/>
  <c r="B60" i="1"/>
  <c r="E59" i="1"/>
  <c r="B59" i="1"/>
  <c r="E58" i="1"/>
  <c r="B58" i="1"/>
  <c r="E57" i="1"/>
  <c r="B57" i="1"/>
  <c r="E56" i="1"/>
  <c r="B56" i="1"/>
  <c r="E55" i="1"/>
  <c r="B55" i="1"/>
  <c r="E54" i="1"/>
  <c r="B54" i="1"/>
  <c r="E53" i="1"/>
  <c r="B53" i="1"/>
  <c r="E52" i="1"/>
  <c r="B52" i="1"/>
  <c r="E51" i="1"/>
  <c r="B51" i="1"/>
  <c r="E50" i="1"/>
  <c r="B50" i="1"/>
  <c r="E49" i="1"/>
  <c r="B49" i="1"/>
  <c r="E48" i="1"/>
  <c r="B48" i="1"/>
  <c r="E47" i="1"/>
  <c r="B47" i="1"/>
  <c r="E46" i="1"/>
  <c r="B46" i="1"/>
  <c r="E45" i="1"/>
  <c r="B45" i="1"/>
  <c r="E44" i="1"/>
  <c r="B44" i="1"/>
  <c r="E43" i="1"/>
  <c r="B43" i="1"/>
  <c r="E42" i="1"/>
  <c r="B42" i="1"/>
  <c r="E41" i="1"/>
  <c r="B41" i="1"/>
  <c r="E40" i="1"/>
  <c r="B40" i="1"/>
  <c r="E39" i="1"/>
  <c r="B39" i="1"/>
  <c r="E38" i="1"/>
  <c r="B38" i="1"/>
  <c r="E37" i="1"/>
  <c r="B37" i="1"/>
  <c r="E36" i="1"/>
  <c r="B36" i="1"/>
  <c r="E35" i="1"/>
  <c r="B35" i="1"/>
  <c r="E34" i="1"/>
  <c r="B34" i="1"/>
  <c r="E33" i="1"/>
  <c r="B33" i="1"/>
  <c r="E32" i="1"/>
  <c r="B32" i="1"/>
  <c r="E31" i="1"/>
  <c r="B31" i="1"/>
  <c r="E30" i="1"/>
  <c r="B30" i="1"/>
  <c r="E29" i="1"/>
  <c r="B29" i="1"/>
  <c r="E28" i="1"/>
  <c r="B28" i="1"/>
  <c r="E27" i="1"/>
  <c r="B27" i="1"/>
  <c r="E26" i="1"/>
  <c r="B26" i="1"/>
  <c r="E25" i="1"/>
  <c r="B25" i="1"/>
  <c r="E24" i="1"/>
  <c r="B24" i="1"/>
  <c r="E23" i="1"/>
  <c r="B23" i="1"/>
  <c r="E22" i="1"/>
  <c r="B22" i="1"/>
  <c r="E21" i="1"/>
  <c r="B21" i="1"/>
  <c r="E20" i="1"/>
  <c r="B20" i="1"/>
  <c r="E19" i="1"/>
  <c r="B19" i="1"/>
  <c r="E18" i="1"/>
  <c r="B18" i="1"/>
  <c r="E17" i="1"/>
  <c r="B17" i="1"/>
  <c r="E16" i="1"/>
  <c r="B16" i="1"/>
  <c r="E15" i="1"/>
  <c r="B15" i="1"/>
  <c r="E14" i="1"/>
  <c r="B14" i="1"/>
  <c r="E13" i="1"/>
  <c r="B13" i="1"/>
  <c r="E12" i="1"/>
  <c r="B12" i="1"/>
  <c r="E11" i="1"/>
  <c r="B11" i="1"/>
  <c r="E10" i="1"/>
  <c r="B10" i="1"/>
  <c r="E9" i="1"/>
  <c r="B9" i="1"/>
  <c r="E8" i="1"/>
  <c r="B8" i="1"/>
  <c r="E7" i="1"/>
  <c r="B7" i="1"/>
  <c r="E6" i="1"/>
  <c r="B6" i="1"/>
  <c r="E5" i="1"/>
  <c r="B5" i="1"/>
  <c r="E4" i="1"/>
  <c r="B4" i="1"/>
  <c r="E3" i="1"/>
  <c r="B3" i="1"/>
  <c r="E2" i="1"/>
  <c r="B2" i="1"/>
</calcChain>
</file>

<file path=xl/sharedStrings.xml><?xml version="1.0" encoding="utf-8"?>
<sst xmlns="http://schemas.openxmlformats.org/spreadsheetml/2006/main" count="21989" uniqueCount="1763">
  <si>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</si>
  <si>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</si>
  <si>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</si>
  <si>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</si>
  <si>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</si>
  <si>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</si>
  <si>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</si>
  <si>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</si>
  <si>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</si>
  <si>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</si>
  <si>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</si>
  <si>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</si>
  <si>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</si>
  <si>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</si>
  <si>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</si>
  <si>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</si>
  <si>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01/06/2020</t>
  </si>
  <si>
    <t>ON1</t>
  </si>
  <si>
    <t>JNX</t>
  </si>
  <si>
    <t>JOHANNESBURG</t>
  </si>
  <si>
    <t xml:space="preserve">BEARING MAN GROUP   </t>
  </si>
  <si>
    <t>02/06/2020</t>
  </si>
  <si>
    <t xml:space="preserve">teboho              </t>
  </si>
  <si>
    <t>DELIVERED</t>
  </si>
  <si>
    <t xml:space="preserve">               </t>
  </si>
  <si>
    <t>PLZ</t>
  </si>
  <si>
    <t>PORT ELIZABETH</t>
  </si>
  <si>
    <t>Dedisa Peaking Power</t>
  </si>
  <si>
    <t xml:space="preserve">shane               </t>
  </si>
  <si>
    <t>KEMPTON PARK</t>
  </si>
  <si>
    <t>ANG INDUSTRIAL SOLUT</t>
  </si>
  <si>
    <t xml:space="preserve">LEA                 </t>
  </si>
  <si>
    <t>PRY</t>
  </si>
  <si>
    <t>PRETORIA</t>
  </si>
  <si>
    <t>THE SOUTH AFRICAN BR</t>
  </si>
  <si>
    <t xml:space="preserve">Thabiso             </t>
  </si>
  <si>
    <t>RBG</t>
  </si>
  <si>
    <t>RUSTENBURG</t>
  </si>
  <si>
    <t xml:space="preserve">APPLE CONTROLS CC T </t>
  </si>
  <si>
    <t xml:space="preserve">Henning             </t>
  </si>
  <si>
    <t>PZB</t>
  </si>
  <si>
    <t>PIETERMARITZBURG</t>
  </si>
  <si>
    <t>EGLI PRECISION ENGIN</t>
  </si>
  <si>
    <t xml:space="preserve">          </t>
  </si>
  <si>
    <t xml:space="preserve">                    </t>
  </si>
  <si>
    <t>VEREENIGING</t>
  </si>
  <si>
    <t xml:space="preserve">PREMIER FOODS (PTY) </t>
  </si>
  <si>
    <t xml:space="preserve">NELSON              </t>
  </si>
  <si>
    <t>CPT</t>
  </si>
  <si>
    <t>CAPE TOWN</t>
  </si>
  <si>
    <t xml:space="preserve">DEEP BLUE AQUA      </t>
  </si>
  <si>
    <t xml:space="preserve">Christine           </t>
  </si>
  <si>
    <t>ELS</t>
  </si>
  <si>
    <t>EAST LONDON</t>
  </si>
  <si>
    <t>FOXTEC-IKHWEZI PTY L</t>
  </si>
  <si>
    <t xml:space="preserve">zolani              </t>
  </si>
  <si>
    <t>HACKMACK ENTERPRISES</t>
  </si>
  <si>
    <t xml:space="preserve">afrika              </t>
  </si>
  <si>
    <t>ALBERTON</t>
  </si>
  <si>
    <t>D   R COMPRESSOR SER</t>
  </si>
  <si>
    <t xml:space="preserve">DANELLE             </t>
  </si>
  <si>
    <t>POLYOAK PACKAGING PT</t>
  </si>
  <si>
    <t xml:space="preserve">teasar              </t>
  </si>
  <si>
    <t>MAIN STREET 1310(PTY</t>
  </si>
  <si>
    <t>DUPLEIX LIQUID METER</t>
  </si>
  <si>
    <t xml:space="preserve">illeg               </t>
  </si>
  <si>
    <t>SPERO SENSORS   INST</t>
  </si>
  <si>
    <t xml:space="preserve">Mosa                </t>
  </si>
  <si>
    <t>RANDBURG</t>
  </si>
  <si>
    <t xml:space="preserve">IPACKCHEM PTY LTD   </t>
  </si>
  <si>
    <t xml:space="preserve">MATTHEW             </t>
  </si>
  <si>
    <t xml:space="preserve">METROCAS CC         </t>
  </si>
  <si>
    <t xml:space="preserve">VIC                 </t>
  </si>
  <si>
    <t>PAARL</t>
  </si>
  <si>
    <t>VEOLIA WATER SOLUTIO</t>
  </si>
  <si>
    <t xml:space="preserve">Mervin              </t>
  </si>
  <si>
    <t xml:space="preserve">henning             </t>
  </si>
  <si>
    <t xml:space="preserve">EVRIGARD PTY LTD    </t>
  </si>
  <si>
    <t>ESTCOURT</t>
  </si>
  <si>
    <t xml:space="preserve">ESKORT LTD          </t>
  </si>
  <si>
    <t xml:space="preserve">BESWICK MACHINERY   </t>
  </si>
  <si>
    <t xml:space="preserve">PAT                 </t>
  </si>
  <si>
    <t xml:space="preserve">hernning            </t>
  </si>
  <si>
    <t>HUMANSDORP</t>
  </si>
  <si>
    <t>WOODLANDS RESOURCE R</t>
  </si>
  <si>
    <t>DUR</t>
  </si>
  <si>
    <t>AMANZIMTOTI</t>
  </si>
  <si>
    <t xml:space="preserve">DES GROUP (PTY) LTD </t>
  </si>
  <si>
    <t xml:space="preserve">muzie               </t>
  </si>
  <si>
    <t>RANDFONTEIN</t>
  </si>
  <si>
    <t>LAFARGE INDUSTRIES S</t>
  </si>
  <si>
    <t xml:space="preserve">rekgolisetswe       </t>
  </si>
  <si>
    <t>UITENHAGE</t>
  </si>
  <si>
    <t>GOODYEAR SOUTH AFRIC</t>
  </si>
  <si>
    <t xml:space="preserve">Austin              </t>
  </si>
  <si>
    <t xml:space="preserve">OCEAN LEGACY MARINE </t>
  </si>
  <si>
    <t xml:space="preserve">hughes              </t>
  </si>
  <si>
    <t>BOKSBURG</t>
  </si>
  <si>
    <t xml:space="preserve">SACHET MANUFACTURES </t>
  </si>
  <si>
    <t>DIYA VALVES INTERNAT</t>
  </si>
  <si>
    <t>VICTORY ELECTRICAL C</t>
  </si>
  <si>
    <t xml:space="preserve">R VOLSCHENK         </t>
  </si>
  <si>
    <t>VREDENDAL</t>
  </si>
  <si>
    <t xml:space="preserve">LIQUID PLASTICS     </t>
  </si>
  <si>
    <t>MED ENGINEERING (PTY</t>
  </si>
  <si>
    <t xml:space="preserve">N SCHOEMAN          </t>
  </si>
  <si>
    <t>HAMMANSKRAAL</t>
  </si>
  <si>
    <t xml:space="preserve">NESTLE SA           </t>
  </si>
  <si>
    <t>MALMESBURY</t>
  </si>
  <si>
    <t xml:space="preserve">HYDROMATIC          </t>
  </si>
  <si>
    <t>WORCESTER</t>
  </si>
  <si>
    <t xml:space="preserve">GRW ENGINERING      </t>
  </si>
  <si>
    <t>03/06/2020</t>
  </si>
  <si>
    <t>VERTEX AUTOMATION PT</t>
  </si>
  <si>
    <t xml:space="preserve">johan               </t>
  </si>
  <si>
    <t>DYNAMIC AUTOMATION T</t>
  </si>
  <si>
    <t>JLINC T A TAMASA TRA</t>
  </si>
  <si>
    <t xml:space="preserve">J LUTZELER          </t>
  </si>
  <si>
    <t>EATON HYDRAULICS PTY</t>
  </si>
  <si>
    <t xml:space="preserve">FUSE - A - TRON CC  </t>
  </si>
  <si>
    <t xml:space="preserve">Greg                </t>
  </si>
  <si>
    <t>BENONI</t>
  </si>
  <si>
    <t>SPECIALIZED NDT SERV</t>
  </si>
  <si>
    <t xml:space="preserve">frank               </t>
  </si>
  <si>
    <t>SUPERIOR PACKAGING I</t>
  </si>
  <si>
    <t xml:space="preserve">alexis              </t>
  </si>
  <si>
    <t>MIDRAND</t>
  </si>
  <si>
    <t>HIGH - TECH CONTROLS</t>
  </si>
  <si>
    <t xml:space="preserve">SIGNATURE           </t>
  </si>
  <si>
    <t>SPECIALISED MECHANIC</t>
  </si>
  <si>
    <t xml:space="preserve">lechandre           </t>
  </si>
  <si>
    <t xml:space="preserve">AMETIS PROJECTS CC  </t>
  </si>
  <si>
    <t xml:space="preserve">SHARON              </t>
  </si>
  <si>
    <t>RAPID INDUSTRIAL SUP</t>
  </si>
  <si>
    <t xml:space="preserve">WEZ                 </t>
  </si>
  <si>
    <t>DBC</t>
  </si>
  <si>
    <t>TFM INDUSTRIES PTY L</t>
  </si>
  <si>
    <t xml:space="preserve">zach                </t>
  </si>
  <si>
    <t xml:space="preserve">PAARL PNEUMATICS CC </t>
  </si>
  <si>
    <t xml:space="preserve">anwar               </t>
  </si>
  <si>
    <t>BRONKHORSTSPRUIT</t>
  </si>
  <si>
    <t xml:space="preserve">PAKPAL (PTY)LTD     </t>
  </si>
  <si>
    <t xml:space="preserve">KIMBERLEY-CLARK S.A </t>
  </si>
  <si>
    <t xml:space="preserve">vena                </t>
  </si>
  <si>
    <t>DURBAN</t>
  </si>
  <si>
    <t>VARELEC DISTRIBUTORS</t>
  </si>
  <si>
    <t xml:space="preserve">NICOLE              </t>
  </si>
  <si>
    <t>GERMISTON</t>
  </si>
  <si>
    <t xml:space="preserve">VIDEX WIRE PRODUCTS </t>
  </si>
  <si>
    <t xml:space="preserve">Sylan               </t>
  </si>
  <si>
    <t>METIER MIXED CONCRET</t>
  </si>
  <si>
    <t xml:space="preserve">kec8n               </t>
  </si>
  <si>
    <t>UMHLANGA ROCKS</t>
  </si>
  <si>
    <t>SA SUGAR ASSOCIATION</t>
  </si>
  <si>
    <t xml:space="preserve">RYAN                </t>
  </si>
  <si>
    <t xml:space="preserve">sundlen             </t>
  </si>
  <si>
    <t xml:space="preserve">CONTINENTAL TYRE SA </t>
  </si>
  <si>
    <t xml:space="preserve">Richard             </t>
  </si>
  <si>
    <t>DEVCOTECH ELECTRICAL</t>
  </si>
  <si>
    <t xml:space="preserve">Ralph               </t>
  </si>
  <si>
    <t>H.G MOLENAAR (PTY) L</t>
  </si>
  <si>
    <t xml:space="preserve">Werner              </t>
  </si>
  <si>
    <t>UNION -SWISS PTY LTD</t>
  </si>
  <si>
    <t xml:space="preserve">MPUMELELO           </t>
  </si>
  <si>
    <t>ON2</t>
  </si>
  <si>
    <t>CORRUSEAL CORRUGATED</t>
  </si>
  <si>
    <t xml:space="preserve">FRAGILE OIL    </t>
  </si>
  <si>
    <t>BFN</t>
  </si>
  <si>
    <t>BLOEMFONTEIN</t>
  </si>
  <si>
    <t>HARTMANS INDUTRIAL E</t>
  </si>
  <si>
    <t xml:space="preserve">ILLEG               </t>
  </si>
  <si>
    <t>SMA ENGINEERING S.A.</t>
  </si>
  <si>
    <t xml:space="preserve">Fredrick            </t>
  </si>
  <si>
    <t xml:space="preserve">BEARING   HYDRAULIC </t>
  </si>
  <si>
    <t xml:space="preserve">Eleanor             </t>
  </si>
  <si>
    <t xml:space="preserve">ICHELLE             </t>
  </si>
  <si>
    <t xml:space="preserve">BRIDGE PROCUREMENT  </t>
  </si>
  <si>
    <t xml:space="preserve">nephter             </t>
  </si>
  <si>
    <t>BEH</t>
  </si>
  <si>
    <t>HARRISMITH</t>
  </si>
  <si>
    <t xml:space="preserve">THOBILE             </t>
  </si>
  <si>
    <t>MACSTEEL TUBE   PIPE</t>
  </si>
  <si>
    <t xml:space="preserve">M NDLOVU            </t>
  </si>
  <si>
    <t>ROODEPOORT</t>
  </si>
  <si>
    <t>REPMA ENGINEERING PT</t>
  </si>
  <si>
    <t xml:space="preserve">Roland              </t>
  </si>
  <si>
    <t xml:space="preserve">QUALITECHS          </t>
  </si>
  <si>
    <t xml:space="preserve">paul                </t>
  </si>
  <si>
    <t>WEENEN</t>
  </si>
  <si>
    <t>NATIONAL BRAIDING IN</t>
  </si>
  <si>
    <t xml:space="preserve">NATIONAL BRANDS LTD </t>
  </si>
  <si>
    <t xml:space="preserve">Kenneth             </t>
  </si>
  <si>
    <t>CENTURION</t>
  </si>
  <si>
    <t>NNOVATIVE AUTOMATION</t>
  </si>
  <si>
    <t xml:space="preserve">Steph               </t>
  </si>
  <si>
    <t>NATIONAL BRANDS LIMI</t>
  </si>
  <si>
    <t xml:space="preserve">Thabang             </t>
  </si>
  <si>
    <t xml:space="preserve">FOODCORP PTY LTD    </t>
  </si>
  <si>
    <t xml:space="preserve">ADELE V D BERG      </t>
  </si>
  <si>
    <t>SOMERSET WEST</t>
  </si>
  <si>
    <t xml:space="preserve">GOSSAMER STRUCTURES </t>
  </si>
  <si>
    <t xml:space="preserve">CAMERON             </t>
  </si>
  <si>
    <t xml:space="preserve">CLURE PROJECTS CC   </t>
  </si>
  <si>
    <t xml:space="preserve">norman              </t>
  </si>
  <si>
    <t>BALFOUR (TVL)</t>
  </si>
  <si>
    <t>KARAN BEEF (PTY) LTD</t>
  </si>
  <si>
    <t xml:space="preserve">LUYANDA             </t>
  </si>
  <si>
    <t>PINETOWN</t>
  </si>
  <si>
    <t>IMANA FOODS SA (PTY)</t>
  </si>
  <si>
    <t xml:space="preserve">thokozani           </t>
  </si>
  <si>
    <t>COMPRESSED AIR EQUIP</t>
  </si>
  <si>
    <t xml:space="preserve">dees                </t>
  </si>
  <si>
    <t xml:space="preserve">deez                </t>
  </si>
  <si>
    <t>HEILBRON</t>
  </si>
  <si>
    <t xml:space="preserve">CLOVER S.A          </t>
  </si>
  <si>
    <t xml:space="preserve">REUTEWRS            </t>
  </si>
  <si>
    <t>FELTEX AUTOMOTIVE DI</t>
  </si>
  <si>
    <t xml:space="preserve">sam                 </t>
  </si>
  <si>
    <t>FERRERO SOUTH AFRICA</t>
  </si>
  <si>
    <t>KRUGERSDORP</t>
  </si>
  <si>
    <t>SCHULLPAK GAUTENG (P</t>
  </si>
  <si>
    <t>EGLI PRECISION ENGEN</t>
  </si>
  <si>
    <t>ISITHEBE</t>
  </si>
  <si>
    <t xml:space="preserve">KIC SA PTY LTD      </t>
  </si>
  <si>
    <t xml:space="preserve">bheki               </t>
  </si>
  <si>
    <t>ALBANY BAKERY A DIVI</t>
  </si>
  <si>
    <t>CHEMETRIX (PTY) LIMI</t>
  </si>
  <si>
    <t xml:space="preserve">joseph              </t>
  </si>
  <si>
    <t xml:space="preserve">AZURRI ENGINEERING  </t>
  </si>
  <si>
    <t>HENRED FRUEHAUF TRAI</t>
  </si>
  <si>
    <t xml:space="preserve">Sephiwe             </t>
  </si>
  <si>
    <t>ACO SYSTEMS (PTY)LTD</t>
  </si>
  <si>
    <t xml:space="preserve">Deidre              </t>
  </si>
  <si>
    <t xml:space="preserve">INDECON CC          </t>
  </si>
  <si>
    <t>STRAND</t>
  </si>
  <si>
    <t>BOTHA DU BOIS ENGINE</t>
  </si>
  <si>
    <t xml:space="preserve">J du Booi           </t>
  </si>
  <si>
    <t>TONGAAT</t>
  </si>
  <si>
    <t xml:space="preserve">CONLOG (PTY) LTD    </t>
  </si>
  <si>
    <t>GLEDHOW SUGAR CO. PT</t>
  </si>
  <si>
    <t xml:space="preserve">eugene              </t>
  </si>
  <si>
    <t>WINTERTIDE TRADING 6</t>
  </si>
  <si>
    <t xml:space="preserve">may                 </t>
  </si>
  <si>
    <t>PREFORMED LINE PRODU</t>
  </si>
  <si>
    <t xml:space="preserve">NARROWTEX PTY LTD   </t>
  </si>
  <si>
    <t>NATIONAL PACKAGING S</t>
  </si>
  <si>
    <t xml:space="preserve">claudan             </t>
  </si>
  <si>
    <t>FILMATIC PACKAGING S</t>
  </si>
  <si>
    <t xml:space="preserve">Patrick             </t>
  </si>
  <si>
    <t xml:space="preserve">MITTAL STEEL SA LTD </t>
  </si>
  <si>
    <t>DE BEERS GROUP SERVI</t>
  </si>
  <si>
    <t xml:space="preserve">Rolard              </t>
  </si>
  <si>
    <t xml:space="preserve">CIM AUTOMATION      </t>
  </si>
  <si>
    <t xml:space="preserve">FESTO DUR OFFICE    </t>
  </si>
  <si>
    <t xml:space="preserve">philani             </t>
  </si>
  <si>
    <t>UNILEVER SOUTH AFRIC</t>
  </si>
  <si>
    <t xml:space="preserve">Janine              </t>
  </si>
  <si>
    <t>ASTIG ENGINEERING CC</t>
  </si>
  <si>
    <t xml:space="preserve">THE SIMBA GROUP LTD </t>
  </si>
  <si>
    <t xml:space="preserve">Eathan              </t>
  </si>
  <si>
    <t xml:space="preserve">BERNTEL SA          </t>
  </si>
  <si>
    <t xml:space="preserve">uisula              </t>
  </si>
  <si>
    <t xml:space="preserve">SINGISI FOREST      </t>
  </si>
  <si>
    <t xml:space="preserve">IRVIN   JONSON LTD  </t>
  </si>
  <si>
    <t xml:space="preserve">saban               </t>
  </si>
  <si>
    <t xml:space="preserve">STRATEGY ELECTRICAL </t>
  </si>
  <si>
    <t xml:space="preserve">UNILEVER SA         </t>
  </si>
  <si>
    <t xml:space="preserve">MALAN               </t>
  </si>
  <si>
    <t xml:space="preserve">CASLAD              </t>
  </si>
  <si>
    <t xml:space="preserve">FRANS               </t>
  </si>
  <si>
    <t>EFAMATIC MACHINE TOO</t>
  </si>
  <si>
    <t>ELINEM ENGINEERING P</t>
  </si>
  <si>
    <t xml:space="preserve">NEOPAK              </t>
  </si>
  <si>
    <t xml:space="preserve">DESSERTWORX         </t>
  </si>
  <si>
    <t xml:space="preserve">marlon              </t>
  </si>
  <si>
    <t>BOWLER PLASTICS (PTY</t>
  </si>
  <si>
    <t>RCL FOODS CONSUMER P</t>
  </si>
  <si>
    <t>CAPE HERB   SPICE (P</t>
  </si>
  <si>
    <t>FAURECIA EXHAUST SYS</t>
  </si>
  <si>
    <t>JENDAMARK AUTOMATION</t>
  </si>
  <si>
    <t>FIRST NATIONAL BATTE</t>
  </si>
  <si>
    <t>DESPATCH</t>
  </si>
  <si>
    <t xml:space="preserve">BORBET SA (PTY) LTD </t>
  </si>
  <si>
    <t>SCHAEFFLER SOUTH AFR</t>
  </si>
  <si>
    <t xml:space="preserve">LEAR SEWING PTY LTD </t>
  </si>
  <si>
    <t>BRIDGESTONE FIRESTON</t>
  </si>
  <si>
    <t>PHARMACARE LTD T A A</t>
  </si>
  <si>
    <t xml:space="preserve">AUTO X PTY LTD      </t>
  </si>
  <si>
    <t>CROWN CHICKENS (PTY)</t>
  </si>
  <si>
    <t xml:space="preserve">austin              </t>
  </si>
  <si>
    <t>VANDERBIJLPARK</t>
  </si>
  <si>
    <t>DIVFOOD A DIV OF NAM</t>
  </si>
  <si>
    <t>SASOLBURG</t>
  </si>
  <si>
    <t>COREL INSTRUMENTATIO</t>
  </si>
  <si>
    <t>BALLENA TRADING 31 P</t>
  </si>
  <si>
    <t>UMBOGINTWINI</t>
  </si>
  <si>
    <t>BASF CONSTRUCTION CH</t>
  </si>
  <si>
    <t xml:space="preserve">RESEND         </t>
  </si>
  <si>
    <t xml:space="preserve">THE SIMBA GROUP PTY </t>
  </si>
  <si>
    <t xml:space="preserve">CONSOL GLASS        </t>
  </si>
  <si>
    <t xml:space="preserve">COCA COLA BEVERAGES </t>
  </si>
  <si>
    <t>RCL FOODS CONSUMER B</t>
  </si>
  <si>
    <t xml:space="preserve">AEL MINING SERVICES </t>
  </si>
  <si>
    <t>SASOL DYNO NOBEL PTY</t>
  </si>
  <si>
    <t>PTG</t>
  </si>
  <si>
    <t>TZANEEN</t>
  </si>
  <si>
    <t>MERENSKY THIMBER (PT</t>
  </si>
  <si>
    <t>DELMAS</t>
  </si>
  <si>
    <t>MCCAIN FOOD SOUTH AF</t>
  </si>
  <si>
    <t>SPRINGS</t>
  </si>
  <si>
    <t xml:space="preserve">KIMBERLY CLARK      </t>
  </si>
  <si>
    <t>NIGEL</t>
  </si>
  <si>
    <t xml:space="preserve">SASOL CHEMICALS SA  </t>
  </si>
  <si>
    <t>UNILEVER ANDERBOLT H</t>
  </si>
  <si>
    <t>RESCUE TECHNOLOGY CC</t>
  </si>
  <si>
    <t xml:space="preserve">BMW ROSSLYN         </t>
  </si>
  <si>
    <t xml:space="preserve">GREASE         </t>
  </si>
  <si>
    <t xml:space="preserve">PROMAX              </t>
  </si>
  <si>
    <t>ACEPAK PACKAGING SYS</t>
  </si>
  <si>
    <t xml:space="preserve">ROBOTIC INNOVATIONS </t>
  </si>
  <si>
    <t>PBA EQUIPMENT PTY LT</t>
  </si>
  <si>
    <t xml:space="preserve">morne               </t>
  </si>
  <si>
    <t xml:space="preserve">BMG BELLVILLE 0120  </t>
  </si>
  <si>
    <t xml:space="preserve">iceron              </t>
  </si>
  <si>
    <t>FAIR CAPE DAIRIES (P</t>
  </si>
  <si>
    <t xml:space="preserve">MCCAIN FOODS SA PTY </t>
  </si>
  <si>
    <t>GRJ</t>
  </si>
  <si>
    <t>MOSSEL BAY</t>
  </si>
  <si>
    <t>THE PETROLEUM OL   G</t>
  </si>
  <si>
    <t>SALDANHA</t>
  </si>
  <si>
    <t xml:space="preserve">AFRIPOWER           </t>
  </si>
  <si>
    <t xml:space="preserve">TRAX INTERCONNECT   </t>
  </si>
  <si>
    <t>GEORGE</t>
  </si>
  <si>
    <t xml:space="preserve">SANMIK AGENCIES CC  </t>
  </si>
  <si>
    <t xml:space="preserve">OMNIPLESS           </t>
  </si>
  <si>
    <t>RIDGE DISTRIBUTORS C</t>
  </si>
  <si>
    <t xml:space="preserve">buddy               </t>
  </si>
  <si>
    <t>FUEL INDUSTRY SERVIC</t>
  </si>
  <si>
    <t xml:space="preserve">CTP PRINTERS CPT    </t>
  </si>
  <si>
    <t>OFFSET PRESS SUPPLIE</t>
  </si>
  <si>
    <t>SENIOR FLEXONICS (SA</t>
  </si>
  <si>
    <t xml:space="preserve">petrus              </t>
  </si>
  <si>
    <t>SP AUTOMOTIVE PROFIL</t>
  </si>
  <si>
    <t xml:space="preserve">hopewell            </t>
  </si>
  <si>
    <t xml:space="preserve">VOLKSWAGEN OF SA    </t>
  </si>
  <si>
    <t xml:space="preserve">nomvuyo             </t>
  </si>
  <si>
    <t xml:space="preserve">UV + IR ENGINEERING </t>
  </si>
  <si>
    <t>RAND INSTRUMENTS AFR</t>
  </si>
  <si>
    <t>UNILEVER S.A (PTY)LT</t>
  </si>
  <si>
    <t>NEW</t>
  </si>
  <si>
    <t>LADYSMITH (NTL)</t>
  </si>
  <si>
    <t>DEFY APPLIANCES (PTY</t>
  </si>
  <si>
    <t>ADCOCK INGRAM HEALTH</t>
  </si>
  <si>
    <t xml:space="preserve">HARVARD PROJECTS    </t>
  </si>
  <si>
    <t xml:space="preserve">Elmar               </t>
  </si>
  <si>
    <t>ADCOCK INGRAM CRITIC</t>
  </si>
  <si>
    <t>VERULAM</t>
  </si>
  <si>
    <t>TONGAAT HULETTS GROU</t>
  </si>
  <si>
    <t>RCL FOODS CONSUMER (</t>
  </si>
  <si>
    <t xml:space="preserve">MAGNACORP 397 CC TA </t>
  </si>
  <si>
    <t xml:space="preserve">MONDI LIMITED       </t>
  </si>
  <si>
    <t xml:space="preserve">UNILEVER SA PTY LTD </t>
  </si>
  <si>
    <t>JACOBS</t>
  </si>
  <si>
    <t xml:space="preserve">AMS BEARING CC      </t>
  </si>
  <si>
    <t xml:space="preserve">ABI BOTTLING        </t>
  </si>
  <si>
    <t>NATIONAL BIOPRODUCTS</t>
  </si>
  <si>
    <t>VREDENBURG</t>
  </si>
  <si>
    <t>TRONOX MINERAL SANDS</t>
  </si>
  <si>
    <t xml:space="preserve">CLOVER SA (PTY) LTD </t>
  </si>
  <si>
    <t xml:space="preserve">CHEMPLUS CC         </t>
  </si>
  <si>
    <t>TOYOTA BOSHOKU SA PT</t>
  </si>
  <si>
    <t>FILTEC AUTOMATION PT</t>
  </si>
  <si>
    <t>FEDERAL MOGUL FRICTI</t>
  </si>
  <si>
    <t>RCL FOODCORP (PTY) L</t>
  </si>
  <si>
    <t xml:space="preserve">MPACT OPERATION PTY </t>
  </si>
  <si>
    <t>CCL LABEL SOUTH AFRI</t>
  </si>
  <si>
    <t xml:space="preserve">CONRO PRECISION     </t>
  </si>
  <si>
    <t xml:space="preserve">PAILPAC PTY LTD     </t>
  </si>
  <si>
    <t xml:space="preserve">CROWN CHICKENS      </t>
  </si>
  <si>
    <t xml:space="preserve">UNIVERSAL AUTOMATED </t>
  </si>
  <si>
    <t xml:space="preserve">PFG BUILDING GLASS  </t>
  </si>
  <si>
    <t xml:space="preserve">BULK TECHNIK CC     </t>
  </si>
  <si>
    <t>BRAKPAN</t>
  </si>
  <si>
    <t xml:space="preserve">ERGO MINING         </t>
  </si>
  <si>
    <t xml:space="preserve">THUTHUKA PACKAGING  </t>
  </si>
  <si>
    <t xml:space="preserve">Brrvely             </t>
  </si>
  <si>
    <t xml:space="preserve">TUPPERWARE SA       </t>
  </si>
  <si>
    <t xml:space="preserve">RCS ENTERPRISES CC  </t>
  </si>
  <si>
    <t>PRODUCTIVE SYSTEMS C</t>
  </si>
  <si>
    <t xml:space="preserve">ILLOVO SUGAR LTD    </t>
  </si>
  <si>
    <t>ATLANTIS</t>
  </si>
  <si>
    <t xml:space="preserve">ATLANTIS FOUNDRY    </t>
  </si>
  <si>
    <t>RHEINMETALL DENEL MU</t>
  </si>
  <si>
    <t>PYROTECHNICAL MARKET</t>
  </si>
  <si>
    <t>SOMERSET EAST</t>
  </si>
  <si>
    <t xml:space="preserve">P.J.ENGINEERING     </t>
  </si>
  <si>
    <t xml:space="preserve">HG MOLENAAR         </t>
  </si>
  <si>
    <t>STUTTERHEIM</t>
  </si>
  <si>
    <t>BOARDMAN BROS PTY LT</t>
  </si>
  <si>
    <t xml:space="preserve">Ctp Flexibles       </t>
  </si>
  <si>
    <t>POLYOAK PACKAGING (P</t>
  </si>
  <si>
    <t xml:space="preserve">IRVIN   JOHNSON LTD </t>
  </si>
  <si>
    <t>PG BISON A DIV OF KA</t>
  </si>
  <si>
    <t>PRIMA INDUSTRIAL HOL</t>
  </si>
  <si>
    <t xml:space="preserve">ayanda              </t>
  </si>
  <si>
    <t xml:space="preserve">AMCOR FLEXIBLE CAPE </t>
  </si>
  <si>
    <t>NAMPAK LIQUID PACKAG</t>
  </si>
  <si>
    <t>NR EXTREME ENGINEERI</t>
  </si>
  <si>
    <t>ISIPINGO</t>
  </si>
  <si>
    <t xml:space="preserve">ISEGEN S. A         </t>
  </si>
  <si>
    <t>PIONEER FOODS GROCER</t>
  </si>
  <si>
    <t>S4 INTEGRATION (PTY)</t>
  </si>
  <si>
    <t xml:space="preserve">CEMPACK             </t>
  </si>
  <si>
    <t xml:space="preserve">EXCEL TOOLING       </t>
  </si>
  <si>
    <t>EBERSPACHER SOUTH AF</t>
  </si>
  <si>
    <t>PPC CEMENT SA (PTY)L</t>
  </si>
  <si>
    <t>SMMF SOFTWARE TECHNO</t>
  </si>
  <si>
    <t xml:space="preserve">Festo               </t>
  </si>
  <si>
    <t xml:space="preserve">Marius              </t>
  </si>
  <si>
    <t>OUTSTATING POD</t>
  </si>
  <si>
    <t>GERRY</t>
  </si>
  <si>
    <t>Marcel</t>
  </si>
  <si>
    <t>SIGNED</t>
  </si>
  <si>
    <t>NATSHA</t>
  </si>
  <si>
    <t>NIREN</t>
  </si>
  <si>
    <t xml:space="preserve"> Siva</t>
  </si>
  <si>
    <t>X JIBA</t>
  </si>
  <si>
    <t>NIVASH</t>
  </si>
  <si>
    <t>KARA</t>
  </si>
  <si>
    <t>ANZEL</t>
  </si>
  <si>
    <t>GLADYS</t>
  </si>
  <si>
    <t>NATASHA</t>
  </si>
  <si>
    <t xml:space="preserve"> Bad address</t>
  </si>
  <si>
    <t>Bad address</t>
  </si>
  <si>
    <t>Ricardo</t>
  </si>
  <si>
    <t xml:space="preserve"> BAD ADDRESS</t>
  </si>
  <si>
    <t xml:space="preserve"> ethienne</t>
  </si>
  <si>
    <t>THOBEKA</t>
  </si>
  <si>
    <t>SIG</t>
  </si>
  <si>
    <t xml:space="preserve">Stephen             </t>
  </si>
  <si>
    <t xml:space="preserve">THANDEKA            </t>
  </si>
  <si>
    <t xml:space="preserve">david               </t>
  </si>
  <si>
    <t xml:space="preserve">lulama              </t>
  </si>
  <si>
    <t xml:space="preserve">HAYLEY              </t>
  </si>
  <si>
    <t xml:space="preserve">shaakir             </t>
  </si>
  <si>
    <t xml:space="preserve">buyisele            </t>
  </si>
  <si>
    <t xml:space="preserve">nclsot              </t>
  </si>
  <si>
    <t xml:space="preserve">daniels             </t>
  </si>
  <si>
    <t xml:space="preserve">liso                </t>
  </si>
  <si>
    <t xml:space="preserve">Kraige              </t>
  </si>
  <si>
    <t xml:space="preserve">Sipho               </t>
  </si>
  <si>
    <t xml:space="preserve">Alex                </t>
  </si>
  <si>
    <t xml:space="preserve">m j                 </t>
  </si>
  <si>
    <t xml:space="preserve">akhona              </t>
  </si>
  <si>
    <t xml:space="preserve">CHARON              </t>
  </si>
  <si>
    <t xml:space="preserve">Gremman             </t>
  </si>
  <si>
    <t xml:space="preserve">Vincent             </t>
  </si>
  <si>
    <t xml:space="preserve">Siphokazi           </t>
  </si>
  <si>
    <t xml:space="preserve">pinki               </t>
  </si>
  <si>
    <t xml:space="preserve">veronica            </t>
  </si>
  <si>
    <t xml:space="preserve">tienie              </t>
  </si>
  <si>
    <t xml:space="preserve">chary               </t>
  </si>
  <si>
    <t xml:space="preserve">FRANCINA            </t>
  </si>
  <si>
    <t xml:space="preserve">koos                </t>
  </si>
  <si>
    <t xml:space="preserve">jonas               </t>
  </si>
  <si>
    <t xml:space="preserve">boitumelo           </t>
  </si>
  <si>
    <t xml:space="preserve">SIG                 </t>
  </si>
  <si>
    <t xml:space="preserve">SIBUSISO            </t>
  </si>
  <si>
    <t xml:space="preserve">thulani             </t>
  </si>
  <si>
    <t xml:space="preserve">JOHN                </t>
  </si>
  <si>
    <t xml:space="preserve">Phillip             </t>
  </si>
  <si>
    <t xml:space="preserve">MCEDISI             </t>
  </si>
  <si>
    <t xml:space="preserve">C DU PLOOY          </t>
  </si>
  <si>
    <t xml:space="preserve">Johanes             </t>
  </si>
  <si>
    <t xml:space="preserve">Marenique           </t>
  </si>
  <si>
    <t xml:space="preserve">William             </t>
  </si>
  <si>
    <t xml:space="preserve">mary                </t>
  </si>
  <si>
    <t xml:space="preserve">mariunel            </t>
  </si>
  <si>
    <t>15::4</t>
  </si>
  <si>
    <t xml:space="preserve">Etienne             </t>
  </si>
  <si>
    <t xml:space="preserve">R Sedan             </t>
  </si>
  <si>
    <t xml:space="preserve">David               </t>
  </si>
  <si>
    <t xml:space="preserve">Saidi               </t>
  </si>
  <si>
    <t xml:space="preserve">CLIVE               </t>
  </si>
  <si>
    <t xml:space="preserve">Collins             </t>
  </si>
  <si>
    <t xml:space="preserve">Khamil              </t>
  </si>
  <si>
    <t xml:space="preserve">n africa            </t>
  </si>
  <si>
    <t xml:space="preserve">Monique             </t>
  </si>
  <si>
    <t xml:space="preserve">jerom               </t>
  </si>
  <si>
    <t xml:space="preserve">leandin             </t>
  </si>
  <si>
    <t xml:space="preserve">Michelle            </t>
  </si>
  <si>
    <t xml:space="preserve">ena                 </t>
  </si>
  <si>
    <t xml:space="preserve">Eric                </t>
  </si>
  <si>
    <t xml:space="preserve">Memela              </t>
  </si>
  <si>
    <t xml:space="preserve">zinhle              </t>
  </si>
  <si>
    <t xml:space="preserve">Nireshni            </t>
  </si>
  <si>
    <t xml:space="preserve">Trevor              </t>
  </si>
  <si>
    <t xml:space="preserve">nikesh              </t>
  </si>
  <si>
    <t xml:space="preserve">amon                </t>
  </si>
  <si>
    <t xml:space="preserve">suagna              </t>
  </si>
  <si>
    <t xml:space="preserve">khumbz              </t>
  </si>
  <si>
    <t xml:space="preserve">naches              </t>
  </si>
  <si>
    <t xml:space="preserve">bongi               </t>
  </si>
  <si>
    <t xml:space="preserve">michelle            </t>
  </si>
  <si>
    <t xml:space="preserve">navin               </t>
  </si>
  <si>
    <t xml:space="preserve">mpume               </t>
  </si>
  <si>
    <t xml:space="preserve">cooper              </t>
  </si>
  <si>
    <t xml:space="preserve">N HANA              </t>
  </si>
  <si>
    <t xml:space="preserve">cuper               </t>
  </si>
  <si>
    <t xml:space="preserve">filies              </t>
  </si>
  <si>
    <t xml:space="preserve">msa                 </t>
  </si>
  <si>
    <t xml:space="preserve">lucy                </t>
  </si>
  <si>
    <t xml:space="preserve">lefa                </t>
  </si>
  <si>
    <t xml:space="preserve">renato              </t>
  </si>
  <si>
    <t xml:space="preserve">BASSIE              </t>
  </si>
  <si>
    <t xml:space="preserve">nona                </t>
  </si>
  <si>
    <t xml:space="preserve">Hannelie            </t>
  </si>
  <si>
    <t xml:space="preserve">ZAKES               </t>
  </si>
  <si>
    <t xml:space="preserve">boebie              </t>
  </si>
  <si>
    <t xml:space="preserve">X JIBA              </t>
  </si>
  <si>
    <t xml:space="preserve">Beatrice            </t>
  </si>
  <si>
    <t>15::5</t>
  </si>
  <si>
    <t xml:space="preserve">althea              </t>
  </si>
  <si>
    <t xml:space="preserve">gova                </t>
  </si>
  <si>
    <t xml:space="preserve">GERRY               </t>
  </si>
  <si>
    <t xml:space="preserve">bongiswa            </t>
  </si>
  <si>
    <t xml:space="preserve">claude              </t>
  </si>
  <si>
    <t xml:space="preserve">S Erasmus           </t>
  </si>
  <si>
    <t xml:space="preserve">BEVERLEY            </t>
  </si>
  <si>
    <t xml:space="preserve">maria               </t>
  </si>
  <si>
    <t xml:space="preserve">meagan              </t>
  </si>
  <si>
    <t xml:space="preserve">marin               </t>
  </si>
  <si>
    <t xml:space="preserve">themba              </t>
  </si>
  <si>
    <t xml:space="preserve">zulaicha            </t>
  </si>
  <si>
    <t xml:space="preserve">marle               </t>
  </si>
  <si>
    <t xml:space="preserve">Keegan              </t>
  </si>
  <si>
    <t xml:space="preserve">Dollas              </t>
  </si>
  <si>
    <t xml:space="preserve">ERICH               </t>
  </si>
  <si>
    <t xml:space="preserve">ELRICH              </t>
  </si>
  <si>
    <t xml:space="preserve">Rico                </t>
  </si>
  <si>
    <t xml:space="preserve">anvo                </t>
  </si>
  <si>
    <t xml:space="preserve">ashwil              </t>
  </si>
  <si>
    <t xml:space="preserve">A daniels           </t>
  </si>
  <si>
    <t xml:space="preserve">busisiwe            </t>
  </si>
  <si>
    <t xml:space="preserve">Sandy               </t>
  </si>
  <si>
    <t xml:space="preserve">Rian                </t>
  </si>
  <si>
    <t xml:space="preserve">BINGO               </t>
  </si>
  <si>
    <t>MODERN PROCESSING EQ</t>
  </si>
  <si>
    <t>HIGH FORCE HYDRAULIC</t>
  </si>
  <si>
    <t>LABTECH AFRICA PTY L</t>
  </si>
  <si>
    <t>AUTO INDUSTRIAL MACH</t>
  </si>
  <si>
    <t xml:space="preserve">MINOVA              </t>
  </si>
  <si>
    <t>RCL FOODS SUGAR   MI</t>
  </si>
  <si>
    <t>MUDI APPLIEDTECHNOLO</t>
  </si>
  <si>
    <t xml:space="preserve">RHODES FOOD GROUP   </t>
  </si>
  <si>
    <t>ANALOG   DIGITAL POW</t>
  </si>
  <si>
    <t>04/06/2020</t>
  </si>
  <si>
    <t xml:space="preserve">graydon             </t>
  </si>
  <si>
    <t>STELLENBOSCH</t>
  </si>
  <si>
    <t xml:space="preserve">TF DESIGN (PTY) LTD </t>
  </si>
  <si>
    <t>SOUTHERN PULP MACHIN</t>
  </si>
  <si>
    <t xml:space="preserve">UNILEVER S A        </t>
  </si>
  <si>
    <t>AFGRI POULTRY (PTY)L</t>
  </si>
  <si>
    <t>INTAKA TECH (PTY)LTD</t>
  </si>
  <si>
    <t xml:space="preserve">CAVALETTO 98        </t>
  </si>
  <si>
    <t>PIONEER FOOD T A ESC</t>
  </si>
  <si>
    <t xml:space="preserve">AMARO FOODS         </t>
  </si>
  <si>
    <t>EMENEM INDUSTRIAL CC</t>
  </si>
  <si>
    <t xml:space="preserve">COCA - COLA FORTUNE </t>
  </si>
  <si>
    <t>CTP WEB PRINTERS JOH</t>
  </si>
  <si>
    <t>CSIR CENTRAL PROCURE</t>
  </si>
  <si>
    <t xml:space="preserve">S.A. MINT           </t>
  </si>
  <si>
    <t xml:space="preserve">AC PNEUMATICS       </t>
  </si>
  <si>
    <t xml:space="preserve">TOTAL MINING CC     </t>
  </si>
  <si>
    <t xml:space="preserve">FILKRAFT ( PTY) LTD </t>
  </si>
  <si>
    <t xml:space="preserve">Wernich             </t>
  </si>
  <si>
    <t xml:space="preserve">CONTROL NET         </t>
  </si>
  <si>
    <t xml:space="preserve">LEONARD DINGLER PTY </t>
  </si>
  <si>
    <t xml:space="preserve">AMKA PRODUCTS       </t>
  </si>
  <si>
    <t>ELEN ELECTRICAL ENCL</t>
  </si>
  <si>
    <t xml:space="preserve">B M S C ENGINEERING </t>
  </si>
  <si>
    <t>L OREAL MANUFACTURIN</t>
  </si>
  <si>
    <t xml:space="preserve">CAXTON WORKS        </t>
  </si>
  <si>
    <t xml:space="preserve">Arthur              </t>
  </si>
  <si>
    <t>SUNNY PACKS MANUFACT</t>
  </si>
  <si>
    <t>GRAHAMSTOWN</t>
  </si>
  <si>
    <t>GRAHAMSTOWN BRICK PT</t>
  </si>
  <si>
    <t>TONGAAT HULLET STARC</t>
  </si>
  <si>
    <t>CULINARY A DIV OF TI</t>
  </si>
  <si>
    <t xml:space="preserve">SCAW SA             </t>
  </si>
  <si>
    <t xml:space="preserve">FV PACKING SYSTEM   </t>
  </si>
  <si>
    <t>PROCESS DYNAMICS PTY</t>
  </si>
  <si>
    <t xml:space="preserve">BMG EAST LONDON     </t>
  </si>
  <si>
    <t>EAST COAST INSTRUMEN</t>
  </si>
  <si>
    <t>KARMA INSTRUMENTATIO</t>
  </si>
  <si>
    <t>LADYSMITH TRADING CO</t>
  </si>
  <si>
    <t>PRESSURE DIE CASTING</t>
  </si>
  <si>
    <t>FAMOUS BRANDS MANAGE</t>
  </si>
  <si>
    <t>ACCUTECH WEIGHING SE</t>
  </si>
  <si>
    <t xml:space="preserve">CAPITAL MAITANACE   </t>
  </si>
  <si>
    <t>MICROMATH TRADING 16</t>
  </si>
  <si>
    <t xml:space="preserve">PARMALAT (PTY) LTD  </t>
  </si>
  <si>
    <t>FOXOLUTION SYSTEMS E</t>
  </si>
  <si>
    <t>ELECTRO MECH SERVICE</t>
  </si>
  <si>
    <t xml:space="preserve">BISCOPLUS P[TY LTD  </t>
  </si>
  <si>
    <t>OPEN DOOR TRADERS CC</t>
  </si>
  <si>
    <t xml:space="preserve">HYDRAQUIP           </t>
  </si>
  <si>
    <t xml:space="preserve">MECHANICAL CONCEPTS </t>
  </si>
  <si>
    <t xml:space="preserve">TECTRA AUTOMATION   </t>
  </si>
  <si>
    <t xml:space="preserve">Abram               </t>
  </si>
  <si>
    <t xml:space="preserve">SHIELD CHEMICALS    </t>
  </si>
  <si>
    <t>CIRCUIT BREAKER INDU</t>
  </si>
  <si>
    <t xml:space="preserve">BRANDLINE PACKAGING </t>
  </si>
  <si>
    <t>LINDE + WIEMANN (PTY</t>
  </si>
  <si>
    <t xml:space="preserve">SMITHS PLASTICS PTY </t>
  </si>
  <si>
    <t xml:space="preserve">CAST CO             </t>
  </si>
  <si>
    <t>MAHLE BEHR SOUTH AFR</t>
  </si>
  <si>
    <t xml:space="preserve">TIGER BRANDS SNACKS </t>
  </si>
  <si>
    <t>BBF SAFETY GROUP PTY</t>
  </si>
  <si>
    <t xml:space="preserve">MEXAN PRODUCTS      </t>
  </si>
  <si>
    <t>FOXOLUTION SYSTEM EN</t>
  </si>
  <si>
    <t xml:space="preserve">PLEXIPHON 190 CC    </t>
  </si>
  <si>
    <t xml:space="preserve">Wesly               </t>
  </si>
  <si>
    <t>VOLKSWAGEN OF SA (VC</t>
  </si>
  <si>
    <t xml:space="preserve">DKT   PARTNERS      </t>
  </si>
  <si>
    <t xml:space="preserve">BLENDCOR (PTY) LTD  </t>
  </si>
  <si>
    <t xml:space="preserve">LEAR ELECTRICAL     </t>
  </si>
  <si>
    <t>SABASTIAN ELECTRICAL</t>
  </si>
  <si>
    <t>M   C BEARING   TRAN</t>
  </si>
  <si>
    <t>MATO PRODUCTS PTY LT</t>
  </si>
  <si>
    <t>FAURECIA EMISSIONS C</t>
  </si>
  <si>
    <t>CONSOL GLASS (PTY) L</t>
  </si>
  <si>
    <t>SUNNY MACHINES MANUF</t>
  </si>
  <si>
    <t xml:space="preserve">PNEUMATIC AID       </t>
  </si>
  <si>
    <t xml:space="preserve">APPROPRIATE PROCESS </t>
  </si>
  <si>
    <t xml:space="preserve">USS PACTECH PTY LTD </t>
  </si>
  <si>
    <t>WIKA INSTRUMENTS (PT</t>
  </si>
  <si>
    <t xml:space="preserve">AFRISAM SA          </t>
  </si>
  <si>
    <t xml:space="preserve">AQUAPLAN CC         </t>
  </si>
  <si>
    <t>HOSPI STERILIZER PTY</t>
  </si>
  <si>
    <t xml:space="preserve">OUT LINE                </t>
  </si>
  <si>
    <t>Vehicle breakdown</t>
  </si>
  <si>
    <t>vukile</t>
  </si>
  <si>
    <t>leon</t>
  </si>
  <si>
    <t xml:space="preserve"> enock</t>
  </si>
  <si>
    <t>PRECIOUS</t>
  </si>
  <si>
    <t xml:space="preserve"> DEAN</t>
  </si>
  <si>
    <t>GRW ENGINERING</t>
  </si>
  <si>
    <t>RCL FOODS CONSUMER PTY</t>
  </si>
  <si>
    <t>ANDRIES</t>
  </si>
  <si>
    <t xml:space="preserve"> JACO</t>
  </si>
  <si>
    <t>sibusiso</t>
  </si>
  <si>
    <t>MARIUS</t>
  </si>
  <si>
    <t xml:space="preserve"> m naidoo</t>
  </si>
  <si>
    <t>m naidoo</t>
  </si>
  <si>
    <t>SIGNATURE</t>
  </si>
  <si>
    <t xml:space="preserve">julie               </t>
  </si>
  <si>
    <t xml:space="preserve">simphiwe            </t>
  </si>
  <si>
    <t xml:space="preserve">jason               </t>
  </si>
  <si>
    <t xml:space="preserve">shylen              </t>
  </si>
  <si>
    <t xml:space="preserve">MICHAEL             </t>
  </si>
  <si>
    <t xml:space="preserve">K PAUL              </t>
  </si>
  <si>
    <t>05/06/2020</t>
  </si>
  <si>
    <t xml:space="preserve">delvin              </t>
  </si>
  <si>
    <t xml:space="preserve">kabelo              </t>
  </si>
  <si>
    <t xml:space="preserve">gorek               </t>
  </si>
  <si>
    <t xml:space="preserve">JOHANNA             </t>
  </si>
  <si>
    <t xml:space="preserve">CRAIG               </t>
  </si>
  <si>
    <t xml:space="preserve">Tracey              </t>
  </si>
  <si>
    <t xml:space="preserve">Moses               </t>
  </si>
  <si>
    <t xml:space="preserve">nkululeko           </t>
  </si>
  <si>
    <t xml:space="preserve">JEFRREY             </t>
  </si>
  <si>
    <t xml:space="preserve">clinton             </t>
  </si>
  <si>
    <t xml:space="preserve">Gerry               </t>
  </si>
  <si>
    <t xml:space="preserve">C Taybi             </t>
  </si>
  <si>
    <t xml:space="preserve">Pule                </t>
  </si>
  <si>
    <t xml:space="preserve">thome               </t>
  </si>
  <si>
    <t xml:space="preserve">asewahle            </t>
  </si>
  <si>
    <t xml:space="preserve">Piet                </t>
  </si>
  <si>
    <t xml:space="preserve">Denver              </t>
  </si>
  <si>
    <t xml:space="preserve">Goodwell            </t>
  </si>
  <si>
    <t xml:space="preserve">marium              </t>
  </si>
  <si>
    <t xml:space="preserve">phila               </t>
  </si>
  <si>
    <t xml:space="preserve">tafadzwa            </t>
  </si>
  <si>
    <t xml:space="preserve">D J LA GRAIG        </t>
  </si>
  <si>
    <t xml:space="preserve">Vitus               </t>
  </si>
  <si>
    <t xml:space="preserve">justice             </t>
  </si>
  <si>
    <t xml:space="preserve">MAMA                </t>
  </si>
  <si>
    <t xml:space="preserve">CISKA               </t>
  </si>
  <si>
    <t xml:space="preserve">JEFFREY             </t>
  </si>
  <si>
    <t xml:space="preserve">keagan              </t>
  </si>
  <si>
    <t xml:space="preserve">JANINE              </t>
  </si>
  <si>
    <t xml:space="preserve">renate              </t>
  </si>
  <si>
    <t xml:space="preserve">nickey              </t>
  </si>
  <si>
    <t xml:space="preserve">AUBREY              </t>
  </si>
  <si>
    <t xml:space="preserve">george              </t>
  </si>
  <si>
    <t xml:space="preserve">Cara                </t>
  </si>
  <si>
    <t xml:space="preserve">sheldon             </t>
  </si>
  <si>
    <t xml:space="preserve">ethienne            </t>
  </si>
  <si>
    <t xml:space="preserve">Dipuo               </t>
  </si>
  <si>
    <t xml:space="preserve">gwen                </t>
  </si>
  <si>
    <t xml:space="preserve">s moodley           </t>
  </si>
  <si>
    <t xml:space="preserve">Vusi                </t>
  </si>
  <si>
    <t xml:space="preserve">Pauline             </t>
  </si>
  <si>
    <t xml:space="preserve">CLAIRE              </t>
  </si>
  <si>
    <t xml:space="preserve">REVISHKA            </t>
  </si>
  <si>
    <t xml:space="preserve">silence             </t>
  </si>
  <si>
    <t xml:space="preserve">sam williams        </t>
  </si>
  <si>
    <t xml:space="preserve">PERCY               </t>
  </si>
  <si>
    <t xml:space="preserve">BENJAMIN            </t>
  </si>
  <si>
    <t xml:space="preserve">CARY                </t>
  </si>
  <si>
    <t xml:space="preserve">Leo                 </t>
  </si>
  <si>
    <t xml:space="preserve">bryan               </t>
  </si>
  <si>
    <t xml:space="preserve">AYESHA RAHMAN       </t>
  </si>
  <si>
    <t xml:space="preserve">rene                </t>
  </si>
  <si>
    <t xml:space="preserve">theo                </t>
  </si>
  <si>
    <t xml:space="preserve">Zoliswa             </t>
  </si>
  <si>
    <t xml:space="preserve">Zahid               </t>
  </si>
  <si>
    <t xml:space="preserve">quinton             </t>
  </si>
  <si>
    <t xml:space="preserve">nelly               </t>
  </si>
  <si>
    <t xml:space="preserve">Leonie              </t>
  </si>
  <si>
    <t xml:space="preserve">Phello              </t>
  </si>
  <si>
    <t xml:space="preserve">FESTO ISANDO        </t>
  </si>
  <si>
    <t xml:space="preserve">magda               </t>
  </si>
  <si>
    <t xml:space="preserve">VUYO                </t>
  </si>
  <si>
    <t xml:space="preserve">malane              </t>
  </si>
  <si>
    <t xml:space="preserve">charity             </t>
  </si>
  <si>
    <t xml:space="preserve">justine             </t>
  </si>
  <si>
    <t xml:space="preserve">Thabo               </t>
  </si>
  <si>
    <t xml:space="preserve">ONEMEMBA            </t>
  </si>
  <si>
    <t xml:space="preserve">Selby               </t>
  </si>
  <si>
    <t xml:space="preserve">nick                </t>
  </si>
  <si>
    <t xml:space="preserve">Andile              </t>
  </si>
  <si>
    <t xml:space="preserve">kreolin             </t>
  </si>
  <si>
    <t xml:space="preserve">Sybil               </t>
  </si>
  <si>
    <t xml:space="preserve">shiloe              </t>
  </si>
  <si>
    <t xml:space="preserve">Llovellyn           </t>
  </si>
  <si>
    <t xml:space="preserve">helen               </t>
  </si>
  <si>
    <t xml:space="preserve">bhekumuzi           </t>
  </si>
  <si>
    <t xml:space="preserve">clint               </t>
  </si>
  <si>
    <t xml:space="preserve">danny               </t>
  </si>
  <si>
    <t xml:space="preserve">john                </t>
  </si>
  <si>
    <t xml:space="preserve">SIGNATUER           </t>
  </si>
  <si>
    <t xml:space="preserve">priscilla           </t>
  </si>
  <si>
    <t xml:space="preserve">bait                </t>
  </si>
  <si>
    <t xml:space="preserve">muriel              </t>
  </si>
  <si>
    <t xml:space="preserve">Dan                 </t>
  </si>
  <si>
    <t xml:space="preserve">varetia             </t>
  </si>
  <si>
    <t xml:space="preserve">tembeka             </t>
  </si>
  <si>
    <t xml:space="preserve">SIPHELELE           </t>
  </si>
  <si>
    <t xml:space="preserve">NICO                </t>
  </si>
  <si>
    <t xml:space="preserve">connie              </t>
  </si>
  <si>
    <t xml:space="preserve">Audrey              </t>
  </si>
  <si>
    <t xml:space="preserve">MARK                </t>
  </si>
  <si>
    <t xml:space="preserve">SIFISO              </t>
  </si>
  <si>
    <t xml:space="preserve">tshediso            </t>
  </si>
  <si>
    <t xml:space="preserve">Sam                 </t>
  </si>
  <si>
    <t xml:space="preserve">Ronaldo             </t>
  </si>
  <si>
    <t xml:space="preserve">TREVOR              </t>
  </si>
  <si>
    <t xml:space="preserve">Connie              </t>
  </si>
  <si>
    <t xml:space="preserve">MICHELLE            </t>
  </si>
  <si>
    <t xml:space="preserve">AMS SUPERIOR        </t>
  </si>
  <si>
    <t>BARNES REINFORCING I</t>
  </si>
  <si>
    <t>SHATTERPRUFE TRADING</t>
  </si>
  <si>
    <t xml:space="preserve">Dylan               </t>
  </si>
  <si>
    <t>TSITSIKAMMA</t>
  </si>
  <si>
    <t xml:space="preserve">TSITSIKAMMA CRYSTAL </t>
  </si>
  <si>
    <t>GONUBIE</t>
  </si>
  <si>
    <t xml:space="preserve">TITUS CONSULTING Cc </t>
  </si>
  <si>
    <t xml:space="preserve">FESTO               </t>
  </si>
  <si>
    <t xml:space="preserve">WNA ENGINEERING CC  </t>
  </si>
  <si>
    <t xml:space="preserve">zito                </t>
  </si>
  <si>
    <t>HYDRAULIC COMPONENTS</t>
  </si>
  <si>
    <t xml:space="preserve">MECHATRONICS        </t>
  </si>
  <si>
    <t xml:space="preserve">FORD MOTORING CO OF </t>
  </si>
  <si>
    <t xml:space="preserve">ROCKTREES ELECTRIC  </t>
  </si>
  <si>
    <t>WIT</t>
  </si>
  <si>
    <t>AMSTERDAM</t>
  </si>
  <si>
    <t xml:space="preserve">AGM 2 TRUST         </t>
  </si>
  <si>
    <t>VANNPAX PACKAGING SU</t>
  </si>
  <si>
    <t>CSM BEARING   PNUEMA</t>
  </si>
  <si>
    <t xml:space="preserve">BENTELER AUTOMOTIVE </t>
  </si>
  <si>
    <t xml:space="preserve">m dalukar           </t>
  </si>
  <si>
    <t>PATERSON HUGHES ENGI</t>
  </si>
  <si>
    <t>ELECTROSALES ELECTRI</t>
  </si>
  <si>
    <t>NOVUS PRINT (PTY) LT</t>
  </si>
  <si>
    <t>CDP MANUFACTURING CC</t>
  </si>
  <si>
    <t>OEM SUPPORT SOLUTION</t>
  </si>
  <si>
    <t xml:space="preserve">NATIONAL BRANDS BIS </t>
  </si>
  <si>
    <t xml:space="preserve">m dalukka           </t>
  </si>
  <si>
    <t>MARTIN   MARTIN (PTY</t>
  </si>
  <si>
    <t xml:space="preserve">gqolana             </t>
  </si>
  <si>
    <t xml:space="preserve">CITRASHINE          </t>
  </si>
  <si>
    <t xml:space="preserve">nomvuzo             </t>
  </si>
  <si>
    <t xml:space="preserve">Ruaan               </t>
  </si>
  <si>
    <t>BEARINGS DISTRIBUTOR</t>
  </si>
  <si>
    <t>COLGATE PALMOLIVE LT</t>
  </si>
  <si>
    <t>ATC INNOVATION (PTY)</t>
  </si>
  <si>
    <t xml:space="preserve">BLANES INSTRUMENTS  </t>
  </si>
  <si>
    <t>NELSON MANDELA METRO</t>
  </si>
  <si>
    <t>KANSAI PLASCON KRUGE</t>
  </si>
  <si>
    <t xml:space="preserve">RE SEND PARCEL </t>
  </si>
  <si>
    <t>GIRLOCK S.A (PTY)LTD</t>
  </si>
  <si>
    <t xml:space="preserve">Riaan               </t>
  </si>
  <si>
    <t>MITTAL STEEL SOUTH A</t>
  </si>
  <si>
    <t>EAST RAND PLASTIC (P</t>
  </si>
  <si>
    <t xml:space="preserve">HENDLER   HART      </t>
  </si>
  <si>
    <t>ELECTRO TECHNICAL AG</t>
  </si>
  <si>
    <t>TIGER BRANDS CHOCOLA</t>
  </si>
  <si>
    <t>ALBANY BAKERIES A DI</t>
  </si>
  <si>
    <t xml:space="preserve">ILLOVO SUGAR        </t>
  </si>
  <si>
    <t>J.J PRECISION PLASTI</t>
  </si>
  <si>
    <t xml:space="preserve">PEDDLE INDUSTRIAL   </t>
  </si>
  <si>
    <t xml:space="preserve">CONSUPAQ (PTY) LTD  </t>
  </si>
  <si>
    <t>BAGTECH INTERNATIONA</t>
  </si>
  <si>
    <t xml:space="preserve">ZOOMARATI           </t>
  </si>
  <si>
    <t xml:space="preserve">japie               </t>
  </si>
  <si>
    <t xml:space="preserve">UMOYA AUTOMATION CC </t>
  </si>
  <si>
    <t>H.G MOLENAAR (PTY)LT</t>
  </si>
  <si>
    <t xml:space="preserve">moses               </t>
  </si>
  <si>
    <t xml:space="preserve">POWER TEAM SA (PTY) </t>
  </si>
  <si>
    <t>MITAS CORPORATION (P</t>
  </si>
  <si>
    <t xml:space="preserve">RAGON INDUSTRIES    </t>
  </si>
  <si>
    <t xml:space="preserve">fanti               </t>
  </si>
  <si>
    <t xml:space="preserve"> Company Closed</t>
  </si>
  <si>
    <t>Late Linehaul Delayed Beyond Skynet Contro</t>
  </si>
  <si>
    <t>Late Linehaul Delayed Beyond Skynet Control</t>
  </si>
  <si>
    <t>SBONELO</t>
  </si>
  <si>
    <t>: NIREN</t>
  </si>
  <si>
    <t xml:space="preserve"> Fatima</t>
  </si>
  <si>
    <t xml:space="preserve"> Eloise</t>
  </si>
  <si>
    <t>CHANTEL</t>
  </si>
  <si>
    <t>NOTHILE</t>
  </si>
  <si>
    <t>Consignee not available</t>
  </si>
  <si>
    <t>ELOISE</t>
  </si>
  <si>
    <t>ILLEG</t>
  </si>
  <si>
    <t xml:space="preserve"> JOCINDA</t>
  </si>
  <si>
    <t xml:space="preserve"> Late Linehaul Delayed Beyond Skynet Control</t>
  </si>
  <si>
    <t>Romano</t>
  </si>
  <si>
    <t xml:space="preserve"> d bosol</t>
  </si>
  <si>
    <t>Zoe 04 06 2020</t>
  </si>
  <si>
    <t>BMI COVERLAND PTY LT</t>
  </si>
  <si>
    <t>BRITS</t>
  </si>
  <si>
    <t>06/06/2020</t>
  </si>
  <si>
    <t xml:space="preserve">Bakker              </t>
  </si>
  <si>
    <t>08/06/2020</t>
  </si>
  <si>
    <t xml:space="preserve">REGRADE MASTERS     </t>
  </si>
  <si>
    <t>TRUDA SNACKS CAPE CC</t>
  </si>
  <si>
    <t xml:space="preserve">ALUVIN SECURISEAL   </t>
  </si>
  <si>
    <t xml:space="preserve">SAPPI SA LTD        </t>
  </si>
  <si>
    <t>UMKOMAAS</t>
  </si>
  <si>
    <t>TIGER CONSUMER BRAND</t>
  </si>
  <si>
    <t xml:space="preserve">CLIFFORD MACHINES   </t>
  </si>
  <si>
    <t>HYDROMATIC ENTERPRIS</t>
  </si>
  <si>
    <t>PORT SHEPSTONE</t>
  </si>
  <si>
    <t xml:space="preserve">NATIONAL BRAND      </t>
  </si>
  <si>
    <t xml:space="preserve">MAVTECH             </t>
  </si>
  <si>
    <t>CYCLONE INDUSTRIES P</t>
  </si>
  <si>
    <t xml:space="preserve">J MARK ENGINEERING  </t>
  </si>
  <si>
    <t>SIQALO FOODS (PTY)LT</t>
  </si>
  <si>
    <t xml:space="preserve">Allen               </t>
  </si>
  <si>
    <t xml:space="preserve">PROPANELS PTY LTD   </t>
  </si>
  <si>
    <t>COLLABORATIVE PACKIN</t>
  </si>
  <si>
    <t>GENERAL PNEUMATICS N</t>
  </si>
  <si>
    <t xml:space="preserve">TM ENGINEERING      </t>
  </si>
  <si>
    <t xml:space="preserve">MARCE FIRE FIGHTING </t>
  </si>
  <si>
    <t xml:space="preserve">TS ENGINEERING      </t>
  </si>
  <si>
    <t>PRO PROJECT MACHINER</t>
  </si>
  <si>
    <t xml:space="preserve">QUALIPAK (PTY) LTD  </t>
  </si>
  <si>
    <t>DUNLOP INDUSTRIAL PR</t>
  </si>
  <si>
    <t>HOWICK</t>
  </si>
  <si>
    <t>HOLD FOR COLLEC</t>
  </si>
  <si>
    <t xml:space="preserve">SKYNET WORLWIDE EXP </t>
  </si>
  <si>
    <t>ON1 - SAT</t>
  </si>
  <si>
    <t xml:space="preserve">TRUDA SNACKS        </t>
  </si>
  <si>
    <t>PLS SATURDAY DE</t>
  </si>
  <si>
    <t xml:space="preserve">Mandla              </t>
  </si>
  <si>
    <t>SELONA INTERNATIONAL</t>
  </si>
  <si>
    <t xml:space="preserve">CLOVER SA (PTY)LTD  </t>
  </si>
  <si>
    <t xml:space="preserve">kaylene             </t>
  </si>
  <si>
    <t>H.W.S INDUSTRIES (PT</t>
  </si>
  <si>
    <t xml:space="preserve">TILE MAGIC CC       </t>
  </si>
  <si>
    <t xml:space="preserve">Engela              </t>
  </si>
  <si>
    <t>RANBAXY PHARMACEUTIC</t>
  </si>
  <si>
    <t xml:space="preserve">HOT PLATINUM        </t>
  </si>
  <si>
    <t xml:space="preserve">MARCOM PLASTICS CC  </t>
  </si>
  <si>
    <t>KAYTAR VALVES (PTY)L</t>
  </si>
  <si>
    <t xml:space="preserve">HARVARD PROJECT     </t>
  </si>
  <si>
    <t>MACSTEEL FLUID CONTR</t>
  </si>
  <si>
    <t>RICHARDS BAY</t>
  </si>
  <si>
    <t>RCB</t>
  </si>
  <si>
    <t xml:space="preserve">ALBANY BAKERIES     </t>
  </si>
  <si>
    <t xml:space="preserve">THE SIMBA GROUP     </t>
  </si>
  <si>
    <t xml:space="preserve">K Conradie          </t>
  </si>
  <si>
    <t xml:space="preserve">M Barnes            </t>
  </si>
  <si>
    <t xml:space="preserve">BME PACKAGING CC    </t>
  </si>
  <si>
    <t xml:space="preserve">SYSTEM DYNAMICS     </t>
  </si>
  <si>
    <t xml:space="preserve">Nico                </t>
  </si>
  <si>
    <t>PROGETTO INTERNATION</t>
  </si>
  <si>
    <t xml:space="preserve">BUILD IT BETLHEHEM  </t>
  </si>
  <si>
    <t>BETHLEHEM</t>
  </si>
  <si>
    <t xml:space="preserve">AUTOLIV SA          </t>
  </si>
  <si>
    <t xml:space="preserve">NEVILLE CAMAY CC    </t>
  </si>
  <si>
    <t>MACSTEEL COIL PROCES</t>
  </si>
  <si>
    <t xml:space="preserve">NEOPAK PTY LTD      </t>
  </si>
  <si>
    <t xml:space="preserve">CHE-RON             </t>
  </si>
  <si>
    <t xml:space="preserve">KANYANE             </t>
  </si>
  <si>
    <t xml:space="preserve">H C GEYSER          </t>
  </si>
  <si>
    <t xml:space="preserve">Fiona               </t>
  </si>
  <si>
    <t xml:space="preserve">MOSES               </t>
  </si>
  <si>
    <t xml:space="preserve">JULINE              </t>
  </si>
  <si>
    <t xml:space="preserve">bernie              </t>
  </si>
  <si>
    <t xml:space="preserve">Mokhethi            </t>
  </si>
  <si>
    <t xml:space="preserve">randall             </t>
  </si>
  <si>
    <t xml:space="preserve">a nephew            </t>
  </si>
  <si>
    <t xml:space="preserve">JYSON               </t>
  </si>
  <si>
    <t xml:space="preserve">jarred              </t>
  </si>
  <si>
    <t xml:space="preserve">CAYLIN              </t>
  </si>
  <si>
    <t xml:space="preserve">sandy               </t>
  </si>
  <si>
    <t xml:space="preserve">standiwe            </t>
  </si>
  <si>
    <t xml:space="preserve">jovol               </t>
  </si>
  <si>
    <t xml:space="preserve">THULANI             </t>
  </si>
  <si>
    <t xml:space="preserve">Emmanuel            </t>
  </si>
  <si>
    <t xml:space="preserve">JULIUS              </t>
  </si>
  <si>
    <t xml:space="preserve">KABELO              </t>
  </si>
  <si>
    <t xml:space="preserve">zelda               </t>
  </si>
  <si>
    <t xml:space="preserve">Frieda              </t>
  </si>
  <si>
    <t xml:space="preserve">Fatima              </t>
  </si>
  <si>
    <t xml:space="preserve">SELBY               </t>
  </si>
  <si>
    <t xml:space="preserve">M CARBETH           </t>
  </si>
  <si>
    <t xml:space="preserve">thuli               </t>
  </si>
  <si>
    <t xml:space="preserve">HANS                </t>
  </si>
  <si>
    <t xml:space="preserve">nally               </t>
  </si>
  <si>
    <t xml:space="preserve">JOSHUA              </t>
  </si>
  <si>
    <t xml:space="preserve">A Slabber           </t>
  </si>
  <si>
    <t xml:space="preserve">JASON               </t>
  </si>
  <si>
    <t xml:space="preserve">christa             </t>
  </si>
  <si>
    <t xml:space="preserve">siziwe              </t>
  </si>
  <si>
    <t>16::4</t>
  </si>
  <si>
    <t xml:space="preserve">MOKHETHI            </t>
  </si>
  <si>
    <t xml:space="preserve">irvin               </t>
  </si>
  <si>
    <t xml:space="preserve">Sabelo              </t>
  </si>
  <si>
    <t xml:space="preserve">surprise            </t>
  </si>
  <si>
    <t xml:space="preserve">Charles             </t>
  </si>
  <si>
    <t xml:space="preserve">Billy               </t>
  </si>
  <si>
    <t xml:space="preserve">A SLABBERT          </t>
  </si>
  <si>
    <t xml:space="preserve">Danny               </t>
  </si>
  <si>
    <t xml:space="preserve">Cheslin             </t>
  </si>
  <si>
    <t xml:space="preserve">Christiaan          </t>
  </si>
  <si>
    <t xml:space="preserve">Alfred              </t>
  </si>
  <si>
    <t xml:space="preserve">legne               </t>
  </si>
  <si>
    <t xml:space="preserve">R Steynberg         </t>
  </si>
  <si>
    <t xml:space="preserve">andy                </t>
  </si>
  <si>
    <t xml:space="preserve">noni                </t>
  </si>
  <si>
    <t xml:space="preserve">PETRUS              </t>
  </si>
  <si>
    <t xml:space="preserve">GARY                </t>
  </si>
  <si>
    <t xml:space="preserve">Yvonne              </t>
  </si>
  <si>
    <t xml:space="preserve">jeff                </t>
  </si>
  <si>
    <t xml:space="preserve">TARYN               </t>
  </si>
  <si>
    <t xml:space="preserve">akhon               </t>
  </si>
  <si>
    <t xml:space="preserve">KOBIE               </t>
  </si>
  <si>
    <t>kresha</t>
  </si>
  <si>
    <t>christina</t>
  </si>
  <si>
    <t>DEVASH</t>
  </si>
  <si>
    <t>reagan</t>
  </si>
  <si>
    <t>Company Closed</t>
  </si>
  <si>
    <t>CHRISTO</t>
  </si>
  <si>
    <t>danny</t>
  </si>
  <si>
    <t>Company closed</t>
  </si>
  <si>
    <t xml:space="preserve">eleaner             </t>
  </si>
  <si>
    <t xml:space="preserve">CHANTEL             </t>
  </si>
  <si>
    <t xml:space="preserve">S khumalo           </t>
  </si>
  <si>
    <t xml:space="preserve">R Burger            </t>
  </si>
  <si>
    <t xml:space="preserve">TIMOTHY             </t>
  </si>
  <si>
    <t xml:space="preserve">walter              </t>
  </si>
  <si>
    <t xml:space="preserve">alicia              </t>
  </si>
  <si>
    <t xml:space="preserve">rv nzama            </t>
  </si>
  <si>
    <t xml:space="preserve">PRISCILLA           </t>
  </si>
  <si>
    <t xml:space="preserve">DAVID               </t>
  </si>
  <si>
    <t xml:space="preserve">VEENA               </t>
  </si>
  <si>
    <t xml:space="preserve">thabo               </t>
  </si>
  <si>
    <t xml:space="preserve">Jarrad              </t>
  </si>
  <si>
    <t xml:space="preserve">M NAIDOO            </t>
  </si>
  <si>
    <t xml:space="preserve">Douglas             </t>
  </si>
  <si>
    <t xml:space="preserve">andries             </t>
  </si>
  <si>
    <t xml:space="preserve">joel                </t>
  </si>
  <si>
    <t xml:space="preserve">S Kruger            </t>
  </si>
  <si>
    <t xml:space="preserve">ARNOLD              </t>
  </si>
  <si>
    <t xml:space="preserve">ANDRIES             </t>
  </si>
  <si>
    <t xml:space="preserve">Respect             </t>
  </si>
  <si>
    <t xml:space="preserve">F RAS               </t>
  </si>
  <si>
    <t xml:space="preserve">myber               </t>
  </si>
  <si>
    <t xml:space="preserve">Vishnu              </t>
  </si>
  <si>
    <t xml:space="preserve">P HOLE              </t>
  </si>
  <si>
    <t xml:space="preserve">noma                </t>
  </si>
  <si>
    <t xml:space="preserve">Nelson              </t>
  </si>
  <si>
    <t xml:space="preserve">bathobile           </t>
  </si>
  <si>
    <t xml:space="preserve">NIKESH              </t>
  </si>
  <si>
    <t xml:space="preserve">NIVESH              </t>
  </si>
  <si>
    <t xml:space="preserve">ROSHNI              </t>
  </si>
  <si>
    <t xml:space="preserve">WADISHA             </t>
  </si>
  <si>
    <t xml:space="preserve">NATISH              </t>
  </si>
  <si>
    <t xml:space="preserve">andrias             </t>
  </si>
  <si>
    <t xml:space="preserve">RUDI                </t>
  </si>
  <si>
    <t xml:space="preserve">kresha              </t>
  </si>
  <si>
    <t xml:space="preserve">tebolo              </t>
  </si>
  <si>
    <t xml:space="preserve">AMANDA              </t>
  </si>
  <si>
    <t xml:space="preserve">PeTrus              </t>
  </si>
  <si>
    <t xml:space="preserve">peTrus              </t>
  </si>
  <si>
    <t xml:space="preserve">CHEDZA              </t>
  </si>
  <si>
    <t xml:space="preserve">NADISHA             </t>
  </si>
  <si>
    <t xml:space="preserve">sifisi              </t>
  </si>
  <si>
    <t xml:space="preserve">NICHOLAS            </t>
  </si>
  <si>
    <t xml:space="preserve">Fraser              </t>
  </si>
  <si>
    <t xml:space="preserve">buyiswa             </t>
  </si>
  <si>
    <t>09/06/2020</t>
  </si>
  <si>
    <t xml:space="preserve">B Burger            </t>
  </si>
  <si>
    <t xml:space="preserve">kk kk               </t>
  </si>
  <si>
    <t xml:space="preserve">britney             </t>
  </si>
  <si>
    <t xml:space="preserve">VUKILE              </t>
  </si>
  <si>
    <t xml:space="preserve">bongani             </t>
  </si>
  <si>
    <t xml:space="preserve">sithole             </t>
  </si>
  <si>
    <t xml:space="preserve">NANDIPHA            </t>
  </si>
  <si>
    <t xml:space="preserve">Jaycee              </t>
  </si>
  <si>
    <t xml:space="preserve">emiley              </t>
  </si>
  <si>
    <t xml:space="preserve">Neo                 </t>
  </si>
  <si>
    <t xml:space="preserve">SIFISO  N           </t>
  </si>
  <si>
    <t xml:space="preserve">Deon                </t>
  </si>
  <si>
    <t xml:space="preserve">courth              </t>
  </si>
  <si>
    <t xml:space="preserve">RABI                </t>
  </si>
  <si>
    <t xml:space="preserve">eric                </t>
  </si>
  <si>
    <t xml:space="preserve">JANINE REYNEKE      </t>
  </si>
  <si>
    <t xml:space="preserve">Jorrie              </t>
  </si>
  <si>
    <t xml:space="preserve">simon               </t>
  </si>
  <si>
    <t xml:space="preserve">chris      Nel      </t>
  </si>
  <si>
    <t>0017063719 G.U.D Hol</t>
  </si>
  <si>
    <t xml:space="preserve">RCL FOODS CONSUMER  </t>
  </si>
  <si>
    <t>ELIQHAKAZILE ENGINEE</t>
  </si>
  <si>
    <t>FRESENIUS KABI MANUF</t>
  </si>
  <si>
    <t xml:space="preserve">merlin              </t>
  </si>
  <si>
    <t xml:space="preserve">KELLOGGS CO OF SA   </t>
  </si>
  <si>
    <t xml:space="preserve">Maxwell             </t>
  </si>
  <si>
    <t xml:space="preserve">TECHNOVAA PACKAGING </t>
  </si>
  <si>
    <t xml:space="preserve">TIGER BRANDS        </t>
  </si>
  <si>
    <t xml:space="preserve">FESTO CPT           </t>
  </si>
  <si>
    <t xml:space="preserve">Peter               </t>
  </si>
  <si>
    <t xml:space="preserve">MARLEY SA PTY LTD   </t>
  </si>
  <si>
    <t xml:space="preserve">BENTELER SA         </t>
  </si>
  <si>
    <t>HERMES  CONE $ SNACK</t>
  </si>
  <si>
    <t>COCA -COLA BEVERAGES</t>
  </si>
  <si>
    <t>SOLID - LIQUID SEPAR</t>
  </si>
  <si>
    <t>PRIDE MILLING CO PTY</t>
  </si>
  <si>
    <t>THOHOYANDOU</t>
  </si>
  <si>
    <t>WEIR MINERALS AFRICA</t>
  </si>
  <si>
    <t xml:space="preserve">ZIBO CONTANINERS    </t>
  </si>
  <si>
    <t>GRINDING MEDIA SOUTH</t>
  </si>
  <si>
    <t xml:space="preserve">BEVCAN              </t>
  </si>
  <si>
    <t xml:space="preserve">WISID SOURCING      </t>
  </si>
  <si>
    <t xml:space="preserve">TELPLAST PTY LTD    </t>
  </si>
  <si>
    <t xml:space="preserve">Daba                </t>
  </si>
  <si>
    <t xml:space="preserve">Bernarn             </t>
  </si>
  <si>
    <t>ICEBA VINCO (PTY)LTD</t>
  </si>
  <si>
    <t xml:space="preserve">FAIRFIELD DAIRY PTY </t>
  </si>
  <si>
    <t>ILLOVO SUGAR LTD-EST</t>
  </si>
  <si>
    <t xml:space="preserve">FAR ENGINEERING     </t>
  </si>
  <si>
    <t xml:space="preserve">DISTELL (PTY) LTD   </t>
  </si>
  <si>
    <t xml:space="preserve">CEREBOS LTD         </t>
  </si>
  <si>
    <t>KINGWILLIAMSTOWN</t>
  </si>
  <si>
    <t xml:space="preserve">KELP PRODUCTS (PTY) </t>
  </si>
  <si>
    <t xml:space="preserve">B Bryant            </t>
  </si>
  <si>
    <t xml:space="preserve">NESTLE SOUTH AFRICA </t>
  </si>
  <si>
    <t>CHILL BEVERAGES INTE</t>
  </si>
  <si>
    <t>LITTLE GREEN BEVERAG</t>
  </si>
  <si>
    <t xml:space="preserve">siyanda             </t>
  </si>
  <si>
    <t xml:space="preserve">MA AUTOMOTIVE       </t>
  </si>
  <si>
    <t xml:space="preserve">nonkasi             </t>
  </si>
  <si>
    <t xml:space="preserve">SCOTT BADER         </t>
  </si>
  <si>
    <t xml:space="preserve">CIDNEY              </t>
  </si>
  <si>
    <t xml:space="preserve">PLASTIC OMNIUM AUTO </t>
  </si>
  <si>
    <t xml:space="preserve">GRIEF SA            </t>
  </si>
  <si>
    <t xml:space="preserve">AFRICA TRADING      </t>
  </si>
  <si>
    <t>PREMIER FMCG (PTY)LT</t>
  </si>
  <si>
    <t xml:space="preserve">XYMECH (PTY)LTD     </t>
  </si>
  <si>
    <t xml:space="preserve">EASTERN TRADING CO. </t>
  </si>
  <si>
    <t>FORD MOTOR CO. SA MA</t>
  </si>
  <si>
    <t xml:space="preserve">DES GROUP (PTY)LTD  </t>
  </si>
  <si>
    <t xml:space="preserve">kashen              </t>
  </si>
  <si>
    <t xml:space="preserve">GRANROTH (PTY)LTD   </t>
  </si>
  <si>
    <t xml:space="preserve">INK JET PRINTERS    </t>
  </si>
  <si>
    <t xml:space="preserve">Wayne               </t>
  </si>
  <si>
    <t xml:space="preserve">AIR PRODUCTS        </t>
  </si>
  <si>
    <t>FLOWSERVE SA PTY LTD</t>
  </si>
  <si>
    <t>APEX AUTOMATIONN (PT</t>
  </si>
  <si>
    <t xml:space="preserve">R BOSCH             </t>
  </si>
  <si>
    <t xml:space="preserve">EBERSPACHER ROSSLYN </t>
  </si>
  <si>
    <t>FESTIVE A DIV OF AST</t>
  </si>
  <si>
    <t xml:space="preserve">MAINSTREET 1310     </t>
  </si>
  <si>
    <t>HEINEKEN SOUTH AFRIC</t>
  </si>
  <si>
    <t>WESTONARIA</t>
  </si>
  <si>
    <t>WEST END CLAY BRICKS</t>
  </si>
  <si>
    <t>TREK SCALE COMPANY (</t>
  </si>
  <si>
    <t>DE BEERS CONSOLIDATE</t>
  </si>
  <si>
    <t>ROBYN</t>
  </si>
  <si>
    <t>bayaka</t>
  </si>
  <si>
    <t xml:space="preserve"> mazibuko</t>
  </si>
  <si>
    <t>FRANCINA</t>
  </si>
  <si>
    <t xml:space="preserve"> ROSHNI</t>
  </si>
  <si>
    <t>Shawn</t>
  </si>
  <si>
    <t>COLLEN</t>
  </si>
  <si>
    <t xml:space="preserve"> UNIVERSITY IS CLOSED</t>
  </si>
  <si>
    <t>Hannes</t>
  </si>
  <si>
    <t>SA GREETINGS</t>
  </si>
  <si>
    <t>FRAGILE OIL     Company Closed</t>
  </si>
  <si>
    <t>CO STAMP</t>
  </si>
  <si>
    <t>RYNO</t>
  </si>
  <si>
    <t>BAKKER</t>
  </si>
  <si>
    <t>client not answering calls</t>
  </si>
  <si>
    <t xml:space="preserve">Ronald              </t>
  </si>
  <si>
    <t xml:space="preserve">NECKLES             </t>
  </si>
  <si>
    <t xml:space="preserve">ABIE                </t>
  </si>
  <si>
    <t>02/01/2012</t>
  </si>
  <si>
    <t xml:space="preserve">sfiso               </t>
  </si>
  <si>
    <t xml:space="preserve">Amon                </t>
  </si>
  <si>
    <t xml:space="preserve">mahlatse            </t>
  </si>
  <si>
    <t xml:space="preserve">Vernon              </t>
  </si>
  <si>
    <t xml:space="preserve">Gary                </t>
  </si>
  <si>
    <t xml:space="preserve">Awena               </t>
  </si>
  <si>
    <t xml:space="preserve">tebogo              </t>
  </si>
  <si>
    <t xml:space="preserve">NANDY               </t>
  </si>
  <si>
    <t xml:space="preserve">G NIEMAND           </t>
  </si>
  <si>
    <t xml:space="preserve">VINCENT             </t>
  </si>
  <si>
    <t xml:space="preserve">REQUEL              </t>
  </si>
  <si>
    <t xml:space="preserve">Anrick              </t>
  </si>
  <si>
    <t xml:space="preserve">ciska               </t>
  </si>
  <si>
    <t xml:space="preserve">HELVETRA            </t>
  </si>
  <si>
    <t xml:space="preserve">George              </t>
  </si>
  <si>
    <t xml:space="preserve">ryno                </t>
  </si>
  <si>
    <t xml:space="preserve">katlego             </t>
  </si>
  <si>
    <t xml:space="preserve">manners             </t>
  </si>
  <si>
    <t xml:space="preserve">BASSON              </t>
  </si>
  <si>
    <t xml:space="preserve">a singh             </t>
  </si>
  <si>
    <t xml:space="preserve">NDUMISO             </t>
  </si>
  <si>
    <t xml:space="preserve">kevin               </t>
  </si>
  <si>
    <t xml:space="preserve">Vitesh              </t>
  </si>
  <si>
    <t xml:space="preserve">Rob s               </t>
  </si>
  <si>
    <t xml:space="preserve">muzi                </t>
  </si>
  <si>
    <t xml:space="preserve">rico                </t>
  </si>
  <si>
    <t xml:space="preserve">Renaldo             </t>
  </si>
  <si>
    <t xml:space="preserve">monwubiso           </t>
  </si>
  <si>
    <t xml:space="preserve">Buyile              </t>
  </si>
  <si>
    <t xml:space="preserve">Tamele              </t>
  </si>
  <si>
    <t xml:space="preserve">Ayanda              </t>
  </si>
  <si>
    <t xml:space="preserve">AA LAMBRECHTS       </t>
  </si>
  <si>
    <t xml:space="preserve">WILLIAM             </t>
  </si>
  <si>
    <t xml:space="preserve">TERRY               </t>
  </si>
  <si>
    <t xml:space="preserve">Frauline            </t>
  </si>
  <si>
    <t xml:space="preserve">Ayansa              </t>
  </si>
  <si>
    <t xml:space="preserve">Kevin               </t>
  </si>
  <si>
    <t xml:space="preserve">NOMUSA              </t>
  </si>
  <si>
    <t xml:space="preserve">Nomza               </t>
  </si>
  <si>
    <t xml:space="preserve">Ghande              </t>
  </si>
  <si>
    <t xml:space="preserve">rhyno               </t>
  </si>
  <si>
    <t>RD</t>
  </si>
  <si>
    <t>JNB</t>
  </si>
  <si>
    <t xml:space="preserve">selby               </t>
  </si>
  <si>
    <t xml:space="preserve">qondi               </t>
  </si>
  <si>
    <t xml:space="preserve">ALINA               </t>
  </si>
  <si>
    <t xml:space="preserve">rudie               </t>
  </si>
  <si>
    <t xml:space="preserve">RAPHAEL             </t>
  </si>
  <si>
    <t xml:space="preserve">Z BASSON            </t>
  </si>
  <si>
    <t xml:space="preserve">BONGINKOSI          </t>
  </si>
  <si>
    <t xml:space="preserve">Noma                </t>
  </si>
  <si>
    <t xml:space="preserve">NONTOBEKA           </t>
  </si>
  <si>
    <t xml:space="preserve">Salome              </t>
  </si>
  <si>
    <t xml:space="preserve">JACK                </t>
  </si>
  <si>
    <t xml:space="preserve">victor              </t>
  </si>
  <si>
    <t xml:space="preserve">Sammy               </t>
  </si>
  <si>
    <t xml:space="preserve">FIONA               </t>
  </si>
  <si>
    <t xml:space="preserve">ULRICH              </t>
  </si>
  <si>
    <t xml:space="preserve">CAROLINE            </t>
  </si>
  <si>
    <t xml:space="preserve">THABO               </t>
  </si>
  <si>
    <t xml:space="preserve">Victor              </t>
  </si>
  <si>
    <t xml:space="preserve">GEORGE              </t>
  </si>
  <si>
    <t xml:space="preserve">clement             </t>
  </si>
  <si>
    <t xml:space="preserve">ronald              </t>
  </si>
  <si>
    <t xml:space="preserve">aletta              </t>
  </si>
  <si>
    <t xml:space="preserve">mazibuko            </t>
  </si>
  <si>
    <t xml:space="preserve">PHILLYS             </t>
  </si>
  <si>
    <t xml:space="preserve">J Nullian           </t>
  </si>
  <si>
    <t>10/06/2020</t>
  </si>
  <si>
    <t xml:space="preserve">Stanley             </t>
  </si>
  <si>
    <t xml:space="preserve">TOYOTA SA MOTORS    </t>
  </si>
  <si>
    <t>FORD OF SOUTHERN AFR</t>
  </si>
  <si>
    <t>INCORRECTLY SUP</t>
  </si>
  <si>
    <t>WILMAR CONTINENTAL E</t>
  </si>
  <si>
    <t>AMROD MAINSTEET 1477</t>
  </si>
  <si>
    <t>ANDERSON ENGINEERING</t>
  </si>
  <si>
    <t>CBI ELECTRIC TELECOM</t>
  </si>
  <si>
    <t>DR OETKER SOUTH AFRI</t>
  </si>
  <si>
    <t xml:space="preserve">MSG SYSTEMS         </t>
  </si>
  <si>
    <t xml:space="preserve">BEARINGS ON CC      </t>
  </si>
  <si>
    <t xml:space="preserve">ERECH ROOS          </t>
  </si>
  <si>
    <t>ELUMATEC SOUTH AFRIC</t>
  </si>
  <si>
    <t>CSM BEARING AND PNEU</t>
  </si>
  <si>
    <t>THT TOOL   MACHINERY</t>
  </si>
  <si>
    <t xml:space="preserve">DUNROSE TRADING 57  </t>
  </si>
  <si>
    <t>SANOFI INDUSTRIES SA</t>
  </si>
  <si>
    <t xml:space="preserve">MA AUTOMOTIVE TOOL  </t>
  </si>
  <si>
    <t xml:space="preserve">KROMBERG   SCHUBERT </t>
  </si>
  <si>
    <t xml:space="preserve">IDWALA CARBONATES   </t>
  </si>
  <si>
    <t xml:space="preserve">PIONEER FOODS (PTY) </t>
  </si>
  <si>
    <t xml:space="preserve">ABI DIV OF SAB LTD  </t>
  </si>
  <si>
    <t xml:space="preserve">ENTYCE BEVERAGES    </t>
  </si>
  <si>
    <t>FOR ATT DEBRA A</t>
  </si>
  <si>
    <t>HULAMIN OPERATIONS P</t>
  </si>
  <si>
    <t>SPRINGS BEE GEE ELEC</t>
  </si>
  <si>
    <t xml:space="preserve">Jacob               </t>
  </si>
  <si>
    <t xml:space="preserve">DISTELL             </t>
  </si>
  <si>
    <t xml:space="preserve">DURR SOUTH AFRICA   </t>
  </si>
  <si>
    <t>TONGAAT HULLETTS GRO</t>
  </si>
  <si>
    <t>M   C BEARINGS   TRA</t>
  </si>
  <si>
    <t xml:space="preserve">bea-hann            </t>
  </si>
  <si>
    <t xml:space="preserve">LURICO              </t>
  </si>
  <si>
    <t xml:space="preserve">COCHRANE STEEL      </t>
  </si>
  <si>
    <t>CONSOLIDATED WIRE IN</t>
  </si>
  <si>
    <t>PIONEER FOODS PTY LT</t>
  </si>
  <si>
    <t>GRIPPER   CO (PTY) L</t>
  </si>
  <si>
    <t xml:space="preserve">PANDROL SA PTY LTD  </t>
  </si>
  <si>
    <t xml:space="preserve">MONITECH            </t>
  </si>
  <si>
    <t>T3 PLASTIC PACKAGING</t>
  </si>
  <si>
    <t>SMITHS MANUFACTURING</t>
  </si>
  <si>
    <t xml:space="preserve">BEIER ENVIROTEC     </t>
  </si>
  <si>
    <t xml:space="preserve">FLSMIDTH (PTY) LTD  </t>
  </si>
  <si>
    <t>CSM BEARINGS   PNUEM</t>
  </si>
  <si>
    <t xml:space="preserve">PAILPRINT PTY LTD   </t>
  </si>
  <si>
    <t>A.P.L. CARTONS (PTY)</t>
  </si>
  <si>
    <t>UGIE</t>
  </si>
  <si>
    <t>PG BISON PTY LTD UGI</t>
  </si>
  <si>
    <t xml:space="preserve">KRONES SA PTY LTD   </t>
  </si>
  <si>
    <t xml:space="preserve">SME EXPORTS         </t>
  </si>
  <si>
    <t xml:space="preserve">ONDERSTEPOORT       </t>
  </si>
  <si>
    <t xml:space="preserve">MSD (PTY)LTD        </t>
  </si>
  <si>
    <t>HEIDELBERG (TVL)</t>
  </si>
  <si>
    <t>BRITISH AMERICAN TOB</t>
  </si>
  <si>
    <t xml:space="preserve">MPACT PLASTICS      </t>
  </si>
  <si>
    <t>STAR HYDRAULICS   PN</t>
  </si>
  <si>
    <t xml:space="preserve">PETROLEUM REPAIR    </t>
  </si>
  <si>
    <t>SOUTHERN SERVICES CC</t>
  </si>
  <si>
    <t>MULTOTEC MANUFACTURI</t>
  </si>
  <si>
    <t>graydon</t>
  </si>
  <si>
    <t>Insufficient docs (no inv</t>
  </si>
  <si>
    <t xml:space="preserve"> henri</t>
  </si>
  <si>
    <t>Joah</t>
  </si>
  <si>
    <t>bongani</t>
  </si>
  <si>
    <t>thebang</t>
  </si>
  <si>
    <t>ROGER</t>
  </si>
  <si>
    <t xml:space="preserve"> Nwabisa</t>
  </si>
  <si>
    <t>shaakir</t>
  </si>
  <si>
    <t>David</t>
  </si>
  <si>
    <t>Nwabisa</t>
  </si>
  <si>
    <t>SIMON</t>
  </si>
  <si>
    <t xml:space="preserve">nomxolisI           </t>
  </si>
  <si>
    <t xml:space="preserve">kim                 </t>
  </si>
  <si>
    <t xml:space="preserve">randull             </t>
  </si>
  <si>
    <t xml:space="preserve">Thulani             </t>
  </si>
  <si>
    <t xml:space="preserve">FLONA               </t>
  </si>
  <si>
    <t xml:space="preserve">ANGELA              </t>
  </si>
  <si>
    <t xml:space="preserve">zita                </t>
  </si>
  <si>
    <t xml:space="preserve">Xolani              </t>
  </si>
  <si>
    <t xml:space="preserve">Varetia             </t>
  </si>
  <si>
    <t xml:space="preserve">thebang             </t>
  </si>
  <si>
    <t xml:space="preserve">FATIMA              </t>
  </si>
  <si>
    <t xml:space="preserve">BETHUEL             </t>
  </si>
  <si>
    <t xml:space="preserve">PETUNIA             </t>
  </si>
  <si>
    <t xml:space="preserve">ntsako              </t>
  </si>
  <si>
    <t xml:space="preserve">mandla              </t>
  </si>
  <si>
    <t xml:space="preserve">DAPHNEY             </t>
  </si>
  <si>
    <t xml:space="preserve">WALTER              </t>
  </si>
  <si>
    <t xml:space="preserve">bobo                </t>
  </si>
  <si>
    <t>16::2</t>
  </si>
  <si>
    <t xml:space="preserve">wibooi              </t>
  </si>
  <si>
    <t xml:space="preserve">c ml                </t>
  </si>
  <si>
    <t xml:space="preserve">Jerry               </t>
  </si>
  <si>
    <t xml:space="preserve">SABELO              </t>
  </si>
  <si>
    <t xml:space="preserve">thabang             </t>
  </si>
  <si>
    <t xml:space="preserve">Noel                </t>
  </si>
  <si>
    <t xml:space="preserve">BASHIR              </t>
  </si>
  <si>
    <t xml:space="preserve">E ROOS              </t>
  </si>
  <si>
    <t xml:space="preserve">muyeen              </t>
  </si>
  <si>
    <t xml:space="preserve">alan                </t>
  </si>
  <si>
    <t xml:space="preserve">essie               </t>
  </si>
  <si>
    <t xml:space="preserve">r brain             </t>
  </si>
  <si>
    <t xml:space="preserve">HELMETIE            </t>
  </si>
  <si>
    <t xml:space="preserve">thorne              </t>
  </si>
  <si>
    <t>11/06/2020</t>
  </si>
  <si>
    <t xml:space="preserve">M Naidoo            </t>
  </si>
  <si>
    <t xml:space="preserve">BAIY                </t>
  </si>
  <si>
    <t xml:space="preserve">R SINGH             </t>
  </si>
  <si>
    <t xml:space="preserve">s khumalo           </t>
  </si>
  <si>
    <t xml:space="preserve">SITEMBISO           </t>
  </si>
  <si>
    <t xml:space="preserve">chantelle           </t>
  </si>
  <si>
    <t xml:space="preserve">LUCY                </t>
  </si>
  <si>
    <t xml:space="preserve">tracey              </t>
  </si>
  <si>
    <t xml:space="preserve">BONGANI             </t>
  </si>
  <si>
    <t xml:space="preserve">Mary                </t>
  </si>
  <si>
    <t xml:space="preserve">thandi              </t>
  </si>
  <si>
    <t xml:space="preserve">annah               </t>
  </si>
  <si>
    <t xml:space="preserve">Aaron               </t>
  </si>
  <si>
    <t xml:space="preserve">marinus             </t>
  </si>
  <si>
    <t xml:space="preserve">Dicent              </t>
  </si>
  <si>
    <t xml:space="preserve">marine              </t>
  </si>
  <si>
    <t xml:space="preserve">RICKEY              </t>
  </si>
  <si>
    <t xml:space="preserve">pamela              </t>
  </si>
  <si>
    <t xml:space="preserve">salems              </t>
  </si>
  <si>
    <t xml:space="preserve">DERICK              </t>
  </si>
  <si>
    <t xml:space="preserve">pontsho             </t>
  </si>
  <si>
    <t xml:space="preserve">QONDI               </t>
  </si>
  <si>
    <t xml:space="preserve">alex                </t>
  </si>
  <si>
    <t xml:space="preserve">Helen               </t>
  </si>
  <si>
    <t xml:space="preserve">Donna               </t>
  </si>
  <si>
    <t xml:space="preserve">sipho               </t>
  </si>
  <si>
    <t xml:space="preserve">kerusha             </t>
  </si>
  <si>
    <t xml:space="preserve">Khensani            </t>
  </si>
  <si>
    <t xml:space="preserve">G LUNDALL           </t>
  </si>
  <si>
    <t xml:space="preserve">malcolm             </t>
  </si>
  <si>
    <t xml:space="preserve">Mohamed             </t>
  </si>
  <si>
    <t xml:space="preserve">Tommy               </t>
  </si>
  <si>
    <t xml:space="preserve">PHILA               </t>
  </si>
  <si>
    <t xml:space="preserve">WEBSTER             </t>
  </si>
  <si>
    <t xml:space="preserve">ANDREAS             </t>
  </si>
  <si>
    <t xml:space="preserve">leandn              </t>
  </si>
  <si>
    <t xml:space="preserve">Cecilia             </t>
  </si>
  <si>
    <t xml:space="preserve">WALKER              </t>
  </si>
  <si>
    <t xml:space="preserve">yaseen              </t>
  </si>
  <si>
    <t xml:space="preserve">Wyn wyn             </t>
  </si>
  <si>
    <t xml:space="preserve">sherandy            </t>
  </si>
  <si>
    <t xml:space="preserve">L goede             </t>
  </si>
  <si>
    <t xml:space="preserve">collen              </t>
  </si>
  <si>
    <t xml:space="preserve">CATHERINE           </t>
  </si>
  <si>
    <t xml:space="preserve">JAMES               </t>
  </si>
  <si>
    <t xml:space="preserve">Daniel              </t>
  </si>
  <si>
    <t xml:space="preserve">sogren naidoo       </t>
  </si>
  <si>
    <t xml:space="preserve">Carlise             </t>
  </si>
  <si>
    <t xml:space="preserve">PAULLINE            </t>
  </si>
  <si>
    <t xml:space="preserve">zama                </t>
  </si>
  <si>
    <t xml:space="preserve">TRISH               </t>
  </si>
  <si>
    <t xml:space="preserve">sherilene           </t>
  </si>
  <si>
    <t xml:space="preserve">judy                </t>
  </si>
  <si>
    <t xml:space="preserve">Max                 </t>
  </si>
  <si>
    <t xml:space="preserve">Nastasja            </t>
  </si>
  <si>
    <t xml:space="preserve">ANDREW              </t>
  </si>
  <si>
    <t xml:space="preserve">LARISSA-NADINE      </t>
  </si>
  <si>
    <t xml:space="preserve">kosta               </t>
  </si>
  <si>
    <t xml:space="preserve">R S SARDA           </t>
  </si>
  <si>
    <t xml:space="preserve">Jacobs              </t>
  </si>
  <si>
    <t xml:space="preserve">NARE                </t>
  </si>
  <si>
    <t xml:space="preserve">pinky               </t>
  </si>
  <si>
    <t xml:space="preserve">Walter              </t>
  </si>
  <si>
    <t xml:space="preserve">Nkululeko           </t>
  </si>
  <si>
    <t xml:space="preserve">Salems              </t>
  </si>
  <si>
    <t xml:space="preserve">bongs               </t>
  </si>
  <si>
    <t xml:space="preserve">Tony                </t>
  </si>
  <si>
    <t xml:space="preserve">JUAN                </t>
  </si>
  <si>
    <t xml:space="preserve">brain               </t>
  </si>
  <si>
    <t xml:space="preserve">richard             </t>
  </si>
  <si>
    <t xml:space="preserve">ERNEST              </t>
  </si>
  <si>
    <t xml:space="preserve">SIMON               </t>
  </si>
  <si>
    <t xml:space="preserve">MUREL               </t>
  </si>
  <si>
    <t xml:space="preserve">Norman              </t>
  </si>
  <si>
    <t>ORION INGENIEURSWERK</t>
  </si>
  <si>
    <t>VITAL AUTOMATED SREV</t>
  </si>
  <si>
    <t xml:space="preserve">LION MATCH PRODUCTS </t>
  </si>
  <si>
    <t xml:space="preserve">BASF SA PTY LTD     </t>
  </si>
  <si>
    <t>GUD HOLDINGS (PTY)LT</t>
  </si>
  <si>
    <t>LODOX SYSTEMS (PTY)L</t>
  </si>
  <si>
    <t xml:space="preserve">TECHNO CHEM BK      </t>
  </si>
  <si>
    <t>KOK</t>
  </si>
  <si>
    <t>IXOPO</t>
  </si>
  <si>
    <t xml:space="preserve">NOMA                </t>
  </si>
  <si>
    <t>SNS ENGINEERING   CO</t>
  </si>
  <si>
    <t xml:space="preserve">MESCHTEC SERVISES   </t>
  </si>
  <si>
    <t xml:space="preserve">BEKTEK              </t>
  </si>
  <si>
    <t xml:space="preserve">SRF FLEXIPACK       </t>
  </si>
  <si>
    <t xml:space="preserve">AVION EAST RAND PTY </t>
  </si>
  <si>
    <t>CFW INDUSTRIES (PTY)</t>
  </si>
  <si>
    <t>FOODCORP PTY LTD MIL</t>
  </si>
  <si>
    <t xml:space="preserve">FABRINOX CC         </t>
  </si>
  <si>
    <t xml:space="preserve">Clifford            </t>
  </si>
  <si>
    <t>SIGNAL INSTRUMENTATI</t>
  </si>
  <si>
    <t xml:space="preserve">Jaco                </t>
  </si>
  <si>
    <t>WEL</t>
  </si>
  <si>
    <t>GELUKWAARTS</t>
  </si>
  <si>
    <t>PREMIER FMCG (PTY) L</t>
  </si>
  <si>
    <t>AM SYSTEMS INTEGRATI</t>
  </si>
  <si>
    <t xml:space="preserve">JADEC STEEL PROJECT </t>
  </si>
  <si>
    <t xml:space="preserve">ZF LEMFOERDER SA    </t>
  </si>
  <si>
    <t xml:space="preserve">DOLLAS              </t>
  </si>
  <si>
    <t xml:space="preserve">IMARA AUTOMATION    </t>
  </si>
  <si>
    <t xml:space="preserve">stefo               </t>
  </si>
  <si>
    <t>NATIONAL BRANDS BUSC</t>
  </si>
  <si>
    <t>PRODUCTIVE ENGINEERI</t>
  </si>
  <si>
    <t xml:space="preserve">nathan              </t>
  </si>
  <si>
    <t xml:space="preserve">keith               </t>
  </si>
  <si>
    <t>TOYOTA SA MOTORS (PT</t>
  </si>
  <si>
    <t xml:space="preserve">Johl                </t>
  </si>
  <si>
    <t xml:space="preserve">MVA BRICKS CC       </t>
  </si>
  <si>
    <t>CONTINENTAL BISCUITS</t>
  </si>
  <si>
    <t>VRG</t>
  </si>
  <si>
    <t xml:space="preserve">ALBARNY             </t>
  </si>
  <si>
    <t xml:space="preserve"> RTS THIS PARCEL</t>
  </si>
  <si>
    <t>rico</t>
  </si>
  <si>
    <t>Pravin</t>
  </si>
  <si>
    <t>mary</t>
  </si>
  <si>
    <t>Marenique</t>
  </si>
  <si>
    <t>novan</t>
  </si>
  <si>
    <t>Deven</t>
  </si>
  <si>
    <t>rejoice</t>
  </si>
  <si>
    <t>winnie</t>
  </si>
  <si>
    <t>V MASHABA</t>
  </si>
  <si>
    <t>Thomas</t>
  </si>
  <si>
    <t>harry</t>
  </si>
  <si>
    <t>Chedza</t>
  </si>
  <si>
    <t>bakker</t>
  </si>
  <si>
    <t xml:space="preserve"> Ndumiso</t>
  </si>
  <si>
    <t>dandre</t>
  </si>
  <si>
    <t xml:space="preserve"> harry</t>
  </si>
  <si>
    <t>SAGGIE</t>
  </si>
  <si>
    <t>lawrence</t>
  </si>
  <si>
    <t>Abram</t>
  </si>
  <si>
    <t>VUKANI</t>
  </si>
  <si>
    <t>Musa</t>
  </si>
  <si>
    <t>lloyd</t>
  </si>
  <si>
    <t>P J ENGINEERING</t>
  </si>
  <si>
    <t>PHILLIP</t>
  </si>
  <si>
    <t xml:space="preserve">CHEMORE             </t>
  </si>
  <si>
    <t xml:space="preserve">H PIETERSE          </t>
  </si>
  <si>
    <t xml:space="preserve">Anita               </t>
  </si>
  <si>
    <t xml:space="preserve">Vivo                </t>
  </si>
  <si>
    <t xml:space="preserve">nomzi               </t>
  </si>
  <si>
    <t xml:space="preserve">xolani              </t>
  </si>
  <si>
    <t xml:space="preserve">Roshni              </t>
  </si>
  <si>
    <t xml:space="preserve">sedan               </t>
  </si>
  <si>
    <t xml:space="preserve">Khaya               </t>
  </si>
  <si>
    <t xml:space="preserve">Sbonelo             </t>
  </si>
  <si>
    <t xml:space="preserve">Elias               </t>
  </si>
  <si>
    <t xml:space="preserve">JONAS               </t>
  </si>
  <si>
    <t xml:space="preserve">GREG                </t>
  </si>
  <si>
    <t xml:space="preserve">Zola                </t>
  </si>
  <si>
    <t xml:space="preserve">BASIL               </t>
  </si>
  <si>
    <t xml:space="preserve">lewelly             </t>
  </si>
  <si>
    <t xml:space="preserve">Wesley              </t>
  </si>
  <si>
    <t xml:space="preserve">D RAS               </t>
  </si>
  <si>
    <t xml:space="preserve">Joel                </t>
  </si>
  <si>
    <t xml:space="preserve">MELANE              </t>
  </si>
  <si>
    <t xml:space="preserve">Edwin               </t>
  </si>
  <si>
    <t xml:space="preserve">Vukani              </t>
  </si>
  <si>
    <t xml:space="preserve">Chantel             </t>
  </si>
  <si>
    <t xml:space="preserve">jane                </t>
  </si>
  <si>
    <t xml:space="preserve">Bridget             </t>
  </si>
  <si>
    <t xml:space="preserve">DORCAS              </t>
  </si>
  <si>
    <t xml:space="preserve">Ivan                </t>
  </si>
  <si>
    <t xml:space="preserve">Ndumiso             </t>
  </si>
  <si>
    <t xml:space="preserve">R MITCHELL          </t>
  </si>
  <si>
    <t xml:space="preserve">MARINUS             </t>
  </si>
  <si>
    <t xml:space="preserve">Doreen              </t>
  </si>
  <si>
    <t xml:space="preserve">Morne               </t>
  </si>
  <si>
    <t xml:space="preserve">MARET               </t>
  </si>
  <si>
    <t xml:space="preserve">Rochelle            </t>
  </si>
  <si>
    <t xml:space="preserve">GREMMAN             </t>
  </si>
  <si>
    <t xml:space="preserve">MBUSO               </t>
  </si>
  <si>
    <t xml:space="preserve">mcedu               </t>
  </si>
  <si>
    <t xml:space="preserve">Morris              </t>
  </si>
  <si>
    <t xml:space="preserve">bekker              </t>
  </si>
  <si>
    <t xml:space="preserve">Monica              </t>
  </si>
  <si>
    <t xml:space="preserve">Nditsheni           </t>
  </si>
  <si>
    <t xml:space="preserve">CHEMONE             </t>
  </si>
  <si>
    <t xml:space="preserve">Mditsheni           </t>
  </si>
  <si>
    <t xml:space="preserve">M Banks             </t>
  </si>
  <si>
    <t xml:space="preserve">POOBLAL             </t>
  </si>
  <si>
    <t xml:space="preserve">Thomas              </t>
  </si>
  <si>
    <t xml:space="preserve">TOM                 </t>
  </si>
  <si>
    <t xml:space="preserve">RICHARD             </t>
  </si>
  <si>
    <t xml:space="preserve">VUKANI              </t>
  </si>
  <si>
    <t xml:space="preserve">zaahid              </t>
  </si>
  <si>
    <t xml:space="preserve">THEO                </t>
  </si>
  <si>
    <t xml:space="preserve">Jabulani            </t>
  </si>
  <si>
    <t xml:space="preserve">raelene             </t>
  </si>
  <si>
    <t xml:space="preserve">TSHEPANG            </t>
  </si>
  <si>
    <t xml:space="preserve">H DE BEER           </t>
  </si>
  <si>
    <t xml:space="preserve">V MASHABA           </t>
  </si>
  <si>
    <t xml:space="preserve">AGNES               </t>
  </si>
  <si>
    <t xml:space="preserve">anathoponi          </t>
  </si>
  <si>
    <t>12/06/2020</t>
  </si>
  <si>
    <t xml:space="preserve">rikus               </t>
  </si>
  <si>
    <t>AL S PROJECTS SPECIA</t>
  </si>
  <si>
    <t xml:space="preserve">Charlotte           </t>
  </si>
  <si>
    <t>MORDERN PROCESSING E</t>
  </si>
  <si>
    <t xml:space="preserve">Joe Joe             </t>
  </si>
  <si>
    <t xml:space="preserve">Thando              </t>
  </si>
  <si>
    <t xml:space="preserve">HANSENS ENGENNERING </t>
  </si>
  <si>
    <t xml:space="preserve">KATLA FOOD TRADING  </t>
  </si>
  <si>
    <t>SPICER AXLE (PTY) LT</t>
  </si>
  <si>
    <t>STRAIT ACCESS TECHNO</t>
  </si>
  <si>
    <t xml:space="preserve">FELTEX FEHRER       </t>
  </si>
  <si>
    <t xml:space="preserve">rim v               </t>
  </si>
  <si>
    <t xml:space="preserve">UNIVERSAL COOLERS   </t>
  </si>
  <si>
    <t xml:space="preserve">LAMTECH             </t>
  </si>
  <si>
    <t>AUSTRO (PROPIETY LTD</t>
  </si>
  <si>
    <t xml:space="preserve">Eldup               </t>
  </si>
  <si>
    <t>VELIA WATER SOLUTION</t>
  </si>
  <si>
    <t xml:space="preserve">ROTO PLASTICS       </t>
  </si>
  <si>
    <t xml:space="preserve">Nadine              </t>
  </si>
  <si>
    <t xml:space="preserve">karima              </t>
  </si>
  <si>
    <t xml:space="preserve">JESSOP   ASSOCIATES </t>
  </si>
  <si>
    <t>LEDA ENGINEERING SER</t>
  </si>
  <si>
    <t xml:space="preserve">Tess                </t>
  </si>
  <si>
    <t>ALBANY BAKERY RANDFO</t>
  </si>
  <si>
    <t xml:space="preserve">BAYER PTY LTD       </t>
  </si>
  <si>
    <t xml:space="preserve">ACDC DYNAMICS CC    </t>
  </si>
  <si>
    <t xml:space="preserve">chris               </t>
  </si>
  <si>
    <t>NORTHFIELD ENGINEERI</t>
  </si>
  <si>
    <t>KUR</t>
  </si>
  <si>
    <t>HOTAZEL</t>
  </si>
  <si>
    <t xml:space="preserve">UNITED MANGANESE OF </t>
  </si>
  <si>
    <t>FLSMIDTH SOUTH AFRIC</t>
  </si>
  <si>
    <t>MFK</t>
  </si>
  <si>
    <t>MMABATHO</t>
  </si>
  <si>
    <t xml:space="preserve">HYDRA-AID C.C.      </t>
  </si>
  <si>
    <t xml:space="preserve">CONTROL SYSTEMS     </t>
  </si>
  <si>
    <t>AUTOMATION WORKS GAU</t>
  </si>
  <si>
    <t xml:space="preserve">yusuf               </t>
  </si>
  <si>
    <t xml:space="preserve">MYKATRADE 39CC      </t>
  </si>
  <si>
    <t xml:space="preserve">Shaakir             </t>
  </si>
  <si>
    <t xml:space="preserve">stefen              </t>
  </si>
  <si>
    <t xml:space="preserve">sherif              </t>
  </si>
  <si>
    <t xml:space="preserve">Carlize             </t>
  </si>
  <si>
    <t>JM FREE   ASSOCIATES</t>
  </si>
  <si>
    <t xml:space="preserve">Hansel              </t>
  </si>
  <si>
    <t xml:space="preserve">UNIVERSAL CLIPS     </t>
  </si>
  <si>
    <t>DNH MANUFACTURING (P</t>
  </si>
  <si>
    <t>1162745656 - 11</t>
  </si>
  <si>
    <t>PROCTER   GAMBLE MAN</t>
  </si>
  <si>
    <t xml:space="preserve"> NIVESH</t>
  </si>
  <si>
    <t>Randall</t>
  </si>
  <si>
    <t>Riaan</t>
  </si>
  <si>
    <t xml:space="preserve"> RCL FOODS CONSUMER PTY</t>
  </si>
  <si>
    <t>pitzo</t>
  </si>
  <si>
    <t xml:space="preserve"> Riaan</t>
  </si>
  <si>
    <t>Client refused delivery</t>
  </si>
  <si>
    <t>Consignee not available)</t>
  </si>
  <si>
    <t>TRACY</t>
  </si>
  <si>
    <t>NIVESH</t>
  </si>
  <si>
    <t>Vincent</t>
  </si>
  <si>
    <t>CHRIS</t>
  </si>
  <si>
    <t>Bakker</t>
  </si>
  <si>
    <t>ELIZE</t>
  </si>
  <si>
    <t>SARAH</t>
  </si>
  <si>
    <t xml:space="preserve">LONYBAIL            </t>
  </si>
  <si>
    <t xml:space="preserve">Jacson              </t>
  </si>
  <si>
    <t xml:space="preserve">Francios            </t>
  </si>
  <si>
    <t xml:space="preserve">Johan               </t>
  </si>
  <si>
    <t xml:space="preserve">muyeer              </t>
  </si>
  <si>
    <t xml:space="preserve">babalwa             </t>
  </si>
  <si>
    <t xml:space="preserve">Mavis               </t>
  </si>
  <si>
    <t xml:space="preserve">VISHNU              </t>
  </si>
  <si>
    <t xml:space="preserve">neil                </t>
  </si>
  <si>
    <t xml:space="preserve">Montell             </t>
  </si>
  <si>
    <t xml:space="preserve">L goeda             </t>
  </si>
  <si>
    <t xml:space="preserve">Nontobeko           </t>
  </si>
  <si>
    <t xml:space="preserve">phillimon           </t>
  </si>
  <si>
    <t xml:space="preserve">CHA-RON             </t>
  </si>
  <si>
    <t xml:space="preserve">ABISH               </t>
  </si>
  <si>
    <t>15/06/2020</t>
  </si>
  <si>
    <t xml:space="preserve">Vukile              </t>
  </si>
  <si>
    <t xml:space="preserve">STEVEN              </t>
  </si>
  <si>
    <t xml:space="preserve">martha              </t>
  </si>
  <si>
    <t xml:space="preserve">tareeqh             </t>
  </si>
  <si>
    <t xml:space="preserve">BONGS               </t>
  </si>
  <si>
    <t xml:space="preserve">KAMOGELO            </t>
  </si>
  <si>
    <t xml:space="preserve">Nadesh              </t>
  </si>
  <si>
    <t xml:space="preserve">siphiwe             </t>
  </si>
  <si>
    <t xml:space="preserve">Ernest              </t>
  </si>
  <si>
    <t xml:space="preserve">J SWANEPOEL         </t>
  </si>
  <si>
    <t xml:space="preserve">Elijah              </t>
  </si>
  <si>
    <t xml:space="preserve">agnes               </t>
  </si>
  <si>
    <t xml:space="preserve">GRACE               </t>
  </si>
  <si>
    <t xml:space="preserve">jp  poull           </t>
  </si>
  <si>
    <t xml:space="preserve">jp  puoll           </t>
  </si>
  <si>
    <t xml:space="preserve">PHIA                </t>
  </si>
  <si>
    <t xml:space="preserve">nomvula             </t>
  </si>
  <si>
    <t xml:space="preserve">Chedza              </t>
  </si>
  <si>
    <t xml:space="preserve">PHILEMON            </t>
  </si>
  <si>
    <t xml:space="preserve">TSHEPO              </t>
  </si>
  <si>
    <t xml:space="preserve">ALETTA              </t>
  </si>
  <si>
    <t xml:space="preserve">J  SWANEPOEL        </t>
  </si>
  <si>
    <t xml:space="preserve">Hennie              </t>
  </si>
  <si>
    <t xml:space="preserve">Robert              </t>
  </si>
  <si>
    <t xml:space="preserve">ESAU                </t>
  </si>
  <si>
    <t xml:space="preserve">M THAPSA            </t>
  </si>
  <si>
    <t xml:space="preserve">SHELLY              </t>
  </si>
  <si>
    <t xml:space="preserve">J    SWANEPOEL      </t>
  </si>
  <si>
    <t xml:space="preserve">donald              </t>
  </si>
  <si>
    <t xml:space="preserve">MARIUS              </t>
  </si>
  <si>
    <t xml:space="preserve">ELLISTER            </t>
  </si>
  <si>
    <t xml:space="preserve">BMO FOOD SERVICES   </t>
  </si>
  <si>
    <t xml:space="preserve">Craig               </t>
  </si>
  <si>
    <t>REHAU POLYMER PTY LT</t>
  </si>
  <si>
    <t>MIDDELBURG (Mpumalanga)</t>
  </si>
  <si>
    <t xml:space="preserve">NEVEN MATTHEWS      </t>
  </si>
  <si>
    <t xml:space="preserve">MEGA - PAK          </t>
  </si>
  <si>
    <t>DALEIN AGRI PLAN PTY</t>
  </si>
  <si>
    <t xml:space="preserve">STORM PROCUREMENT   </t>
  </si>
  <si>
    <t xml:space="preserve">PAK 2000 (PTY) LTD  </t>
  </si>
  <si>
    <t xml:space="preserve">AYANDA              </t>
  </si>
  <si>
    <t>BIO CAPSULE PHARMACE</t>
  </si>
  <si>
    <t xml:space="preserve">sabun               </t>
  </si>
  <si>
    <t>VAKTIN HYDRAULICS (P</t>
  </si>
  <si>
    <t xml:space="preserve">Markus              </t>
  </si>
  <si>
    <t xml:space="preserve">A C PNEUMATICS      </t>
  </si>
  <si>
    <t xml:space="preserve">TROPICAL PLASTICS   </t>
  </si>
  <si>
    <t>BEARING MAN GROUP (P</t>
  </si>
  <si>
    <t xml:space="preserve">Marcus              </t>
  </si>
  <si>
    <t>GEO</t>
  </si>
  <si>
    <t>SKYNET PORT ELIZABET</t>
  </si>
  <si>
    <t>13/06/2020</t>
  </si>
  <si>
    <t xml:space="preserve">SHANEL              </t>
  </si>
  <si>
    <t>REBUS INDUSTRIAL CON</t>
  </si>
  <si>
    <t xml:space="preserve">LIQUI BOX (PTY)LTD  </t>
  </si>
  <si>
    <t xml:space="preserve">AEROSUD AVIATION    </t>
  </si>
  <si>
    <t>SEQUEL INTERNATIONAL</t>
  </si>
  <si>
    <t>p muller</t>
  </si>
  <si>
    <t>ERNEST</t>
  </si>
  <si>
    <t>VINOLIA</t>
  </si>
  <si>
    <t>SBONGILE</t>
  </si>
  <si>
    <t>RCL CONSUMER</t>
  </si>
  <si>
    <t>samora</t>
  </si>
  <si>
    <t>Bingo</t>
  </si>
  <si>
    <t>Bradley</t>
  </si>
  <si>
    <t xml:space="preserve"> Bradley</t>
  </si>
  <si>
    <t xml:space="preserve">Bingo               </t>
  </si>
  <si>
    <t xml:space="preserve">FARAH               </t>
  </si>
  <si>
    <t>25/05/2020</t>
  </si>
  <si>
    <t xml:space="preserve">Silas               </t>
  </si>
  <si>
    <t xml:space="preserve">PATRICK             </t>
  </si>
  <si>
    <t xml:space="preserve">Ray                 </t>
  </si>
  <si>
    <t xml:space="preserve">w naton             </t>
  </si>
  <si>
    <t xml:space="preserve">sampson             </t>
  </si>
  <si>
    <t xml:space="preserve">RAJEN  SINGH        </t>
  </si>
  <si>
    <t xml:space="preserve">Janet               </t>
  </si>
  <si>
    <t xml:space="preserve">LOVEMORE            </t>
  </si>
  <si>
    <t xml:space="preserve">Niel                </t>
  </si>
  <si>
    <t xml:space="preserve">JOSEPH              </t>
  </si>
  <si>
    <t xml:space="preserve">Martha              </t>
  </si>
  <si>
    <t xml:space="preserve">LERATO              </t>
  </si>
  <si>
    <t xml:space="preserve">Gert                </t>
  </si>
  <si>
    <t xml:space="preserve">Dominic             </t>
  </si>
  <si>
    <t xml:space="preserve">Abbas               </t>
  </si>
  <si>
    <t xml:space="preserve">gugu                </t>
  </si>
  <si>
    <t xml:space="preserve">shaun               </t>
  </si>
  <si>
    <t xml:space="preserve">MARCUS              </t>
  </si>
  <si>
    <t xml:space="preserve">Pieter              </t>
  </si>
  <si>
    <t xml:space="preserve">andile              </t>
  </si>
  <si>
    <t xml:space="preserve">NOUTS               </t>
  </si>
  <si>
    <t xml:space="preserve">Nastastja           </t>
  </si>
  <si>
    <t xml:space="preserve">jaco                </t>
  </si>
  <si>
    <t xml:space="preserve">goolam              </t>
  </si>
  <si>
    <t xml:space="preserve">johann              </t>
  </si>
  <si>
    <t xml:space="preserve">MATSAM SUPPLIES CC  </t>
  </si>
  <si>
    <t>17/06/2020</t>
  </si>
  <si>
    <t xml:space="preserve">aston               </t>
  </si>
  <si>
    <t xml:space="preserve">SHAUN PUCHERT       </t>
  </si>
  <si>
    <t xml:space="preserve">AYANDA Ngubo        </t>
  </si>
  <si>
    <t>SILVAMIL EBGINEERING</t>
  </si>
  <si>
    <t>REEF CONSTRUCTION MA</t>
  </si>
  <si>
    <t xml:space="preserve">LUMOTECH (PTY) LTD  </t>
  </si>
  <si>
    <t>DIXON BATTERY SUPPLI</t>
  </si>
  <si>
    <t>COLUMBIT PTY  T A IN</t>
  </si>
  <si>
    <t xml:space="preserve">WEBBING PRODUCTS    </t>
  </si>
  <si>
    <t xml:space="preserve">Salem               </t>
  </si>
  <si>
    <t xml:space="preserve">NUKOR (PTY)LTD      </t>
  </si>
  <si>
    <t xml:space="preserve">smith               </t>
  </si>
  <si>
    <t xml:space="preserve">GLARE   E PM        </t>
  </si>
  <si>
    <t xml:space="preserve">DALE SPIRAL SYSTEMS </t>
  </si>
  <si>
    <t>UNIVERSAL PAPER   PL</t>
  </si>
  <si>
    <t>COCA COLA  BEVERANGE</t>
  </si>
  <si>
    <t xml:space="preserve">JOHNSON MATTHEY PTY </t>
  </si>
  <si>
    <t>Santie</t>
  </si>
  <si>
    <t>illeg</t>
  </si>
  <si>
    <t>TREVOR</t>
  </si>
  <si>
    <t>NEO</t>
  </si>
  <si>
    <t>katlego</t>
  </si>
  <si>
    <t>Martin</t>
  </si>
  <si>
    <t>HARRY</t>
  </si>
  <si>
    <t xml:space="preserve">Martin              </t>
  </si>
  <si>
    <t xml:space="preserve">Jackson             </t>
  </si>
  <si>
    <t xml:space="preserve">Mornis              </t>
  </si>
  <si>
    <t xml:space="preserve">terry               </t>
  </si>
  <si>
    <t xml:space="preserve">vuke                </t>
  </si>
  <si>
    <t xml:space="preserve">niven               </t>
  </si>
  <si>
    <t xml:space="preserve">Gabriel             </t>
  </si>
  <si>
    <t xml:space="preserve">Neil 13 30          </t>
  </si>
  <si>
    <t xml:space="preserve">ERROL               </t>
  </si>
  <si>
    <t xml:space="preserve">LAZARUS             </t>
  </si>
  <si>
    <t xml:space="preserve">LINDIWE             </t>
  </si>
  <si>
    <t xml:space="preserve">Tammy               </t>
  </si>
  <si>
    <t xml:space="preserve">ndulule             </t>
  </si>
  <si>
    <t xml:space="preserve">Chad                </t>
  </si>
  <si>
    <t xml:space="preserve">nokuthula           </t>
  </si>
  <si>
    <t xml:space="preserve">VICTOR              </t>
  </si>
  <si>
    <t xml:space="preserve">Neville             </t>
  </si>
  <si>
    <t xml:space="preserve">BRENDON             </t>
  </si>
  <si>
    <t xml:space="preserve">S Khumalo           </t>
  </si>
  <si>
    <t xml:space="preserve">BRIAN               </t>
  </si>
  <si>
    <t xml:space="preserve">SIMPHIWE            </t>
  </si>
  <si>
    <t xml:space="preserve">p pameler           </t>
  </si>
  <si>
    <t xml:space="preserve">PIET                </t>
  </si>
  <si>
    <t xml:space="preserve">Marcell             </t>
  </si>
  <si>
    <t xml:space="preserve">baij                </t>
  </si>
  <si>
    <t xml:space="preserve">frans               </t>
  </si>
  <si>
    <t xml:space="preserve">clive               </t>
  </si>
  <si>
    <t xml:space="preserve">ralph               </t>
  </si>
  <si>
    <t xml:space="preserve">Mpho                </t>
  </si>
  <si>
    <t xml:space="preserve">ROBERT              </t>
  </si>
  <si>
    <t xml:space="preserve">sibusiso            </t>
  </si>
  <si>
    <t xml:space="preserve">hazel               </t>
  </si>
  <si>
    <t xml:space="preserve">PRAGA TECHNICAL PTY </t>
  </si>
  <si>
    <t>UNIQUE DAIRY PRODUCT</t>
  </si>
  <si>
    <t xml:space="preserve">FREDDY HIRCH   CO   </t>
  </si>
  <si>
    <t xml:space="preserve">LIQUI BOX           </t>
  </si>
  <si>
    <t>18/06/2020</t>
  </si>
  <si>
    <t xml:space="preserve">SNEAKER SNACKS CC   </t>
  </si>
  <si>
    <t>CHET CHEMICALS A DIV</t>
  </si>
  <si>
    <t xml:space="preserve">UMICORE CATALYST SA </t>
  </si>
  <si>
    <t xml:space="preserve">QK MEATS            </t>
  </si>
  <si>
    <t xml:space="preserve">Sherif              </t>
  </si>
  <si>
    <t xml:space="preserve">Raphael             </t>
  </si>
  <si>
    <t>MISTER SWEET PTY LTD</t>
  </si>
  <si>
    <t xml:space="preserve">ACT LOGISTICS       </t>
  </si>
  <si>
    <t xml:space="preserve">wimifred            </t>
  </si>
  <si>
    <t xml:space="preserve">ELECTRONIC   POWER  </t>
  </si>
  <si>
    <t xml:space="preserve">H Brown             </t>
  </si>
  <si>
    <t xml:space="preserve">HENDOK DISTRIBUTION </t>
  </si>
  <si>
    <t xml:space="preserve">skye                </t>
  </si>
  <si>
    <t>CONGO CONTRACT PACKA</t>
  </si>
  <si>
    <t xml:space="preserve">rajesh              </t>
  </si>
  <si>
    <t>ACTIVE ENTERPRISES C</t>
  </si>
  <si>
    <t>NISSAN SUID-AFRIKA (</t>
  </si>
  <si>
    <t xml:space="preserve">TOOLS IMPOERT CC    </t>
  </si>
  <si>
    <t xml:space="preserve">FUCHS ELECTRONICS   </t>
  </si>
  <si>
    <t>MAXIM TRADING ENTERP</t>
  </si>
  <si>
    <t>BULKMATIC SOLIDS MAC</t>
  </si>
  <si>
    <t xml:space="preserve">stan                </t>
  </si>
  <si>
    <t xml:space="preserve">Lionel              </t>
  </si>
  <si>
    <t xml:space="preserve">PAIL PAC PTY LTD    </t>
  </si>
  <si>
    <t xml:space="preserve">HELEN               </t>
  </si>
  <si>
    <t>TORRE AUTOMOTIVE (PT</t>
  </si>
  <si>
    <t xml:space="preserve">AIRTEC PNEUMATI Cc  </t>
  </si>
  <si>
    <t>STEELWOOD INTERNATIO</t>
  </si>
  <si>
    <t xml:space="preserve">CAPE GATE           </t>
  </si>
  <si>
    <t xml:space="preserve">BUCKLE PACKAGING    </t>
  </si>
  <si>
    <t xml:space="preserve">FOSECO              </t>
  </si>
  <si>
    <t xml:space="preserve">ELECTRAHERTZ        </t>
  </si>
  <si>
    <t>OUT ON DELIVERY TO DAY 18 / 06 /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</si>
</sst>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/>
    </xf>
    <xf numFmtId="2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0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0" fontId="1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20" fontId="1" fillId="3" borderId="3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3" borderId="3" xfId="0" applyFill="1" applyBorder="1"/>
    <xf numFmtId="0" fontId="1" fillId="4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20" fontId="1" fillId="3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98"/>
  <sheetViews>
    <sheetView tabSelected="1" topLeftCell="A1983" workbookViewId="0">
      <selection activeCell="F1752" sqref="F1752"/>
    </sheetView>
  </sheetViews>
  <sheetFormatPr defaultRowHeight="15" x14ac:dyDescent="0.25"/>
  <cols>
    <col min="1" max="1" width="12.5703125" customWidth="1"/>
    <col min="2" max="2" width="15.5703125" bestFit="1" customWidth="1"/>
    <col min="3" max="3" width="12.28515625" bestFit="1" customWidth="1"/>
    <col min="5" max="5" width="18.5703125" bestFit="1" customWidth="1"/>
    <col min="9" max="9" width="16.7109375" bestFit="1" customWidth="1"/>
    <col min="10" max="10" width="18.42578125" bestFit="1" customWidth="1"/>
    <col min="11" max="11" width="14" bestFit="1" customWidth="1"/>
    <col min="12" max="12" width="14.28515625" bestFit="1" customWidth="1"/>
    <col min="13" max="13" width="22.7109375" bestFit="1" customWidth="1"/>
    <col min="14" max="14" width="44" bestFit="1" customWidth="1"/>
    <col min="15" max="15" width="31.5703125" bestFit="1" customWidth="1"/>
  </cols>
  <sheetData>
    <row r="1" spans="1:15" ht="15.75" thickBot="1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</row>
    <row r="2" spans="1:15" x14ac:dyDescent="0.25">
      <c r="A2" s="1" t="s">
        <v>15</v>
      </c>
      <c r="B2" s="1" t="str">
        <f>"FES1162749129"</f>
        <v>FES1162749129</v>
      </c>
      <c r="C2" s="1" t="s">
        <v>16</v>
      </c>
      <c r="D2" s="1">
        <v>1</v>
      </c>
      <c r="E2" s="1" t="str">
        <f>"2170739599"</f>
        <v>2170739599</v>
      </c>
      <c r="F2" s="1" t="s">
        <v>17</v>
      </c>
      <c r="G2" s="1" t="s">
        <v>18</v>
      </c>
      <c r="H2" s="1" t="s">
        <v>18</v>
      </c>
      <c r="I2" s="1" t="s">
        <v>19</v>
      </c>
      <c r="J2" s="1" t="s">
        <v>20</v>
      </c>
      <c r="K2" s="1" t="s">
        <v>21</v>
      </c>
      <c r="L2" s="2">
        <v>0.375</v>
      </c>
      <c r="M2" s="1" t="s">
        <v>22</v>
      </c>
      <c r="N2" s="3" t="s">
        <v>23</v>
      </c>
      <c r="O2" s="1" t="s">
        <v>24</v>
      </c>
    </row>
    <row r="3" spans="1:15" x14ac:dyDescent="0.25">
      <c r="A3" s="4" t="s">
        <v>15</v>
      </c>
      <c r="B3" s="4" t="str">
        <f>"FES1162749182"</f>
        <v>FES1162749182</v>
      </c>
      <c r="C3" s="4" t="s">
        <v>16</v>
      </c>
      <c r="D3" s="4">
        <v>1</v>
      </c>
      <c r="E3" s="4" t="str">
        <f>"2170737617"</f>
        <v>2170737617</v>
      </c>
      <c r="F3" s="4" t="s">
        <v>17</v>
      </c>
      <c r="G3" s="4" t="s">
        <v>18</v>
      </c>
      <c r="H3" s="4" t="s">
        <v>25</v>
      </c>
      <c r="I3" s="4" t="s">
        <v>26</v>
      </c>
      <c r="J3" s="4" t="s">
        <v>27</v>
      </c>
      <c r="K3" s="4" t="s">
        <v>21</v>
      </c>
      <c r="L3" s="5">
        <v>0.39374999999999999</v>
      </c>
      <c r="M3" s="4" t="s">
        <v>28</v>
      </c>
      <c r="N3" s="6" t="s">
        <v>23</v>
      </c>
      <c r="O3" s="4" t="s">
        <v>24</v>
      </c>
    </row>
    <row r="4" spans="1:15" x14ac:dyDescent="0.25">
      <c r="A4" s="4" t="s">
        <v>15</v>
      </c>
      <c r="B4" s="4" t="str">
        <f>"FES1162749131"</f>
        <v>FES1162749131</v>
      </c>
      <c r="C4" s="4" t="s">
        <v>16</v>
      </c>
      <c r="D4" s="4">
        <v>1</v>
      </c>
      <c r="E4" s="4" t="str">
        <f>"2170739603"</f>
        <v>2170739603</v>
      </c>
      <c r="F4" s="4" t="s">
        <v>17</v>
      </c>
      <c r="G4" s="4" t="s">
        <v>18</v>
      </c>
      <c r="H4" s="4" t="s">
        <v>18</v>
      </c>
      <c r="I4" s="4" t="s">
        <v>29</v>
      </c>
      <c r="J4" s="4" t="s">
        <v>30</v>
      </c>
      <c r="K4" s="4" t="s">
        <v>21</v>
      </c>
      <c r="L4" s="5">
        <v>0.375</v>
      </c>
      <c r="M4" s="4" t="s">
        <v>31</v>
      </c>
      <c r="N4" s="6" t="s">
        <v>23</v>
      </c>
      <c r="O4" s="4" t="s">
        <v>24</v>
      </c>
    </row>
    <row r="5" spans="1:15" x14ac:dyDescent="0.25">
      <c r="A5" s="11" t="s">
        <v>15</v>
      </c>
      <c r="B5" s="11" t="str">
        <f>"FES1162740905"</f>
        <v>FES1162740905</v>
      </c>
      <c r="C5" s="11" t="s">
        <v>16</v>
      </c>
      <c r="D5" s="11">
        <v>1</v>
      </c>
      <c r="E5" s="11" t="str">
        <f>"2170732565"</f>
        <v>2170732565</v>
      </c>
      <c r="F5" s="11" t="s">
        <v>17</v>
      </c>
      <c r="G5" s="11" t="s">
        <v>18</v>
      </c>
      <c r="H5" s="11" t="s">
        <v>32</v>
      </c>
      <c r="I5" s="11" t="s">
        <v>33</v>
      </c>
      <c r="J5" s="11" t="s">
        <v>34</v>
      </c>
      <c r="K5" s="11" t="s">
        <v>21</v>
      </c>
      <c r="L5" s="12">
        <v>0.375</v>
      </c>
      <c r="M5" s="11" t="s">
        <v>35</v>
      </c>
      <c r="N5" s="13" t="s">
        <v>23</v>
      </c>
      <c r="O5" s="11" t="s">
        <v>24</v>
      </c>
    </row>
    <row r="6" spans="1:15" x14ac:dyDescent="0.25">
      <c r="A6" s="11" t="s">
        <v>15</v>
      </c>
      <c r="B6" s="11" t="str">
        <f>"FES1162734108"</f>
        <v>FES1162734108</v>
      </c>
      <c r="C6" s="11" t="s">
        <v>16</v>
      </c>
      <c r="D6" s="11">
        <v>1</v>
      </c>
      <c r="E6" s="11" t="str">
        <f>"2170735481"</f>
        <v>2170735481</v>
      </c>
      <c r="F6" s="11" t="s">
        <v>17</v>
      </c>
      <c r="G6" s="11" t="s">
        <v>18</v>
      </c>
      <c r="H6" s="11" t="s">
        <v>36</v>
      </c>
      <c r="I6" s="11" t="s">
        <v>37</v>
      </c>
      <c r="J6" s="11" t="s">
        <v>38</v>
      </c>
      <c r="K6" s="11" t="s">
        <v>21</v>
      </c>
      <c r="L6" s="12">
        <v>0.3923611111111111</v>
      </c>
      <c r="M6" s="11" t="s">
        <v>39</v>
      </c>
      <c r="N6" s="13" t="s">
        <v>23</v>
      </c>
      <c r="O6" s="11" t="s">
        <v>24</v>
      </c>
    </row>
    <row r="7" spans="1:15" x14ac:dyDescent="0.25">
      <c r="A7" s="11" t="s">
        <v>15</v>
      </c>
      <c r="B7" s="11" t="str">
        <f>"FES1162749150"</f>
        <v>FES1162749150</v>
      </c>
      <c r="C7" s="11" t="s">
        <v>16</v>
      </c>
      <c r="D7" s="11">
        <v>1</v>
      </c>
      <c r="E7" s="11" t="str">
        <f>"2170739649"</f>
        <v>2170739649</v>
      </c>
      <c r="F7" s="11" t="s">
        <v>17</v>
      </c>
      <c r="G7" s="11" t="s">
        <v>18</v>
      </c>
      <c r="H7" s="11" t="s">
        <v>40</v>
      </c>
      <c r="I7" s="11" t="s">
        <v>41</v>
      </c>
      <c r="J7" s="11" t="s">
        <v>42</v>
      </c>
      <c r="K7" s="11" t="s">
        <v>21</v>
      </c>
      <c r="L7" s="12">
        <v>0.3923611111111111</v>
      </c>
      <c r="M7" s="11" t="s">
        <v>642</v>
      </c>
      <c r="N7" s="13" t="s">
        <v>23</v>
      </c>
      <c r="O7" s="11" t="s">
        <v>24</v>
      </c>
    </row>
    <row r="8" spans="1:15" x14ac:dyDescent="0.25">
      <c r="A8" s="11" t="s">
        <v>15</v>
      </c>
      <c r="B8" s="11" t="str">
        <f>"FES1162742729"</f>
        <v>FES1162742729</v>
      </c>
      <c r="C8" s="11" t="s">
        <v>16</v>
      </c>
      <c r="D8" s="11">
        <v>1</v>
      </c>
      <c r="E8" s="11" t="str">
        <f>"2170733496"</f>
        <v>2170733496</v>
      </c>
      <c r="F8" s="11" t="s">
        <v>17</v>
      </c>
      <c r="G8" s="11" t="s">
        <v>18</v>
      </c>
      <c r="H8" s="11" t="s">
        <v>18</v>
      </c>
      <c r="I8" s="11" t="s">
        <v>45</v>
      </c>
      <c r="J8" s="11" t="s">
        <v>46</v>
      </c>
      <c r="K8" s="11" t="s">
        <v>21</v>
      </c>
      <c r="L8" s="12">
        <v>0.43055555555555558</v>
      </c>
      <c r="M8" s="11" t="s">
        <v>47</v>
      </c>
      <c r="N8" s="13" t="s">
        <v>23</v>
      </c>
      <c r="O8" s="11" t="s">
        <v>24</v>
      </c>
    </row>
    <row r="9" spans="1:15" x14ac:dyDescent="0.25">
      <c r="A9" s="11" t="s">
        <v>15</v>
      </c>
      <c r="B9" s="11" t="str">
        <f>"FES1162745522"</f>
        <v>FES1162745522</v>
      </c>
      <c r="C9" s="11" t="s">
        <v>16</v>
      </c>
      <c r="D9" s="11">
        <v>1</v>
      </c>
      <c r="E9" s="11" t="str">
        <f>"2170732562"</f>
        <v>2170732562</v>
      </c>
      <c r="F9" s="11" t="s">
        <v>17</v>
      </c>
      <c r="G9" s="11" t="s">
        <v>18</v>
      </c>
      <c r="H9" s="11" t="s">
        <v>32</v>
      </c>
      <c r="I9" s="11" t="s">
        <v>33</v>
      </c>
      <c r="J9" s="11" t="s">
        <v>34</v>
      </c>
      <c r="K9" s="11" t="s">
        <v>21</v>
      </c>
      <c r="L9" s="12">
        <v>0.375</v>
      </c>
      <c r="M9" s="11" t="s">
        <v>35</v>
      </c>
      <c r="N9" s="13" t="s">
        <v>23</v>
      </c>
      <c r="O9" s="11" t="s">
        <v>24</v>
      </c>
    </row>
    <row r="10" spans="1:15" x14ac:dyDescent="0.25">
      <c r="A10" s="11" t="s">
        <v>15</v>
      </c>
      <c r="B10" s="11" t="str">
        <f>"FES1162749130"</f>
        <v>FES1162749130</v>
      </c>
      <c r="C10" s="11" t="s">
        <v>16</v>
      </c>
      <c r="D10" s="11">
        <v>1</v>
      </c>
      <c r="E10" s="11" t="str">
        <f>"2170739600"</f>
        <v>2170739600</v>
      </c>
      <c r="F10" s="11" t="s">
        <v>17</v>
      </c>
      <c r="G10" s="11" t="s">
        <v>18</v>
      </c>
      <c r="H10" s="11" t="s">
        <v>18</v>
      </c>
      <c r="I10" s="11" t="s">
        <v>19</v>
      </c>
      <c r="J10" s="11" t="s">
        <v>20</v>
      </c>
      <c r="K10" s="11" t="s">
        <v>21</v>
      </c>
      <c r="L10" s="12">
        <v>0.375</v>
      </c>
      <c r="M10" s="11" t="s">
        <v>22</v>
      </c>
      <c r="N10" s="13" t="s">
        <v>23</v>
      </c>
      <c r="O10" s="11" t="s">
        <v>24</v>
      </c>
    </row>
    <row r="11" spans="1:15" x14ac:dyDescent="0.25">
      <c r="A11" s="4" t="s">
        <v>15</v>
      </c>
      <c r="B11" s="4" t="str">
        <f>"FES1162749143"</f>
        <v>FES1162749143</v>
      </c>
      <c r="C11" s="4" t="s">
        <v>16</v>
      </c>
      <c r="D11" s="4">
        <v>1</v>
      </c>
      <c r="E11" s="4" t="str">
        <f>"2170739634"</f>
        <v>2170739634</v>
      </c>
      <c r="F11" s="4" t="s">
        <v>17</v>
      </c>
      <c r="G11" s="4" t="s">
        <v>18</v>
      </c>
      <c r="H11" s="4" t="s">
        <v>48</v>
      </c>
      <c r="I11" s="4" t="s">
        <v>49</v>
      </c>
      <c r="J11" s="4" t="s">
        <v>50</v>
      </c>
      <c r="K11" s="4" t="s">
        <v>21</v>
      </c>
      <c r="L11" s="5">
        <v>0.3527777777777778</v>
      </c>
      <c r="M11" s="4" t="s">
        <v>51</v>
      </c>
      <c r="N11" s="6" t="s">
        <v>23</v>
      </c>
      <c r="O11" s="4" t="s">
        <v>24</v>
      </c>
    </row>
    <row r="12" spans="1:15" x14ac:dyDescent="0.25">
      <c r="A12" s="4" t="s">
        <v>15</v>
      </c>
      <c r="B12" s="4" t="str">
        <f>"FES1162749142"</f>
        <v>FES1162749142</v>
      </c>
      <c r="C12" s="4" t="s">
        <v>16</v>
      </c>
      <c r="D12" s="4">
        <v>1</v>
      </c>
      <c r="E12" s="4" t="str">
        <f>"2170739627"</f>
        <v>2170739627</v>
      </c>
      <c r="F12" s="4" t="s">
        <v>17</v>
      </c>
      <c r="G12" s="4" t="s">
        <v>18</v>
      </c>
      <c r="H12" s="4" t="s">
        <v>52</v>
      </c>
      <c r="I12" s="4" t="s">
        <v>53</v>
      </c>
      <c r="J12" s="4" t="s">
        <v>54</v>
      </c>
      <c r="K12" s="4" t="s">
        <v>21</v>
      </c>
      <c r="L12" s="5">
        <v>0.43124999999999997</v>
      </c>
      <c r="M12" s="4" t="s">
        <v>55</v>
      </c>
      <c r="N12" s="6" t="s">
        <v>23</v>
      </c>
      <c r="O12" s="4" t="s">
        <v>24</v>
      </c>
    </row>
    <row r="13" spans="1:15" x14ac:dyDescent="0.25">
      <c r="A13" s="4" t="s">
        <v>15</v>
      </c>
      <c r="B13" s="4" t="str">
        <f>"FES1162749147"</f>
        <v>FES1162749147</v>
      </c>
      <c r="C13" s="4" t="s">
        <v>16</v>
      </c>
      <c r="D13" s="4">
        <v>1</v>
      </c>
      <c r="E13" s="4" t="str">
        <f>"2170739644"</f>
        <v>2170739644</v>
      </c>
      <c r="F13" s="4" t="s">
        <v>17</v>
      </c>
      <c r="G13" s="4" t="s">
        <v>18</v>
      </c>
      <c r="H13" s="4" t="s">
        <v>52</v>
      </c>
      <c r="I13" s="4" t="s">
        <v>53</v>
      </c>
      <c r="J13" s="4" t="s">
        <v>56</v>
      </c>
      <c r="K13" s="4" t="s">
        <v>21</v>
      </c>
      <c r="L13" s="5">
        <v>0.43194444444444446</v>
      </c>
      <c r="M13" s="4" t="s">
        <v>57</v>
      </c>
      <c r="N13" s="6" t="s">
        <v>23</v>
      </c>
      <c r="O13" s="4" t="s">
        <v>24</v>
      </c>
    </row>
    <row r="14" spans="1:15" x14ac:dyDescent="0.25">
      <c r="A14" s="4" t="s">
        <v>15</v>
      </c>
      <c r="B14" s="4" t="str">
        <f>"FES1162742726"</f>
        <v>FES1162742726</v>
      </c>
      <c r="C14" s="4" t="s">
        <v>16</v>
      </c>
      <c r="D14" s="4">
        <v>1</v>
      </c>
      <c r="E14" s="4" t="str">
        <f>"2170733348"</f>
        <v>2170733348</v>
      </c>
      <c r="F14" s="4" t="s">
        <v>17</v>
      </c>
      <c r="G14" s="4" t="s">
        <v>18</v>
      </c>
      <c r="H14" s="4" t="s">
        <v>18</v>
      </c>
      <c r="I14" s="4" t="s">
        <v>58</v>
      </c>
      <c r="J14" s="4" t="s">
        <v>59</v>
      </c>
      <c r="K14" s="4" t="s">
        <v>21</v>
      </c>
      <c r="L14" s="5">
        <v>0.375</v>
      </c>
      <c r="M14" s="4" t="s">
        <v>60</v>
      </c>
      <c r="N14" s="6" t="s">
        <v>23</v>
      </c>
      <c r="O14" s="4" t="s">
        <v>24</v>
      </c>
    </row>
    <row r="15" spans="1:15" x14ac:dyDescent="0.25">
      <c r="A15" s="4" t="s">
        <v>15</v>
      </c>
      <c r="B15" s="4" t="str">
        <f>"FES1162749139"</f>
        <v>FES1162749139</v>
      </c>
      <c r="C15" s="4" t="s">
        <v>16</v>
      </c>
      <c r="D15" s="4">
        <v>1</v>
      </c>
      <c r="E15" s="4" t="str">
        <f>"2170739624"</f>
        <v>2170739624</v>
      </c>
      <c r="F15" s="4" t="s">
        <v>17</v>
      </c>
      <c r="G15" s="4" t="s">
        <v>18</v>
      </c>
      <c r="H15" s="4" t="s">
        <v>18</v>
      </c>
      <c r="I15" s="4" t="s">
        <v>19</v>
      </c>
      <c r="J15" s="4" t="s">
        <v>61</v>
      </c>
      <c r="K15" s="4" t="s">
        <v>21</v>
      </c>
      <c r="L15" s="5">
        <v>0.375</v>
      </c>
      <c r="M15" s="4" t="s">
        <v>62</v>
      </c>
      <c r="N15" s="6" t="s">
        <v>23</v>
      </c>
      <c r="O15" s="4" t="s">
        <v>24</v>
      </c>
    </row>
    <row r="16" spans="1:15" x14ac:dyDescent="0.25">
      <c r="A16" s="4" t="s">
        <v>15</v>
      </c>
      <c r="B16" s="4" t="str">
        <f>"FES1162749123"</f>
        <v>FES1162749123</v>
      </c>
      <c r="C16" s="4" t="s">
        <v>16</v>
      </c>
      <c r="D16" s="4">
        <v>1</v>
      </c>
      <c r="E16" s="4" t="str">
        <f>"2170738205"</f>
        <v>2170738205</v>
      </c>
      <c r="F16" s="4" t="s">
        <v>17</v>
      </c>
      <c r="G16" s="4" t="s">
        <v>18</v>
      </c>
      <c r="H16" s="4" t="s">
        <v>18</v>
      </c>
      <c r="I16" s="4" t="s">
        <v>45</v>
      </c>
      <c r="J16" s="4" t="s">
        <v>63</v>
      </c>
      <c r="K16" s="4" t="s">
        <v>21</v>
      </c>
      <c r="L16" s="5">
        <v>0.375</v>
      </c>
      <c r="M16" s="4" t="s">
        <v>438</v>
      </c>
      <c r="N16" s="6" t="s">
        <v>23</v>
      </c>
      <c r="O16" s="4" t="s">
        <v>24</v>
      </c>
    </row>
    <row r="17" spans="1:15" x14ac:dyDescent="0.25">
      <c r="A17" s="4" t="s">
        <v>15</v>
      </c>
      <c r="B17" s="4" t="str">
        <f>"FES1162749144"</f>
        <v>FES1162749144</v>
      </c>
      <c r="C17" s="4" t="s">
        <v>16</v>
      </c>
      <c r="D17" s="4">
        <v>1</v>
      </c>
      <c r="E17" s="4" t="str">
        <f>"2170739636"</f>
        <v>2170739636</v>
      </c>
      <c r="F17" s="4" t="s">
        <v>17</v>
      </c>
      <c r="G17" s="4" t="s">
        <v>18</v>
      </c>
      <c r="H17" s="4" t="s">
        <v>18</v>
      </c>
      <c r="I17" s="4" t="s">
        <v>29</v>
      </c>
      <c r="J17" s="4" t="s">
        <v>64</v>
      </c>
      <c r="K17" s="4" t="s">
        <v>21</v>
      </c>
      <c r="L17" s="5">
        <v>0.375</v>
      </c>
      <c r="M17" s="4" t="s">
        <v>65</v>
      </c>
      <c r="N17" s="6" t="s">
        <v>23</v>
      </c>
      <c r="O17" s="4" t="s">
        <v>24</v>
      </c>
    </row>
    <row r="18" spans="1:15" x14ac:dyDescent="0.25">
      <c r="A18" s="4" t="s">
        <v>15</v>
      </c>
      <c r="B18" s="4" t="str">
        <f>"FES1162749148"</f>
        <v>FES1162749148</v>
      </c>
      <c r="C18" s="4" t="s">
        <v>16</v>
      </c>
      <c r="D18" s="4">
        <v>1</v>
      </c>
      <c r="E18" s="4" t="str">
        <f>"2170739647"</f>
        <v>2170739647</v>
      </c>
      <c r="F18" s="4" t="s">
        <v>17</v>
      </c>
      <c r="G18" s="4" t="s">
        <v>18</v>
      </c>
      <c r="H18" s="4" t="s">
        <v>32</v>
      </c>
      <c r="I18" s="4" t="s">
        <v>33</v>
      </c>
      <c r="J18" s="4" t="s">
        <v>66</v>
      </c>
      <c r="K18" s="4" t="s">
        <v>21</v>
      </c>
      <c r="L18" s="5">
        <v>0.39930555555555558</v>
      </c>
      <c r="M18" s="4" t="s">
        <v>67</v>
      </c>
      <c r="N18" s="6" t="s">
        <v>23</v>
      </c>
      <c r="O18" s="4" t="s">
        <v>24</v>
      </c>
    </row>
    <row r="19" spans="1:15" x14ac:dyDescent="0.25">
      <c r="A19" s="4" t="s">
        <v>15</v>
      </c>
      <c r="B19" s="4" t="str">
        <f>"FES1162749152"</f>
        <v>FES1162749152</v>
      </c>
      <c r="C19" s="4" t="s">
        <v>16</v>
      </c>
      <c r="D19" s="4">
        <v>1</v>
      </c>
      <c r="E19" s="4" t="str">
        <f>"2170739652"</f>
        <v>2170739652</v>
      </c>
      <c r="F19" s="4" t="s">
        <v>17</v>
      </c>
      <c r="G19" s="4" t="s">
        <v>18</v>
      </c>
      <c r="H19" s="4" t="s">
        <v>18</v>
      </c>
      <c r="I19" s="4" t="s">
        <v>68</v>
      </c>
      <c r="J19" s="4" t="s">
        <v>69</v>
      </c>
      <c r="K19" s="4" t="s">
        <v>21</v>
      </c>
      <c r="L19" s="5">
        <v>0.38055555555555554</v>
      </c>
      <c r="M19" s="4" t="s">
        <v>70</v>
      </c>
      <c r="N19" s="6" t="s">
        <v>23</v>
      </c>
      <c r="O19" s="4" t="s">
        <v>24</v>
      </c>
    </row>
    <row r="20" spans="1:15" x14ac:dyDescent="0.25">
      <c r="A20" s="4" t="s">
        <v>15</v>
      </c>
      <c r="B20" s="4" t="str">
        <f>"FES1162749137"</f>
        <v>FES1162749137</v>
      </c>
      <c r="C20" s="4" t="s">
        <v>16</v>
      </c>
      <c r="D20" s="4">
        <v>1</v>
      </c>
      <c r="E20" s="4" t="str">
        <f>"2170739622"</f>
        <v>2170739622</v>
      </c>
      <c r="F20" s="4" t="s">
        <v>17</v>
      </c>
      <c r="G20" s="4" t="s">
        <v>18</v>
      </c>
      <c r="H20" s="4" t="s">
        <v>18</v>
      </c>
      <c r="I20" s="4" t="s">
        <v>29</v>
      </c>
      <c r="J20" s="4" t="s">
        <v>71</v>
      </c>
      <c r="K20" s="4" t="s">
        <v>21</v>
      </c>
      <c r="L20" s="5">
        <v>0.43055555555555558</v>
      </c>
      <c r="M20" s="4" t="s">
        <v>72</v>
      </c>
      <c r="N20" s="6" t="s">
        <v>23</v>
      </c>
      <c r="O20" s="4" t="s">
        <v>24</v>
      </c>
    </row>
    <row r="21" spans="1:15" x14ac:dyDescent="0.25">
      <c r="A21" s="4" t="s">
        <v>15</v>
      </c>
      <c r="B21" s="4" t="str">
        <f>"FES1162741434"</f>
        <v>FES1162741434</v>
      </c>
      <c r="C21" s="4" t="s">
        <v>16</v>
      </c>
      <c r="D21" s="4">
        <v>1</v>
      </c>
      <c r="E21" s="4" t="str">
        <f>"2170739562"</f>
        <v>2170739562</v>
      </c>
      <c r="F21" s="4" t="s">
        <v>17</v>
      </c>
      <c r="G21" s="4" t="s">
        <v>18</v>
      </c>
      <c r="H21" s="4" t="s">
        <v>32</v>
      </c>
      <c r="I21" s="4" t="s">
        <v>33</v>
      </c>
      <c r="J21" s="4" t="s">
        <v>34</v>
      </c>
      <c r="K21" s="4" t="s">
        <v>21</v>
      </c>
      <c r="L21" s="5">
        <v>0.375</v>
      </c>
      <c r="M21" s="4" t="s">
        <v>35</v>
      </c>
      <c r="N21" s="6" t="s">
        <v>23</v>
      </c>
      <c r="O21" s="4" t="s">
        <v>24</v>
      </c>
    </row>
    <row r="22" spans="1:15" x14ac:dyDescent="0.25">
      <c r="A22" s="4" t="s">
        <v>15</v>
      </c>
      <c r="B22" s="4" t="str">
        <f>"FES1162749135"</f>
        <v>FES1162749135</v>
      </c>
      <c r="C22" s="4" t="s">
        <v>16</v>
      </c>
      <c r="D22" s="4">
        <v>1</v>
      </c>
      <c r="E22" s="4" t="str">
        <f>"2170739612"</f>
        <v>2170739612</v>
      </c>
      <c r="F22" s="4" t="s">
        <v>17</v>
      </c>
      <c r="G22" s="4" t="s">
        <v>18</v>
      </c>
      <c r="H22" s="4" t="s">
        <v>18</v>
      </c>
      <c r="I22" s="4" t="s">
        <v>19</v>
      </c>
      <c r="J22" s="4" t="s">
        <v>20</v>
      </c>
      <c r="K22" s="4" t="s">
        <v>21</v>
      </c>
      <c r="L22" s="5">
        <v>0.3743055555555555</v>
      </c>
      <c r="M22" s="4" t="s">
        <v>22</v>
      </c>
      <c r="N22" s="6" t="s">
        <v>23</v>
      </c>
      <c r="O22" s="4" t="s">
        <v>24</v>
      </c>
    </row>
    <row r="23" spans="1:15" x14ac:dyDescent="0.25">
      <c r="A23" s="11" t="s">
        <v>15</v>
      </c>
      <c r="B23" s="11" t="str">
        <f>"FES1162733848"</f>
        <v>FES1162733848</v>
      </c>
      <c r="C23" s="11" t="s">
        <v>16</v>
      </c>
      <c r="D23" s="11">
        <v>1</v>
      </c>
      <c r="E23" s="11" t="str">
        <f>"2170726361"</f>
        <v>2170726361</v>
      </c>
      <c r="F23" s="11" t="s">
        <v>17</v>
      </c>
      <c r="G23" s="11" t="s">
        <v>18</v>
      </c>
      <c r="H23" s="11" t="s">
        <v>48</v>
      </c>
      <c r="I23" s="11" t="s">
        <v>73</v>
      </c>
      <c r="J23" s="11" t="s">
        <v>74</v>
      </c>
      <c r="K23" s="11" t="s">
        <v>21</v>
      </c>
      <c r="L23" s="12">
        <v>0.39305555555555555</v>
      </c>
      <c r="M23" s="11" t="s">
        <v>75</v>
      </c>
      <c r="N23" s="13" t="s">
        <v>23</v>
      </c>
      <c r="O23" s="11" t="s">
        <v>24</v>
      </c>
    </row>
    <row r="24" spans="1:15" x14ac:dyDescent="0.25">
      <c r="A24" s="11" t="s">
        <v>15</v>
      </c>
      <c r="B24" s="11" t="str">
        <f>"FES1162733195"</f>
        <v>FES1162733195</v>
      </c>
      <c r="C24" s="11" t="s">
        <v>16</v>
      </c>
      <c r="D24" s="11">
        <v>1</v>
      </c>
      <c r="E24" s="11" t="str">
        <f>"2170725582"</f>
        <v>2170725582</v>
      </c>
      <c r="F24" s="11" t="s">
        <v>17</v>
      </c>
      <c r="G24" s="11" t="s">
        <v>18</v>
      </c>
      <c r="H24" s="11" t="s">
        <v>36</v>
      </c>
      <c r="I24" s="11" t="s">
        <v>37</v>
      </c>
      <c r="J24" s="11" t="s">
        <v>38</v>
      </c>
      <c r="K24" s="11" t="s">
        <v>21</v>
      </c>
      <c r="L24" s="12">
        <v>0.39027777777777778</v>
      </c>
      <c r="M24" s="11" t="s">
        <v>76</v>
      </c>
      <c r="N24" s="13" t="s">
        <v>23</v>
      </c>
      <c r="O24" s="11" t="s">
        <v>24</v>
      </c>
    </row>
    <row r="25" spans="1:15" x14ac:dyDescent="0.25">
      <c r="A25" s="11" t="s">
        <v>15</v>
      </c>
      <c r="B25" s="11" t="str">
        <f>"FES1162749165"</f>
        <v>FES1162749165</v>
      </c>
      <c r="C25" s="11" t="s">
        <v>16</v>
      </c>
      <c r="D25" s="11">
        <v>1</v>
      </c>
      <c r="E25" s="11" t="str">
        <f>"2170739674"</f>
        <v>2170739674</v>
      </c>
      <c r="F25" s="11" t="s">
        <v>17</v>
      </c>
      <c r="G25" s="11" t="s">
        <v>18</v>
      </c>
      <c r="H25" s="11" t="s">
        <v>40</v>
      </c>
      <c r="I25" s="11" t="s">
        <v>41</v>
      </c>
      <c r="J25" s="11" t="s">
        <v>77</v>
      </c>
      <c r="K25" s="11" t="s">
        <v>21</v>
      </c>
      <c r="L25" s="12">
        <v>0.39027777777777778</v>
      </c>
      <c r="M25" s="11" t="s">
        <v>643</v>
      </c>
      <c r="N25" s="13" t="s">
        <v>23</v>
      </c>
      <c r="O25" s="14"/>
    </row>
    <row r="26" spans="1:15" x14ac:dyDescent="0.25">
      <c r="A26" s="11" t="s">
        <v>15</v>
      </c>
      <c r="B26" s="11" t="str">
        <f>"FES1162749134"</f>
        <v>FES1162749134</v>
      </c>
      <c r="C26" s="11" t="s">
        <v>16</v>
      </c>
      <c r="D26" s="11">
        <v>1</v>
      </c>
      <c r="E26" s="11" t="str">
        <f>"21707396211"</f>
        <v>21707396211</v>
      </c>
      <c r="F26" s="11" t="s">
        <v>17</v>
      </c>
      <c r="G26" s="11" t="s">
        <v>18</v>
      </c>
      <c r="H26" s="11" t="s">
        <v>40</v>
      </c>
      <c r="I26" s="11" t="s">
        <v>78</v>
      </c>
      <c r="J26" s="11" t="s">
        <v>79</v>
      </c>
      <c r="K26" s="11" t="s">
        <v>21</v>
      </c>
      <c r="L26" s="12">
        <v>0.375</v>
      </c>
      <c r="M26" s="11" t="s">
        <v>437</v>
      </c>
      <c r="N26" s="11" t="s">
        <v>23</v>
      </c>
      <c r="O26" s="11" t="s">
        <v>24</v>
      </c>
    </row>
    <row r="27" spans="1:15" x14ac:dyDescent="0.25">
      <c r="A27" s="11" t="s">
        <v>15</v>
      </c>
      <c r="B27" s="11" t="str">
        <f>"FES1162749146"</f>
        <v>FES1162749146</v>
      </c>
      <c r="C27" s="11" t="s">
        <v>16</v>
      </c>
      <c r="D27" s="11">
        <v>1</v>
      </c>
      <c r="E27" s="11" t="str">
        <f>"2170737643"</f>
        <v>2170737643</v>
      </c>
      <c r="F27" s="11" t="s">
        <v>17</v>
      </c>
      <c r="G27" s="11" t="s">
        <v>18</v>
      </c>
      <c r="H27" s="11" t="s">
        <v>52</v>
      </c>
      <c r="I27" s="11" t="s">
        <v>53</v>
      </c>
      <c r="J27" s="11" t="s">
        <v>56</v>
      </c>
      <c r="K27" s="11" t="s">
        <v>21</v>
      </c>
      <c r="L27" s="12">
        <v>0.43194444444444446</v>
      </c>
      <c r="M27" s="11" t="s">
        <v>57</v>
      </c>
      <c r="N27" s="13" t="s">
        <v>23</v>
      </c>
      <c r="O27" s="11" t="s">
        <v>24</v>
      </c>
    </row>
    <row r="28" spans="1:15" x14ac:dyDescent="0.25">
      <c r="A28" s="4" t="s">
        <v>15</v>
      </c>
      <c r="B28" s="4" t="str">
        <f>"FES1162741698"</f>
        <v>FES1162741698</v>
      </c>
      <c r="C28" s="4" t="s">
        <v>16</v>
      </c>
      <c r="D28" s="4">
        <v>1</v>
      </c>
      <c r="E28" s="4" t="str">
        <f>"2170733249"</f>
        <v>2170733249</v>
      </c>
      <c r="F28" s="4" t="s">
        <v>17</v>
      </c>
      <c r="G28" s="4" t="s">
        <v>18</v>
      </c>
      <c r="H28" s="4" t="s">
        <v>18</v>
      </c>
      <c r="I28" s="4" t="s">
        <v>19</v>
      </c>
      <c r="J28" s="4" t="s">
        <v>80</v>
      </c>
      <c r="K28" s="4" t="s">
        <v>21</v>
      </c>
      <c r="L28" s="5">
        <v>0.60416666666666663</v>
      </c>
      <c r="M28" s="4" t="s">
        <v>81</v>
      </c>
      <c r="N28" s="6" t="s">
        <v>23</v>
      </c>
      <c r="O28" s="4" t="s">
        <v>24</v>
      </c>
    </row>
    <row r="29" spans="1:15" x14ac:dyDescent="0.25">
      <c r="A29" s="4" t="s">
        <v>15</v>
      </c>
      <c r="B29" s="4" t="str">
        <f>"FES1162735476"</f>
        <v>FES1162735476</v>
      </c>
      <c r="C29" s="4" t="s">
        <v>16</v>
      </c>
      <c r="D29" s="4">
        <v>1</v>
      </c>
      <c r="E29" s="4" t="str">
        <f>"2170725481"</f>
        <v>2170725481</v>
      </c>
      <c r="F29" s="4" t="s">
        <v>17</v>
      </c>
      <c r="G29" s="4" t="s">
        <v>18</v>
      </c>
      <c r="H29" s="4" t="s">
        <v>36</v>
      </c>
      <c r="I29" s="4" t="s">
        <v>37</v>
      </c>
      <c r="J29" s="4" t="s">
        <v>38</v>
      </c>
      <c r="K29" s="4" t="s">
        <v>21</v>
      </c>
      <c r="L29" s="5">
        <v>0.41319444444444442</v>
      </c>
      <c r="M29" s="4" t="s">
        <v>82</v>
      </c>
      <c r="N29" s="6" t="s">
        <v>23</v>
      </c>
      <c r="O29" s="4" t="s">
        <v>24</v>
      </c>
    </row>
    <row r="30" spans="1:15" x14ac:dyDescent="0.25">
      <c r="A30" s="4" t="s">
        <v>15</v>
      </c>
      <c r="B30" s="4" t="str">
        <f>"FES1162749158"</f>
        <v>FES1162749158</v>
      </c>
      <c r="C30" s="4" t="s">
        <v>16</v>
      </c>
      <c r="D30" s="4">
        <v>1</v>
      </c>
      <c r="E30" s="4" t="str">
        <f>"2170739662"</f>
        <v>2170739662</v>
      </c>
      <c r="F30" s="4" t="s">
        <v>17</v>
      </c>
      <c r="G30" s="4" t="s">
        <v>18</v>
      </c>
      <c r="H30" s="4" t="s">
        <v>25</v>
      </c>
      <c r="I30" s="4" t="s">
        <v>83</v>
      </c>
      <c r="J30" s="4" t="s">
        <v>84</v>
      </c>
      <c r="K30" s="4" t="s">
        <v>21</v>
      </c>
      <c r="L30" s="5">
        <v>0.41319444444444442</v>
      </c>
      <c r="M30" s="4" t="s">
        <v>436</v>
      </c>
      <c r="N30" s="6" t="s">
        <v>23</v>
      </c>
      <c r="O30" s="4" t="s">
        <v>24</v>
      </c>
    </row>
    <row r="31" spans="1:15" x14ac:dyDescent="0.25">
      <c r="A31" s="4" t="s">
        <v>15</v>
      </c>
      <c r="B31" s="4" t="str">
        <f>"FES1162744145"</f>
        <v>FES1162744145</v>
      </c>
      <c r="C31" s="4" t="s">
        <v>16</v>
      </c>
      <c r="D31" s="4">
        <v>1</v>
      </c>
      <c r="E31" s="4" t="str">
        <f>"21707333348"</f>
        <v>21707333348</v>
      </c>
      <c r="F31" s="4" t="s">
        <v>17</v>
      </c>
      <c r="G31" s="4" t="s">
        <v>18</v>
      </c>
      <c r="H31" s="4" t="s">
        <v>18</v>
      </c>
      <c r="I31" s="4" t="s">
        <v>58</v>
      </c>
      <c r="J31" s="4" t="s">
        <v>59</v>
      </c>
      <c r="K31" s="4" t="s">
        <v>21</v>
      </c>
      <c r="L31" s="5">
        <v>0.375</v>
      </c>
      <c r="M31" s="4" t="s">
        <v>60</v>
      </c>
      <c r="N31" s="6" t="s">
        <v>23</v>
      </c>
      <c r="O31" s="4" t="s">
        <v>24</v>
      </c>
    </row>
    <row r="32" spans="1:15" x14ac:dyDescent="0.25">
      <c r="A32" s="4" t="s">
        <v>15</v>
      </c>
      <c r="B32" s="4" t="str">
        <f>"FES1162749140"</f>
        <v>FES1162749140</v>
      </c>
      <c r="C32" s="4" t="s">
        <v>16</v>
      </c>
      <c r="D32" s="4">
        <v>1</v>
      </c>
      <c r="E32" s="4" t="str">
        <f>"2170739625"</f>
        <v>2170739625</v>
      </c>
      <c r="F32" s="4" t="s">
        <v>17</v>
      </c>
      <c r="G32" s="4" t="s">
        <v>18</v>
      </c>
      <c r="H32" s="4" t="s">
        <v>85</v>
      </c>
      <c r="I32" s="4" t="s">
        <v>86</v>
      </c>
      <c r="J32" s="4" t="s">
        <v>87</v>
      </c>
      <c r="K32" s="4" t="s">
        <v>21</v>
      </c>
      <c r="L32" s="5">
        <v>0.57152777777777775</v>
      </c>
      <c r="M32" s="4" t="s">
        <v>88</v>
      </c>
      <c r="N32" s="6" t="s">
        <v>23</v>
      </c>
      <c r="O32" s="4" t="s">
        <v>24</v>
      </c>
    </row>
    <row r="33" spans="1:15" x14ac:dyDescent="0.25">
      <c r="A33" s="11" t="s">
        <v>15</v>
      </c>
      <c r="B33" s="11" t="str">
        <f>"FES1162749138"</f>
        <v>FES1162749138</v>
      </c>
      <c r="C33" s="11" t="s">
        <v>16</v>
      </c>
      <c r="D33" s="11">
        <v>1</v>
      </c>
      <c r="E33" s="11" t="str">
        <f>"21707396326"</f>
        <v>21707396326</v>
      </c>
      <c r="F33" s="11" t="s">
        <v>17</v>
      </c>
      <c r="G33" s="11" t="s">
        <v>18</v>
      </c>
      <c r="H33" s="11" t="s">
        <v>18</v>
      </c>
      <c r="I33" s="11" t="s">
        <v>89</v>
      </c>
      <c r="J33" s="11" t="s">
        <v>90</v>
      </c>
      <c r="K33" s="11" t="s">
        <v>21</v>
      </c>
      <c r="L33" s="12">
        <v>0.375</v>
      </c>
      <c r="M33" s="11" t="s">
        <v>91</v>
      </c>
      <c r="N33" s="13" t="s">
        <v>23</v>
      </c>
      <c r="O33" s="11" t="s">
        <v>24</v>
      </c>
    </row>
    <row r="34" spans="1:15" x14ac:dyDescent="0.25">
      <c r="A34" s="11" t="s">
        <v>15</v>
      </c>
      <c r="B34" s="11" t="str">
        <f>"FES1162749170"</f>
        <v>FES1162749170</v>
      </c>
      <c r="C34" s="11" t="s">
        <v>16</v>
      </c>
      <c r="D34" s="11">
        <v>1</v>
      </c>
      <c r="E34" s="11" t="str">
        <f>"21707369522"</f>
        <v>21707369522</v>
      </c>
      <c r="F34" s="11" t="s">
        <v>17</v>
      </c>
      <c r="G34" s="11" t="s">
        <v>18</v>
      </c>
      <c r="H34" s="11" t="s">
        <v>25</v>
      </c>
      <c r="I34" s="11" t="s">
        <v>92</v>
      </c>
      <c r="J34" s="11" t="s">
        <v>93</v>
      </c>
      <c r="K34" s="11" t="s">
        <v>21</v>
      </c>
      <c r="L34" s="12">
        <v>0.39583333333333331</v>
      </c>
      <c r="M34" s="11" t="s">
        <v>94</v>
      </c>
      <c r="N34" s="13" t="s">
        <v>23</v>
      </c>
      <c r="O34" s="11" t="s">
        <v>24</v>
      </c>
    </row>
    <row r="35" spans="1:15" x14ac:dyDescent="0.25">
      <c r="A35" s="11" t="s">
        <v>15</v>
      </c>
      <c r="B35" s="11" t="str">
        <f>"FES1162749125"</f>
        <v>FES1162749125</v>
      </c>
      <c r="C35" s="11" t="s">
        <v>16</v>
      </c>
      <c r="D35" s="11">
        <v>1</v>
      </c>
      <c r="E35" s="11" t="str">
        <f>"2170738769"</f>
        <v>2170738769</v>
      </c>
      <c r="F35" s="11" t="s">
        <v>17</v>
      </c>
      <c r="G35" s="11" t="s">
        <v>18</v>
      </c>
      <c r="H35" s="11" t="s">
        <v>25</v>
      </c>
      <c r="I35" s="11" t="s">
        <v>26</v>
      </c>
      <c r="J35" s="11" t="s">
        <v>95</v>
      </c>
      <c r="K35" s="11" t="s">
        <v>21</v>
      </c>
      <c r="L35" s="12">
        <v>0.40625</v>
      </c>
      <c r="M35" s="11" t="s">
        <v>96</v>
      </c>
      <c r="N35" s="13" t="s">
        <v>23</v>
      </c>
      <c r="O35" s="11" t="s">
        <v>24</v>
      </c>
    </row>
    <row r="36" spans="1:15" x14ac:dyDescent="0.25">
      <c r="A36" s="11" t="s">
        <v>15</v>
      </c>
      <c r="B36" s="11" t="str">
        <f>"FES1162749185"</f>
        <v>FES1162749185</v>
      </c>
      <c r="C36" s="11" t="s">
        <v>16</v>
      </c>
      <c r="D36" s="11">
        <v>1</v>
      </c>
      <c r="E36" s="11" t="str">
        <f>"2170739326"</f>
        <v>2170739326</v>
      </c>
      <c r="F36" s="11" t="s">
        <v>17</v>
      </c>
      <c r="G36" s="11" t="s">
        <v>18</v>
      </c>
      <c r="H36" s="11" t="s">
        <v>18</v>
      </c>
      <c r="I36" s="11" t="s">
        <v>97</v>
      </c>
      <c r="J36" s="11" t="s">
        <v>98</v>
      </c>
      <c r="K36" s="11" t="s">
        <v>21</v>
      </c>
      <c r="L36" s="12">
        <v>0.40625</v>
      </c>
      <c r="M36" s="11" t="s">
        <v>840</v>
      </c>
      <c r="N36" s="13" t="s">
        <v>23</v>
      </c>
      <c r="O36" s="11" t="s">
        <v>435</v>
      </c>
    </row>
    <row r="37" spans="1:15" x14ac:dyDescent="0.25">
      <c r="A37" s="11" t="s">
        <v>15</v>
      </c>
      <c r="B37" s="11" t="str">
        <f>"FES1162749132"</f>
        <v>FES1162749132</v>
      </c>
      <c r="C37" s="11" t="s">
        <v>16</v>
      </c>
      <c r="D37" s="11">
        <v>1</v>
      </c>
      <c r="E37" s="11" t="str">
        <f>"2170739604"</f>
        <v>2170739604</v>
      </c>
      <c r="F37" s="11" t="s">
        <v>17</v>
      </c>
      <c r="G37" s="11" t="s">
        <v>18</v>
      </c>
      <c r="H37" s="11" t="s">
        <v>18</v>
      </c>
      <c r="I37" s="11" t="s">
        <v>19</v>
      </c>
      <c r="J37" s="11" t="s">
        <v>20</v>
      </c>
      <c r="K37" s="11" t="s">
        <v>21</v>
      </c>
      <c r="L37" s="12">
        <v>0.3756944444444445</v>
      </c>
      <c r="M37" s="11" t="s">
        <v>22</v>
      </c>
      <c r="N37" s="13" t="s">
        <v>23</v>
      </c>
      <c r="O37" s="11" t="s">
        <v>24</v>
      </c>
    </row>
    <row r="38" spans="1:15" x14ac:dyDescent="0.25">
      <c r="A38" s="11" t="s">
        <v>15</v>
      </c>
      <c r="B38" s="11" t="str">
        <f>"FES1162749136"</f>
        <v>FES1162749136</v>
      </c>
      <c r="C38" s="11" t="s">
        <v>16</v>
      </c>
      <c r="D38" s="11">
        <v>1</v>
      </c>
      <c r="E38" s="11" t="str">
        <f>"2170739615"</f>
        <v>2170739615</v>
      </c>
      <c r="F38" s="11" t="s">
        <v>17</v>
      </c>
      <c r="G38" s="11" t="s">
        <v>18</v>
      </c>
      <c r="H38" s="11" t="s">
        <v>18</v>
      </c>
      <c r="I38" s="11" t="s">
        <v>19</v>
      </c>
      <c r="J38" s="11" t="s">
        <v>20</v>
      </c>
      <c r="K38" s="11" t="s">
        <v>21</v>
      </c>
      <c r="L38" s="12">
        <v>0.3756944444444445</v>
      </c>
      <c r="M38" s="11" t="s">
        <v>22</v>
      </c>
      <c r="N38" s="13" t="s">
        <v>23</v>
      </c>
      <c r="O38" s="11" t="s">
        <v>24</v>
      </c>
    </row>
    <row r="39" spans="1:15" x14ac:dyDescent="0.25">
      <c r="A39" s="11" t="s">
        <v>15</v>
      </c>
      <c r="B39" s="11" t="str">
        <f>"FES1162731374"</f>
        <v>FES1162731374</v>
      </c>
      <c r="C39" s="11" t="s">
        <v>16</v>
      </c>
      <c r="D39" s="11">
        <v>1</v>
      </c>
      <c r="E39" s="11" t="str">
        <f>"2170724017"</f>
        <v>2170724017</v>
      </c>
      <c r="F39" s="11" t="s">
        <v>17</v>
      </c>
      <c r="G39" s="11" t="s">
        <v>18</v>
      </c>
      <c r="H39" s="11" t="s">
        <v>40</v>
      </c>
      <c r="I39" s="11" t="s">
        <v>41</v>
      </c>
      <c r="J39" s="11" t="s">
        <v>99</v>
      </c>
      <c r="K39" s="11" t="s">
        <v>21</v>
      </c>
      <c r="L39" s="12">
        <v>0.3756944444444445</v>
      </c>
      <c r="M39" s="11" t="s">
        <v>424</v>
      </c>
      <c r="N39" s="13" t="s">
        <v>23</v>
      </c>
      <c r="O39" s="11" t="s">
        <v>24</v>
      </c>
    </row>
    <row r="40" spans="1:15" x14ac:dyDescent="0.25">
      <c r="A40" s="11" t="s">
        <v>15</v>
      </c>
      <c r="B40" s="11" t="str">
        <f>"FES1162749145"</f>
        <v>FES1162749145</v>
      </c>
      <c r="C40" s="11" t="s">
        <v>16</v>
      </c>
      <c r="D40" s="11">
        <v>1</v>
      </c>
      <c r="E40" s="11" t="str">
        <f>"2170739639"</f>
        <v>2170739639</v>
      </c>
      <c r="F40" s="11" t="s">
        <v>17</v>
      </c>
      <c r="G40" s="11" t="s">
        <v>18</v>
      </c>
      <c r="H40" s="11" t="s">
        <v>48</v>
      </c>
      <c r="I40" s="11" t="s">
        <v>49</v>
      </c>
      <c r="J40" s="11" t="s">
        <v>100</v>
      </c>
      <c r="K40" s="11" t="s">
        <v>21</v>
      </c>
      <c r="L40" s="12">
        <v>0.37916666666666665</v>
      </c>
      <c r="M40" s="11" t="s">
        <v>101</v>
      </c>
      <c r="N40" s="13" t="s">
        <v>23</v>
      </c>
      <c r="O40" s="11" t="s">
        <v>24</v>
      </c>
    </row>
    <row r="41" spans="1:15" x14ac:dyDescent="0.25">
      <c r="A41" s="4" t="s">
        <v>15</v>
      </c>
      <c r="B41" s="4" t="str">
        <f>"FES1162749128"</f>
        <v>FES1162749128</v>
      </c>
      <c r="C41" s="4" t="s">
        <v>16</v>
      </c>
      <c r="D41" s="4">
        <v>1</v>
      </c>
      <c r="E41" s="4" t="str">
        <f>"2170739592"</f>
        <v>2170739592</v>
      </c>
      <c r="F41" s="4" t="s">
        <v>17</v>
      </c>
      <c r="G41" s="4" t="s">
        <v>18</v>
      </c>
      <c r="H41" s="4" t="s">
        <v>48</v>
      </c>
      <c r="I41" s="4" t="s">
        <v>102</v>
      </c>
      <c r="J41" s="4" t="s">
        <v>103</v>
      </c>
      <c r="K41" s="4" t="s">
        <v>21</v>
      </c>
      <c r="L41" s="5">
        <v>0.37916666666666665</v>
      </c>
      <c r="M41" s="4" t="s">
        <v>434</v>
      </c>
      <c r="N41" s="6" t="s">
        <v>23</v>
      </c>
      <c r="O41" s="4" t="s">
        <v>24</v>
      </c>
    </row>
    <row r="42" spans="1:15" x14ac:dyDescent="0.25">
      <c r="A42" s="4" t="s">
        <v>15</v>
      </c>
      <c r="B42" s="4" t="str">
        <f>"FES1162749149"</f>
        <v>FES1162749149</v>
      </c>
      <c r="C42" s="4" t="s">
        <v>16</v>
      </c>
      <c r="D42" s="4">
        <v>1</v>
      </c>
      <c r="E42" s="4" t="str">
        <f>"2170739619"</f>
        <v>2170739619</v>
      </c>
      <c r="F42" s="4" t="s">
        <v>17</v>
      </c>
      <c r="G42" s="4" t="s">
        <v>18</v>
      </c>
      <c r="H42" s="4" t="s">
        <v>48</v>
      </c>
      <c r="I42" s="4" t="s">
        <v>73</v>
      </c>
      <c r="J42" s="4" t="s">
        <v>104</v>
      </c>
      <c r="K42" s="4" t="s">
        <v>21</v>
      </c>
      <c r="L42" s="5">
        <v>0.45347222222222222</v>
      </c>
      <c r="M42" s="4" t="s">
        <v>105</v>
      </c>
      <c r="N42" s="6" t="s">
        <v>23</v>
      </c>
      <c r="O42" s="4" t="s">
        <v>24</v>
      </c>
    </row>
    <row r="43" spans="1:15" x14ac:dyDescent="0.25">
      <c r="A43" s="4" t="s">
        <v>15</v>
      </c>
      <c r="B43" s="4" t="str">
        <f>"FES1162749126"</f>
        <v>FES1162749126</v>
      </c>
      <c r="C43" s="4" t="s">
        <v>16</v>
      </c>
      <c r="D43" s="4">
        <v>1</v>
      </c>
      <c r="E43" s="4" t="str">
        <f>"2170738886"</f>
        <v>2170738886</v>
      </c>
      <c r="F43" s="4" t="s">
        <v>17</v>
      </c>
      <c r="G43" s="4" t="s">
        <v>18</v>
      </c>
      <c r="H43" s="4" t="s">
        <v>32</v>
      </c>
      <c r="I43" s="4" t="s">
        <v>106</v>
      </c>
      <c r="J43" s="4" t="s">
        <v>107</v>
      </c>
      <c r="K43" s="4" t="s">
        <v>21</v>
      </c>
      <c r="L43" s="5">
        <v>0.4375</v>
      </c>
      <c r="M43" s="4" t="s">
        <v>65</v>
      </c>
      <c r="N43" s="6" t="s">
        <v>23</v>
      </c>
      <c r="O43" s="4" t="s">
        <v>24</v>
      </c>
    </row>
    <row r="44" spans="1:15" x14ac:dyDescent="0.25">
      <c r="A44" s="11" t="s">
        <v>15</v>
      </c>
      <c r="B44" s="11" t="str">
        <f>"FES1162749156"</f>
        <v>FES1162749156</v>
      </c>
      <c r="C44" s="11" t="s">
        <v>16</v>
      </c>
      <c r="D44" s="11">
        <v>1</v>
      </c>
      <c r="E44" s="11" t="str">
        <f>"2170739657"</f>
        <v>2170739657</v>
      </c>
      <c r="F44" s="11" t="s">
        <v>17</v>
      </c>
      <c r="G44" s="11" t="s">
        <v>18</v>
      </c>
      <c r="H44" s="11" t="s">
        <v>48</v>
      </c>
      <c r="I44" s="11" t="s">
        <v>108</v>
      </c>
      <c r="J44" s="11" t="s">
        <v>109</v>
      </c>
      <c r="K44" s="11" t="s">
        <v>21</v>
      </c>
      <c r="L44" s="12">
        <v>0.41666666666666669</v>
      </c>
      <c r="M44" s="11" t="s">
        <v>65</v>
      </c>
      <c r="N44" s="13" t="s">
        <v>23</v>
      </c>
      <c r="O44" s="11" t="s">
        <v>24</v>
      </c>
    </row>
    <row r="45" spans="1:15" x14ac:dyDescent="0.25">
      <c r="A45" s="11" t="s">
        <v>15</v>
      </c>
      <c r="B45" s="11" t="str">
        <f>"FES1162749153"</f>
        <v>FES1162749153</v>
      </c>
      <c r="C45" s="11" t="s">
        <v>16</v>
      </c>
      <c r="D45" s="11">
        <v>1</v>
      </c>
      <c r="E45" s="11" t="str">
        <f>"2170739653"</f>
        <v>2170739653</v>
      </c>
      <c r="F45" s="11" t="s">
        <v>17</v>
      </c>
      <c r="G45" s="11" t="s">
        <v>18</v>
      </c>
      <c r="H45" s="11" t="s">
        <v>48</v>
      </c>
      <c r="I45" s="11" t="s">
        <v>110</v>
      </c>
      <c r="J45" s="11" t="s">
        <v>111</v>
      </c>
      <c r="K45" s="11" t="s">
        <v>112</v>
      </c>
      <c r="L45" s="12">
        <v>0.3527777777777778</v>
      </c>
      <c r="M45" s="11" t="s">
        <v>111</v>
      </c>
      <c r="N45" s="13" t="s">
        <v>23</v>
      </c>
      <c r="O45" s="11" t="s">
        <v>24</v>
      </c>
    </row>
    <row r="46" spans="1:15" x14ac:dyDescent="0.25">
      <c r="A46" s="11" t="s">
        <v>15</v>
      </c>
      <c r="B46" s="11" t="str">
        <f>"FES1162749188"</f>
        <v>FES1162749188</v>
      </c>
      <c r="C46" s="11" t="s">
        <v>16</v>
      </c>
      <c r="D46" s="11">
        <v>1</v>
      </c>
      <c r="E46" s="11" t="str">
        <f>"21707396954"</f>
        <v>21707396954</v>
      </c>
      <c r="F46" s="11" t="s">
        <v>17</v>
      </c>
      <c r="G46" s="11" t="s">
        <v>18</v>
      </c>
      <c r="H46" s="11" t="s">
        <v>32</v>
      </c>
      <c r="I46" s="11" t="s">
        <v>33</v>
      </c>
      <c r="J46" s="11" t="s">
        <v>113</v>
      </c>
      <c r="K46" s="11" t="s">
        <v>21</v>
      </c>
      <c r="L46" s="12">
        <v>0.4513888888888889</v>
      </c>
      <c r="M46" s="11" t="s">
        <v>114</v>
      </c>
      <c r="N46" s="13" t="s">
        <v>23</v>
      </c>
      <c r="O46" s="11" t="s">
        <v>24</v>
      </c>
    </row>
    <row r="47" spans="1:15" x14ac:dyDescent="0.25">
      <c r="A47" s="11" t="s">
        <v>15</v>
      </c>
      <c r="B47" s="11" t="str">
        <f>"FES1162747937"</f>
        <v>FES1162747937</v>
      </c>
      <c r="C47" s="11" t="s">
        <v>16</v>
      </c>
      <c r="D47" s="11">
        <v>1</v>
      </c>
      <c r="E47" s="11" t="str">
        <f>"2170737342"</f>
        <v>2170737342</v>
      </c>
      <c r="F47" s="11" t="s">
        <v>17</v>
      </c>
      <c r="G47" s="11" t="s">
        <v>18</v>
      </c>
      <c r="H47" s="11" t="s">
        <v>40</v>
      </c>
      <c r="I47" s="11" t="s">
        <v>41</v>
      </c>
      <c r="J47" s="11" t="s">
        <v>115</v>
      </c>
      <c r="K47" s="11" t="s">
        <v>21</v>
      </c>
      <c r="L47" s="12">
        <v>0.4513888888888889</v>
      </c>
      <c r="M47" s="11" t="s">
        <v>644</v>
      </c>
      <c r="N47" s="13" t="s">
        <v>23</v>
      </c>
      <c r="O47" s="11" t="s">
        <v>24</v>
      </c>
    </row>
    <row r="48" spans="1:15" x14ac:dyDescent="0.25">
      <c r="A48" s="11" t="s">
        <v>15</v>
      </c>
      <c r="B48" s="11" t="str">
        <f>"FES1162749124"</f>
        <v>FES1162749124</v>
      </c>
      <c r="C48" s="11" t="s">
        <v>16</v>
      </c>
      <c r="D48" s="11">
        <v>1</v>
      </c>
      <c r="E48" s="11" t="str">
        <f>"21707378741"</f>
        <v>21707378741</v>
      </c>
      <c r="F48" s="11" t="s">
        <v>17</v>
      </c>
      <c r="G48" s="11" t="s">
        <v>18</v>
      </c>
      <c r="H48" s="11" t="s">
        <v>32</v>
      </c>
      <c r="I48" s="11" t="s">
        <v>106</v>
      </c>
      <c r="J48" s="11" t="s">
        <v>107</v>
      </c>
      <c r="K48" s="11" t="s">
        <v>21</v>
      </c>
      <c r="L48" s="12">
        <v>0.4375</v>
      </c>
      <c r="M48" s="11" t="s">
        <v>65</v>
      </c>
      <c r="N48" s="13" t="s">
        <v>23</v>
      </c>
      <c r="O48" s="11" t="s">
        <v>24</v>
      </c>
    </row>
    <row r="49" spans="1:15" x14ac:dyDescent="0.25">
      <c r="A49" s="4" t="s">
        <v>15</v>
      </c>
      <c r="B49" s="4" t="str">
        <f>"FES1162742702"</f>
        <v>FES1162742702</v>
      </c>
      <c r="C49" s="4" t="s">
        <v>16</v>
      </c>
      <c r="D49" s="4">
        <v>1</v>
      </c>
      <c r="E49" s="4" t="str">
        <f>"2170731704"</f>
        <v>2170731704</v>
      </c>
      <c r="F49" s="4" t="s">
        <v>17</v>
      </c>
      <c r="G49" s="4" t="s">
        <v>18</v>
      </c>
      <c r="H49" s="4" t="s">
        <v>48</v>
      </c>
      <c r="I49" s="4" t="s">
        <v>73</v>
      </c>
      <c r="J49" s="4" t="s">
        <v>116</v>
      </c>
      <c r="K49" s="4" t="s">
        <v>21</v>
      </c>
      <c r="L49" s="5">
        <v>0.46736111111111112</v>
      </c>
      <c r="M49" s="4" t="s">
        <v>117</v>
      </c>
      <c r="N49" s="6" t="s">
        <v>23</v>
      </c>
      <c r="O49" s="4" t="s">
        <v>24</v>
      </c>
    </row>
    <row r="50" spans="1:15" x14ac:dyDescent="0.25">
      <c r="A50" s="11" t="s">
        <v>15</v>
      </c>
      <c r="B50" s="11" t="str">
        <f>"FES1162741909"</f>
        <v>FES1162741909</v>
      </c>
      <c r="C50" s="11" t="s">
        <v>16</v>
      </c>
      <c r="D50" s="11">
        <v>1</v>
      </c>
      <c r="E50" s="11" t="str">
        <f>"2170733165"</f>
        <v>2170733165</v>
      </c>
      <c r="F50" s="11" t="s">
        <v>17</v>
      </c>
      <c r="G50" s="11" t="s">
        <v>18</v>
      </c>
      <c r="H50" s="11" t="s">
        <v>18</v>
      </c>
      <c r="I50" s="11" t="s">
        <v>29</v>
      </c>
      <c r="J50" s="11" t="s">
        <v>118</v>
      </c>
      <c r="K50" s="11" t="s">
        <v>21</v>
      </c>
      <c r="L50" s="12">
        <v>0.46736111111111112</v>
      </c>
      <c r="M50" s="11" t="s">
        <v>1636</v>
      </c>
      <c r="N50" s="13" t="s">
        <v>23</v>
      </c>
      <c r="O50" s="11" t="s">
        <v>433</v>
      </c>
    </row>
    <row r="51" spans="1:15" x14ac:dyDescent="0.25">
      <c r="A51" s="4" t="s">
        <v>15</v>
      </c>
      <c r="B51" s="4" t="str">
        <f>"FES1162749141"</f>
        <v>FES1162749141</v>
      </c>
      <c r="C51" s="4" t="s">
        <v>16</v>
      </c>
      <c r="D51" s="4">
        <v>1</v>
      </c>
      <c r="E51" s="4" t="str">
        <f>"2170739626"</f>
        <v>2170739626</v>
      </c>
      <c r="F51" s="4" t="s">
        <v>17</v>
      </c>
      <c r="G51" s="4" t="s">
        <v>18</v>
      </c>
      <c r="H51" s="4" t="s">
        <v>48</v>
      </c>
      <c r="I51" s="4" t="s">
        <v>49</v>
      </c>
      <c r="J51" s="4" t="s">
        <v>119</v>
      </c>
      <c r="K51" s="4" t="s">
        <v>21</v>
      </c>
      <c r="L51" s="5">
        <v>0.40833333333333338</v>
      </c>
      <c r="M51" s="4" t="s">
        <v>120</v>
      </c>
      <c r="N51" s="6" t="s">
        <v>23</v>
      </c>
      <c r="O51" s="4" t="s">
        <v>24</v>
      </c>
    </row>
    <row r="52" spans="1:15" x14ac:dyDescent="0.25">
      <c r="A52" s="4" t="s">
        <v>15</v>
      </c>
      <c r="B52" s="4" t="str">
        <f>"FES1162684328"</f>
        <v>FES1162684328</v>
      </c>
      <c r="C52" s="4" t="s">
        <v>16</v>
      </c>
      <c r="D52" s="4">
        <v>1</v>
      </c>
      <c r="E52" s="4" t="str">
        <f>"21707380579"</f>
        <v>21707380579</v>
      </c>
      <c r="F52" s="4" t="s">
        <v>17</v>
      </c>
      <c r="G52" s="4" t="s">
        <v>18</v>
      </c>
      <c r="H52" s="4" t="s">
        <v>18</v>
      </c>
      <c r="I52" s="4" t="s">
        <v>121</v>
      </c>
      <c r="J52" s="4" t="s">
        <v>122</v>
      </c>
      <c r="K52" s="4" t="s">
        <v>21</v>
      </c>
      <c r="L52" s="5">
        <v>0.4284722222222222</v>
      </c>
      <c r="M52" s="4" t="s">
        <v>123</v>
      </c>
      <c r="N52" s="6" t="s">
        <v>23</v>
      </c>
      <c r="O52" s="4" t="s">
        <v>24</v>
      </c>
    </row>
    <row r="53" spans="1:15" x14ac:dyDescent="0.25">
      <c r="A53" s="4" t="s">
        <v>15</v>
      </c>
      <c r="B53" s="4" t="str">
        <f>"FES1162749157"</f>
        <v>FES1162749157</v>
      </c>
      <c r="C53" s="4" t="s">
        <v>16</v>
      </c>
      <c r="D53" s="4">
        <v>1</v>
      </c>
      <c r="E53" s="4" t="str">
        <f>"2170739037"</f>
        <v>2170739037</v>
      </c>
      <c r="F53" s="4" t="s">
        <v>17</v>
      </c>
      <c r="G53" s="4" t="s">
        <v>18</v>
      </c>
      <c r="H53" s="4" t="s">
        <v>48</v>
      </c>
      <c r="I53" s="4" t="s">
        <v>49</v>
      </c>
      <c r="J53" s="4" t="s">
        <v>124</v>
      </c>
      <c r="K53" s="4" t="s">
        <v>21</v>
      </c>
      <c r="L53" s="5">
        <v>0.3527777777777778</v>
      </c>
      <c r="M53" s="4" t="s">
        <v>125</v>
      </c>
      <c r="N53" s="6" t="s">
        <v>23</v>
      </c>
      <c r="O53" s="4" t="s">
        <v>24</v>
      </c>
    </row>
    <row r="54" spans="1:15" x14ac:dyDescent="0.25">
      <c r="A54" s="4" t="s">
        <v>15</v>
      </c>
      <c r="B54" s="4" t="str">
        <f>"FES1162749159"</f>
        <v>FES1162749159</v>
      </c>
      <c r="C54" s="4" t="s">
        <v>16</v>
      </c>
      <c r="D54" s="4">
        <v>1</v>
      </c>
      <c r="E54" s="4" t="str">
        <f>"21707396659"</f>
        <v>21707396659</v>
      </c>
      <c r="F54" s="4" t="s">
        <v>17</v>
      </c>
      <c r="G54" s="4" t="s">
        <v>18</v>
      </c>
      <c r="H54" s="4" t="s">
        <v>48</v>
      </c>
      <c r="I54" s="4" t="s">
        <v>49</v>
      </c>
      <c r="J54" s="4" t="s">
        <v>100</v>
      </c>
      <c r="K54" s="4" t="s">
        <v>21</v>
      </c>
      <c r="L54" s="5">
        <v>0.37986111111111115</v>
      </c>
      <c r="M54" s="4" t="s">
        <v>101</v>
      </c>
      <c r="N54" s="6" t="s">
        <v>23</v>
      </c>
      <c r="O54" s="4" t="s">
        <v>24</v>
      </c>
    </row>
    <row r="55" spans="1:15" x14ac:dyDescent="0.25">
      <c r="A55" s="4" t="s">
        <v>15</v>
      </c>
      <c r="B55" s="4" t="str">
        <f>"FES1162705202"</f>
        <v>FES1162705202</v>
      </c>
      <c r="C55" s="4" t="s">
        <v>16</v>
      </c>
      <c r="D55" s="4">
        <v>1</v>
      </c>
      <c r="E55" s="4" t="str">
        <f>"2170738057+9"</f>
        <v>2170738057+9</v>
      </c>
      <c r="F55" s="4" t="s">
        <v>17</v>
      </c>
      <c r="G55" s="4" t="s">
        <v>18</v>
      </c>
      <c r="H55" s="4" t="s">
        <v>18</v>
      </c>
      <c r="I55" s="4" t="s">
        <v>121</v>
      </c>
      <c r="J55" s="4" t="s">
        <v>122</v>
      </c>
      <c r="K55" s="4" t="s">
        <v>21</v>
      </c>
      <c r="L55" s="5">
        <v>0.4291666666666667</v>
      </c>
      <c r="M55" s="4" t="s">
        <v>123</v>
      </c>
      <c r="N55" s="6" t="s">
        <v>23</v>
      </c>
      <c r="O55" s="4" t="s">
        <v>24</v>
      </c>
    </row>
    <row r="56" spans="1:15" x14ac:dyDescent="0.25">
      <c r="A56" s="11" t="s">
        <v>15</v>
      </c>
      <c r="B56" s="11" t="str">
        <f>"FES1162743526"</f>
        <v>FES1162743526</v>
      </c>
      <c r="C56" s="11" t="s">
        <v>16</v>
      </c>
      <c r="D56" s="11">
        <v>1</v>
      </c>
      <c r="E56" s="11" t="str">
        <f>"2170733403"</f>
        <v>2170733403</v>
      </c>
      <c r="F56" s="11" t="s">
        <v>17</v>
      </c>
      <c r="G56" s="11" t="s">
        <v>18</v>
      </c>
      <c r="H56" s="11" t="s">
        <v>18</v>
      </c>
      <c r="I56" s="11" t="s">
        <v>126</v>
      </c>
      <c r="J56" s="11" t="s">
        <v>127</v>
      </c>
      <c r="K56" s="11" t="s">
        <v>21</v>
      </c>
      <c r="L56" s="12">
        <v>0.33333333333333331</v>
      </c>
      <c r="M56" s="11" t="s">
        <v>128</v>
      </c>
      <c r="N56" s="13" t="s">
        <v>23</v>
      </c>
      <c r="O56" s="11" t="s">
        <v>24</v>
      </c>
    </row>
    <row r="57" spans="1:15" x14ac:dyDescent="0.25">
      <c r="A57" s="11" t="s">
        <v>15</v>
      </c>
      <c r="B57" s="11" t="str">
        <f>"FES1162749160"</f>
        <v>FES1162749160</v>
      </c>
      <c r="C57" s="11" t="s">
        <v>16</v>
      </c>
      <c r="D57" s="11">
        <v>1</v>
      </c>
      <c r="E57" s="11" t="str">
        <f>"2170739293"</f>
        <v>2170739293</v>
      </c>
      <c r="F57" s="11" t="s">
        <v>17</v>
      </c>
      <c r="G57" s="11" t="s">
        <v>18</v>
      </c>
      <c r="H57" s="11" t="s">
        <v>32</v>
      </c>
      <c r="I57" s="11" t="s">
        <v>33</v>
      </c>
      <c r="J57" s="11" t="s">
        <v>129</v>
      </c>
      <c r="K57" s="11" t="s">
        <v>21</v>
      </c>
      <c r="L57" s="12">
        <v>0.3888888888888889</v>
      </c>
      <c r="M57" s="11" t="s">
        <v>130</v>
      </c>
      <c r="N57" s="13" t="s">
        <v>23</v>
      </c>
      <c r="O57" s="11" t="s">
        <v>24</v>
      </c>
    </row>
    <row r="58" spans="1:15" x14ac:dyDescent="0.25">
      <c r="A58" s="11" t="s">
        <v>15</v>
      </c>
      <c r="B58" s="11" t="str">
        <f>"FES1162749184"</f>
        <v>FES1162749184</v>
      </c>
      <c r="C58" s="11" t="s">
        <v>16</v>
      </c>
      <c r="D58" s="11">
        <v>1</v>
      </c>
      <c r="E58" s="11" t="str">
        <f>"2170730686"</f>
        <v>2170730686</v>
      </c>
      <c r="F58" s="11" t="s">
        <v>17</v>
      </c>
      <c r="G58" s="11" t="s">
        <v>18</v>
      </c>
      <c r="H58" s="11" t="s">
        <v>18</v>
      </c>
      <c r="I58" s="11" t="s">
        <v>97</v>
      </c>
      <c r="J58" s="11" t="s">
        <v>131</v>
      </c>
      <c r="K58" s="11" t="s">
        <v>21</v>
      </c>
      <c r="L58" s="12">
        <v>0.33333333333333331</v>
      </c>
      <c r="M58" s="11" t="s">
        <v>132</v>
      </c>
      <c r="N58" s="13" t="s">
        <v>23</v>
      </c>
      <c r="O58" s="11" t="s">
        <v>24</v>
      </c>
    </row>
    <row r="59" spans="1:15" x14ac:dyDescent="0.25">
      <c r="A59" s="11" t="s">
        <v>15</v>
      </c>
      <c r="B59" s="11" t="str">
        <f>"FES1162749210"</f>
        <v>FES1162749210</v>
      </c>
      <c r="C59" s="11" t="s">
        <v>16</v>
      </c>
      <c r="D59" s="11">
        <v>1</v>
      </c>
      <c r="E59" s="11" t="str">
        <f>"2170739722"</f>
        <v>2170739722</v>
      </c>
      <c r="F59" s="11" t="s">
        <v>17</v>
      </c>
      <c r="G59" s="11" t="s">
        <v>18</v>
      </c>
      <c r="H59" s="11" t="s">
        <v>18</v>
      </c>
      <c r="I59" s="11" t="s">
        <v>97</v>
      </c>
      <c r="J59" s="11" t="s">
        <v>133</v>
      </c>
      <c r="K59" s="11" t="s">
        <v>21</v>
      </c>
      <c r="L59" s="12">
        <v>0.41666666666666669</v>
      </c>
      <c r="M59" s="11" t="s">
        <v>134</v>
      </c>
      <c r="N59" s="13" t="s">
        <v>23</v>
      </c>
      <c r="O59" s="11" t="s">
        <v>24</v>
      </c>
    </row>
    <row r="60" spans="1:15" x14ac:dyDescent="0.25">
      <c r="A60" s="11" t="s">
        <v>15</v>
      </c>
      <c r="B60" s="11" t="str">
        <f>"FES1162749215"</f>
        <v>FES1162749215</v>
      </c>
      <c r="C60" s="11" t="s">
        <v>16</v>
      </c>
      <c r="D60" s="11">
        <v>1</v>
      </c>
      <c r="E60" s="11" t="str">
        <f>"2170737978"</f>
        <v>2170737978</v>
      </c>
      <c r="F60" s="11" t="s">
        <v>135</v>
      </c>
      <c r="G60" s="11" t="s">
        <v>18</v>
      </c>
      <c r="H60" s="11" t="s">
        <v>18</v>
      </c>
      <c r="I60" s="11" t="s">
        <v>29</v>
      </c>
      <c r="J60" s="11" t="s">
        <v>136</v>
      </c>
      <c r="K60" s="11" t="s">
        <v>21</v>
      </c>
      <c r="L60" s="12">
        <v>0.3263888888888889</v>
      </c>
      <c r="M60" s="11" t="s">
        <v>137</v>
      </c>
      <c r="N60" s="13" t="s">
        <v>23</v>
      </c>
      <c r="O60" s="11" t="s">
        <v>24</v>
      </c>
    </row>
    <row r="61" spans="1:15" x14ac:dyDescent="0.25">
      <c r="A61" s="11" t="s">
        <v>15</v>
      </c>
      <c r="B61" s="11" t="str">
        <f>"FES1162682789"</f>
        <v>FES1162682789</v>
      </c>
      <c r="C61" s="11" t="s">
        <v>16</v>
      </c>
      <c r="D61" s="11">
        <v>1</v>
      </c>
      <c r="E61" s="11" t="str">
        <f>"2170680579"</f>
        <v>2170680579</v>
      </c>
      <c r="F61" s="11" t="s">
        <v>17</v>
      </c>
      <c r="G61" s="11" t="s">
        <v>18</v>
      </c>
      <c r="H61" s="11" t="s">
        <v>18</v>
      </c>
      <c r="I61" s="11" t="s">
        <v>121</v>
      </c>
      <c r="J61" s="11" t="s">
        <v>122</v>
      </c>
      <c r="K61" s="11" t="s">
        <v>21</v>
      </c>
      <c r="L61" s="12">
        <v>0.4284722222222222</v>
      </c>
      <c r="M61" s="11" t="s">
        <v>123</v>
      </c>
      <c r="N61" s="13" t="s">
        <v>23</v>
      </c>
      <c r="O61" s="11" t="s">
        <v>24</v>
      </c>
    </row>
    <row r="62" spans="1:15" x14ac:dyDescent="0.25">
      <c r="A62" s="11" t="s">
        <v>15</v>
      </c>
      <c r="B62" s="11" t="str">
        <f>"FES1162749187"</f>
        <v>FES1162749187</v>
      </c>
      <c r="C62" s="11" t="s">
        <v>16</v>
      </c>
      <c r="D62" s="11">
        <v>1</v>
      </c>
      <c r="E62" s="11" t="str">
        <f>"217073*9696"</f>
        <v>217073*9696</v>
      </c>
      <c r="F62" s="11" t="s">
        <v>17</v>
      </c>
      <c r="G62" s="11" t="s">
        <v>18</v>
      </c>
      <c r="H62" s="11" t="s">
        <v>48</v>
      </c>
      <c r="I62" s="11" t="s">
        <v>49</v>
      </c>
      <c r="J62" s="11" t="s">
        <v>138</v>
      </c>
      <c r="K62" s="11" t="s">
        <v>21</v>
      </c>
      <c r="L62" s="12">
        <v>0.47222222222222227</v>
      </c>
      <c r="M62" s="11" t="s">
        <v>139</v>
      </c>
      <c r="N62" s="13" t="s">
        <v>23</v>
      </c>
      <c r="O62" s="11" t="s">
        <v>24</v>
      </c>
    </row>
    <row r="63" spans="1:15" x14ac:dyDescent="0.25">
      <c r="A63" s="11" t="s">
        <v>15</v>
      </c>
      <c r="B63" s="11" t="str">
        <f>"FES1162749191"</f>
        <v>FES1162749191</v>
      </c>
      <c r="C63" s="11" t="s">
        <v>16</v>
      </c>
      <c r="D63" s="11">
        <v>1</v>
      </c>
      <c r="E63" s="11" t="str">
        <f>"2170739696"</f>
        <v>2170739696</v>
      </c>
      <c r="F63" s="11" t="s">
        <v>17</v>
      </c>
      <c r="G63" s="11" t="s">
        <v>18</v>
      </c>
      <c r="H63" s="11" t="s">
        <v>48</v>
      </c>
      <c r="I63" s="11" t="s">
        <v>49</v>
      </c>
      <c r="J63" s="11" t="s">
        <v>138</v>
      </c>
      <c r="K63" s="11" t="s">
        <v>21</v>
      </c>
      <c r="L63" s="12">
        <v>0.47222222222222227</v>
      </c>
      <c r="M63" s="11" t="s">
        <v>139</v>
      </c>
      <c r="N63" s="13" t="s">
        <v>23</v>
      </c>
      <c r="O63" s="11" t="s">
        <v>24</v>
      </c>
    </row>
    <row r="64" spans="1:15" x14ac:dyDescent="0.25">
      <c r="A64" s="11" t="s">
        <v>15</v>
      </c>
      <c r="B64" s="11" t="str">
        <f>"FES1162743866"</f>
        <v>FES1162743866</v>
      </c>
      <c r="C64" s="11" t="s">
        <v>16</v>
      </c>
      <c r="D64" s="11">
        <v>1</v>
      </c>
      <c r="E64" s="11" t="str">
        <f>"21707375104"</f>
        <v>21707375104</v>
      </c>
      <c r="F64" s="11" t="s">
        <v>17</v>
      </c>
      <c r="G64" s="11" t="s">
        <v>18</v>
      </c>
      <c r="H64" s="11" t="s">
        <v>32</v>
      </c>
      <c r="I64" s="11" t="s">
        <v>140</v>
      </c>
      <c r="J64" s="11" t="s">
        <v>141</v>
      </c>
      <c r="K64" s="11" t="s">
        <v>21</v>
      </c>
      <c r="L64" s="12">
        <v>0.47222222222222227</v>
      </c>
      <c r="M64" s="11" t="s">
        <v>839</v>
      </c>
      <c r="N64" s="13" t="s">
        <v>23</v>
      </c>
      <c r="O64" s="11" t="s">
        <v>24</v>
      </c>
    </row>
    <row r="65" spans="1:15" x14ac:dyDescent="0.25">
      <c r="A65" s="11" t="s">
        <v>15</v>
      </c>
      <c r="B65" s="11" t="str">
        <f>"FES1162749192"</f>
        <v>FES1162749192</v>
      </c>
      <c r="C65" s="11" t="s">
        <v>16</v>
      </c>
      <c r="D65" s="11">
        <v>1</v>
      </c>
      <c r="E65" s="11" t="str">
        <f>"2170739709"</f>
        <v>2170739709</v>
      </c>
      <c r="F65" s="11" t="s">
        <v>17</v>
      </c>
      <c r="G65" s="11" t="s">
        <v>18</v>
      </c>
      <c r="H65" s="11" t="s">
        <v>48</v>
      </c>
      <c r="I65" s="11" t="s">
        <v>49</v>
      </c>
      <c r="J65" s="11" t="s">
        <v>142</v>
      </c>
      <c r="K65" s="11" t="s">
        <v>21</v>
      </c>
      <c r="L65" s="12">
        <v>0.37361111111111112</v>
      </c>
      <c r="M65" s="11" t="s">
        <v>143</v>
      </c>
      <c r="N65" s="13" t="s">
        <v>23</v>
      </c>
      <c r="O65" s="11" t="s">
        <v>24</v>
      </c>
    </row>
    <row r="66" spans="1:15" x14ac:dyDescent="0.25">
      <c r="A66" s="11" t="s">
        <v>15</v>
      </c>
      <c r="B66" s="11" t="str">
        <f>"FES1162748681"</f>
        <v>FES1162748681</v>
      </c>
      <c r="C66" s="11" t="s">
        <v>16</v>
      </c>
      <c r="D66" s="11">
        <v>1</v>
      </c>
      <c r="E66" s="11" t="str">
        <f>"2170735096"</f>
        <v>2170735096</v>
      </c>
      <c r="F66" s="11" t="s">
        <v>17</v>
      </c>
      <c r="G66" s="11" t="s">
        <v>18</v>
      </c>
      <c r="H66" s="11" t="s">
        <v>85</v>
      </c>
      <c r="I66" s="11" t="s">
        <v>144</v>
      </c>
      <c r="J66" s="11" t="s">
        <v>145</v>
      </c>
      <c r="K66" s="11" t="s">
        <v>21</v>
      </c>
      <c r="L66" s="12">
        <v>0.57638888888888895</v>
      </c>
      <c r="M66" s="11" t="s">
        <v>146</v>
      </c>
      <c r="N66" s="13" t="s">
        <v>23</v>
      </c>
      <c r="O66" s="11" t="s">
        <v>24</v>
      </c>
    </row>
    <row r="67" spans="1:15" x14ac:dyDescent="0.25">
      <c r="A67" s="11" t="s">
        <v>15</v>
      </c>
      <c r="B67" s="11" t="str">
        <f>"FES1162749171"</f>
        <v>FES1162749171</v>
      </c>
      <c r="C67" s="11" t="s">
        <v>16</v>
      </c>
      <c r="D67" s="11">
        <v>1</v>
      </c>
      <c r="E67" s="11" t="str">
        <f>"2170739670"</f>
        <v>2170739670</v>
      </c>
      <c r="F67" s="11" t="s">
        <v>17</v>
      </c>
      <c r="G67" s="11" t="s">
        <v>18</v>
      </c>
      <c r="H67" s="11" t="s">
        <v>48</v>
      </c>
      <c r="I67" s="11" t="s">
        <v>49</v>
      </c>
      <c r="J67" s="11" t="s">
        <v>124</v>
      </c>
      <c r="K67" s="11" t="s">
        <v>21</v>
      </c>
      <c r="L67" s="12">
        <v>0.3527777777777778</v>
      </c>
      <c r="M67" s="11" t="s">
        <v>125</v>
      </c>
      <c r="N67" s="13" t="s">
        <v>23</v>
      </c>
      <c r="O67" s="11" t="s">
        <v>24</v>
      </c>
    </row>
    <row r="68" spans="1:15" x14ac:dyDescent="0.25">
      <c r="A68" s="11" t="s">
        <v>15</v>
      </c>
      <c r="B68" s="11" t="str">
        <f>"FES1162745270"</f>
        <v>FES1162745270</v>
      </c>
      <c r="C68" s="11" t="s">
        <v>16</v>
      </c>
      <c r="D68" s="11">
        <v>1</v>
      </c>
      <c r="E68" s="11" t="str">
        <f>"21707"</f>
        <v>21707</v>
      </c>
      <c r="F68" s="11" t="s">
        <v>17</v>
      </c>
      <c r="G68" s="11" t="s">
        <v>18</v>
      </c>
      <c r="H68" s="11" t="s">
        <v>18</v>
      </c>
      <c r="I68" s="11" t="s">
        <v>147</v>
      </c>
      <c r="J68" s="11" t="s">
        <v>148</v>
      </c>
      <c r="K68" s="11" t="s">
        <v>21</v>
      </c>
      <c r="L68" s="12">
        <v>0.33333333333333331</v>
      </c>
      <c r="M68" s="11" t="s">
        <v>149</v>
      </c>
      <c r="N68" s="13" t="s">
        <v>23</v>
      </c>
      <c r="O68" s="11" t="s">
        <v>24</v>
      </c>
    </row>
    <row r="69" spans="1:15" x14ac:dyDescent="0.25">
      <c r="A69" s="4" t="s">
        <v>15</v>
      </c>
      <c r="B69" s="4" t="str">
        <f>"FES1162741128"</f>
        <v>FES1162741128</v>
      </c>
      <c r="C69" s="4" t="s">
        <v>16</v>
      </c>
      <c r="D69" s="4">
        <v>1</v>
      </c>
      <c r="E69" s="4" t="str">
        <f>"2170737623"</f>
        <v>2170737623</v>
      </c>
      <c r="F69" s="4" t="s">
        <v>17</v>
      </c>
      <c r="G69" s="4" t="s">
        <v>18</v>
      </c>
      <c r="H69" s="4" t="s">
        <v>85</v>
      </c>
      <c r="I69" s="4" t="s">
        <v>144</v>
      </c>
      <c r="J69" s="4" t="s">
        <v>150</v>
      </c>
      <c r="K69" s="4" t="s">
        <v>21</v>
      </c>
      <c r="L69" s="5">
        <v>0.61736111111111114</v>
      </c>
      <c r="M69" s="4" t="s">
        <v>151</v>
      </c>
      <c r="N69" s="6" t="s">
        <v>23</v>
      </c>
      <c r="O69" s="4" t="s">
        <v>24</v>
      </c>
    </row>
    <row r="70" spans="1:15" x14ac:dyDescent="0.25">
      <c r="A70" s="4" t="s">
        <v>15</v>
      </c>
      <c r="B70" s="4" t="str">
        <f>"FES1162749195"</f>
        <v>FES1162749195</v>
      </c>
      <c r="C70" s="4" t="s">
        <v>16</v>
      </c>
      <c r="D70" s="4">
        <v>1</v>
      </c>
      <c r="E70" s="4" t="str">
        <f>"2170734058"</f>
        <v>2170734058</v>
      </c>
      <c r="F70" s="4" t="s">
        <v>135</v>
      </c>
      <c r="G70" s="4" t="s">
        <v>18</v>
      </c>
      <c r="H70" s="4" t="s">
        <v>85</v>
      </c>
      <c r="I70" s="4" t="s">
        <v>152</v>
      </c>
      <c r="J70" s="4" t="s">
        <v>153</v>
      </c>
      <c r="K70" s="4" t="s">
        <v>21</v>
      </c>
      <c r="L70" s="5">
        <v>0.61041666666666672</v>
      </c>
      <c r="M70" s="4" t="s">
        <v>154</v>
      </c>
      <c r="N70" s="6" t="s">
        <v>23</v>
      </c>
      <c r="O70" s="4" t="s">
        <v>24</v>
      </c>
    </row>
    <row r="71" spans="1:15" x14ac:dyDescent="0.25">
      <c r="A71" s="4" t="s">
        <v>15</v>
      </c>
      <c r="B71" s="4" t="str">
        <f>"FES1162749196"</f>
        <v>FES1162749196</v>
      </c>
      <c r="C71" s="4" t="s">
        <v>16</v>
      </c>
      <c r="D71" s="4">
        <v>1</v>
      </c>
      <c r="E71" s="4" t="str">
        <f>"2170734268"</f>
        <v>2170734268</v>
      </c>
      <c r="F71" s="4" t="s">
        <v>135</v>
      </c>
      <c r="G71" s="4" t="s">
        <v>18</v>
      </c>
      <c r="H71" s="4" t="s">
        <v>85</v>
      </c>
      <c r="I71" s="4" t="s">
        <v>152</v>
      </c>
      <c r="J71" s="4" t="s">
        <v>153</v>
      </c>
      <c r="K71" s="4" t="s">
        <v>21</v>
      </c>
      <c r="L71" s="5">
        <v>0.61041666666666672</v>
      </c>
      <c r="M71" s="4" t="s">
        <v>155</v>
      </c>
      <c r="N71" s="6" t="s">
        <v>23</v>
      </c>
      <c r="O71" s="4" t="s">
        <v>24</v>
      </c>
    </row>
    <row r="72" spans="1:15" x14ac:dyDescent="0.25">
      <c r="A72" s="4" t="s">
        <v>15</v>
      </c>
      <c r="B72" s="4" t="str">
        <f>"FES1162749222"</f>
        <v>FES1162749222</v>
      </c>
      <c r="C72" s="4" t="s">
        <v>16</v>
      </c>
      <c r="D72" s="4">
        <v>1</v>
      </c>
      <c r="E72" s="4" t="str">
        <f>"2170739733"</f>
        <v>2170739733</v>
      </c>
      <c r="F72" s="4" t="s">
        <v>17</v>
      </c>
      <c r="G72" s="4" t="s">
        <v>18</v>
      </c>
      <c r="H72" s="4" t="s">
        <v>25</v>
      </c>
      <c r="I72" s="4" t="s">
        <v>26</v>
      </c>
      <c r="J72" s="4" t="s">
        <v>156</v>
      </c>
      <c r="K72" s="4" t="s">
        <v>21</v>
      </c>
      <c r="L72" s="5">
        <v>0.3743055555555555</v>
      </c>
      <c r="M72" s="4" t="s">
        <v>157</v>
      </c>
      <c r="N72" s="6" t="s">
        <v>23</v>
      </c>
      <c r="O72" s="4" t="s">
        <v>24</v>
      </c>
    </row>
    <row r="73" spans="1:15" x14ac:dyDescent="0.25">
      <c r="A73" s="4" t="s">
        <v>15</v>
      </c>
      <c r="B73" s="4" t="str">
        <f>"FES1162749186"</f>
        <v>FES1162749186</v>
      </c>
      <c r="C73" s="4" t="s">
        <v>16</v>
      </c>
      <c r="D73" s="4">
        <v>1</v>
      </c>
      <c r="E73" s="4" t="str">
        <f>"2170739693"</f>
        <v>2170739693</v>
      </c>
      <c r="F73" s="4" t="s">
        <v>17</v>
      </c>
      <c r="G73" s="4" t="s">
        <v>18</v>
      </c>
      <c r="H73" s="4" t="s">
        <v>48</v>
      </c>
      <c r="I73" s="4" t="s">
        <v>108</v>
      </c>
      <c r="J73" s="4" t="s">
        <v>109</v>
      </c>
      <c r="K73" s="4" t="s">
        <v>21</v>
      </c>
      <c r="L73" s="5">
        <v>0.65486111111111112</v>
      </c>
      <c r="M73" s="4" t="s">
        <v>65</v>
      </c>
      <c r="N73" s="6" t="s">
        <v>23</v>
      </c>
      <c r="O73" s="4" t="s">
        <v>24</v>
      </c>
    </row>
    <row r="74" spans="1:15" x14ac:dyDescent="0.25">
      <c r="A74" s="4" t="s">
        <v>15</v>
      </c>
      <c r="B74" s="4" t="str">
        <f>"FES1162749168"</f>
        <v>FES1162749168</v>
      </c>
      <c r="C74" s="4" t="s">
        <v>16</v>
      </c>
      <c r="D74" s="4">
        <v>1</v>
      </c>
      <c r="E74" s="4" t="str">
        <f>"2170738357"</f>
        <v>2170738357</v>
      </c>
      <c r="F74" s="4" t="s">
        <v>17</v>
      </c>
      <c r="G74" s="4" t="s">
        <v>18</v>
      </c>
      <c r="H74" s="4" t="s">
        <v>48</v>
      </c>
      <c r="I74" s="4" t="s">
        <v>49</v>
      </c>
      <c r="J74" s="4" t="s">
        <v>158</v>
      </c>
      <c r="K74" s="4" t="s">
        <v>21</v>
      </c>
      <c r="L74" s="5">
        <v>0.33888888888888885</v>
      </c>
      <c r="M74" s="4" t="s">
        <v>159</v>
      </c>
      <c r="N74" s="6" t="s">
        <v>23</v>
      </c>
      <c r="O74" s="4" t="s">
        <v>24</v>
      </c>
    </row>
    <row r="75" spans="1:15" x14ac:dyDescent="0.25">
      <c r="A75" s="11" t="s">
        <v>15</v>
      </c>
      <c r="B75" s="11" t="str">
        <f>"FES1162749179"</f>
        <v>FES1162749179</v>
      </c>
      <c r="C75" s="11" t="s">
        <v>16</v>
      </c>
      <c r="D75" s="11">
        <v>1</v>
      </c>
      <c r="E75" s="11" t="str">
        <f>"2170739686"</f>
        <v>2170739686</v>
      </c>
      <c r="F75" s="11" t="s">
        <v>17</v>
      </c>
      <c r="G75" s="11" t="s">
        <v>18</v>
      </c>
      <c r="H75" s="11" t="s">
        <v>48</v>
      </c>
      <c r="I75" s="11" t="s">
        <v>73</v>
      </c>
      <c r="J75" s="11" t="s">
        <v>160</v>
      </c>
      <c r="K75" s="11" t="s">
        <v>21</v>
      </c>
      <c r="L75" s="12">
        <v>0.44236111111111115</v>
      </c>
      <c r="M75" s="11" t="s">
        <v>161</v>
      </c>
      <c r="N75" s="13" t="s">
        <v>23</v>
      </c>
      <c r="O75" s="11" t="s">
        <v>24</v>
      </c>
    </row>
    <row r="76" spans="1:15" x14ac:dyDescent="0.25">
      <c r="A76" s="11" t="s">
        <v>15</v>
      </c>
      <c r="B76" s="11" t="str">
        <f>"FES1162749162"</f>
        <v>FES1162749162</v>
      </c>
      <c r="C76" s="11" t="s">
        <v>16</v>
      </c>
      <c r="D76" s="11">
        <v>1</v>
      </c>
      <c r="E76" s="11" t="str">
        <f>"2170739152"</f>
        <v>2170739152</v>
      </c>
      <c r="F76" s="11" t="s">
        <v>17</v>
      </c>
      <c r="G76" s="11" t="s">
        <v>18</v>
      </c>
      <c r="H76" s="11" t="s">
        <v>18</v>
      </c>
      <c r="I76" s="11" t="s">
        <v>97</v>
      </c>
      <c r="J76" s="11" t="s">
        <v>162</v>
      </c>
      <c r="K76" s="11" t="s">
        <v>21</v>
      </c>
      <c r="L76" s="12">
        <v>0.40138888888888885</v>
      </c>
      <c r="M76" s="11" t="s">
        <v>163</v>
      </c>
      <c r="N76" s="13" t="s">
        <v>23</v>
      </c>
      <c r="O76" s="11" t="s">
        <v>24</v>
      </c>
    </row>
    <row r="77" spans="1:15" x14ac:dyDescent="0.25">
      <c r="A77" s="11" t="s">
        <v>15</v>
      </c>
      <c r="B77" s="11" t="str">
        <f>"FES1162749169"</f>
        <v>FES1162749169</v>
      </c>
      <c r="C77" s="11" t="s">
        <v>16</v>
      </c>
      <c r="D77" s="11">
        <v>1</v>
      </c>
      <c r="E77" s="11" t="str">
        <f>"2170739488"</f>
        <v>2170739488</v>
      </c>
      <c r="F77" s="11" t="s">
        <v>164</v>
      </c>
      <c r="G77" s="11" t="s">
        <v>18</v>
      </c>
      <c r="H77" s="11" t="s">
        <v>18</v>
      </c>
      <c r="I77" s="11" t="s">
        <v>147</v>
      </c>
      <c r="J77" s="11" t="s">
        <v>165</v>
      </c>
      <c r="K77" s="11" t="s">
        <v>21</v>
      </c>
      <c r="L77" s="12">
        <v>0.40138888888888885</v>
      </c>
      <c r="M77" s="11" t="s">
        <v>645</v>
      </c>
      <c r="N77" s="13" t="s">
        <v>23</v>
      </c>
      <c r="O77" s="11" t="s">
        <v>166</v>
      </c>
    </row>
    <row r="78" spans="1:15" x14ac:dyDescent="0.25">
      <c r="A78" s="11" t="s">
        <v>15</v>
      </c>
      <c r="B78" s="11" t="str">
        <f>"FES1162749211"</f>
        <v>FES1162749211</v>
      </c>
      <c r="C78" s="11" t="s">
        <v>16</v>
      </c>
      <c r="D78" s="11">
        <v>1</v>
      </c>
      <c r="E78" s="11" t="str">
        <f>"2170738905"</f>
        <v>2170738905</v>
      </c>
      <c r="F78" s="11" t="s">
        <v>17</v>
      </c>
      <c r="G78" s="11" t="s">
        <v>18</v>
      </c>
      <c r="H78" s="11" t="s">
        <v>167</v>
      </c>
      <c r="I78" s="11" t="s">
        <v>168</v>
      </c>
      <c r="J78" s="11" t="s">
        <v>169</v>
      </c>
      <c r="K78" s="11" t="s">
        <v>21</v>
      </c>
      <c r="L78" s="12">
        <v>0.41666666666666669</v>
      </c>
      <c r="M78" s="11" t="s">
        <v>170</v>
      </c>
      <c r="N78" s="13" t="s">
        <v>23</v>
      </c>
      <c r="O78" s="11" t="s">
        <v>24</v>
      </c>
    </row>
    <row r="79" spans="1:15" x14ac:dyDescent="0.25">
      <c r="A79" s="11" t="s">
        <v>15</v>
      </c>
      <c r="B79" s="11" t="str">
        <f>"FES1162749255"</f>
        <v>FES1162749255</v>
      </c>
      <c r="C79" s="11" t="s">
        <v>16</v>
      </c>
      <c r="D79" s="11">
        <v>1</v>
      </c>
      <c r="E79" s="11" t="str">
        <f>"2170739782"</f>
        <v>2170739782</v>
      </c>
      <c r="F79" s="11" t="s">
        <v>17</v>
      </c>
      <c r="G79" s="11" t="s">
        <v>18</v>
      </c>
      <c r="H79" s="11" t="s">
        <v>52</v>
      </c>
      <c r="I79" s="11" t="s">
        <v>53</v>
      </c>
      <c r="J79" s="11" t="s">
        <v>171</v>
      </c>
      <c r="K79" s="11" t="s">
        <v>21</v>
      </c>
      <c r="L79" s="12">
        <v>0.42986111111111108</v>
      </c>
      <c r="M79" s="11" t="s">
        <v>172</v>
      </c>
      <c r="N79" s="13" t="s">
        <v>23</v>
      </c>
      <c r="O79" s="11" t="s">
        <v>24</v>
      </c>
    </row>
    <row r="80" spans="1:15" x14ac:dyDescent="0.25">
      <c r="A80" s="11" t="s">
        <v>15</v>
      </c>
      <c r="B80" s="11" t="str">
        <f>"FES1162749226"</f>
        <v>FES1162749226</v>
      </c>
      <c r="C80" s="11" t="s">
        <v>16</v>
      </c>
      <c r="D80" s="11">
        <v>1</v>
      </c>
      <c r="E80" s="11" t="str">
        <f>"21707379742"</f>
        <v>21707379742</v>
      </c>
      <c r="F80" s="11" t="s">
        <v>17</v>
      </c>
      <c r="G80" s="11" t="s">
        <v>18</v>
      </c>
      <c r="H80" s="11" t="s">
        <v>18</v>
      </c>
      <c r="I80" s="11" t="s">
        <v>29</v>
      </c>
      <c r="J80" s="11" t="s">
        <v>173</v>
      </c>
      <c r="K80" s="11" t="s">
        <v>21</v>
      </c>
      <c r="L80" s="12">
        <v>0.29166666666666669</v>
      </c>
      <c r="M80" s="11" t="s">
        <v>174</v>
      </c>
      <c r="N80" s="13" t="s">
        <v>23</v>
      </c>
      <c r="O80" s="11" t="s">
        <v>24</v>
      </c>
    </row>
    <row r="81" spans="1:15" x14ac:dyDescent="0.25">
      <c r="A81" s="11" t="s">
        <v>15</v>
      </c>
      <c r="B81" s="11" t="str">
        <f>"FES1162749246"</f>
        <v>FES1162749246</v>
      </c>
      <c r="C81" s="11" t="s">
        <v>16</v>
      </c>
      <c r="D81" s="11">
        <v>1</v>
      </c>
      <c r="E81" s="11" t="str">
        <f>"2170739774"</f>
        <v>2170739774</v>
      </c>
      <c r="F81" s="11" t="s">
        <v>17</v>
      </c>
      <c r="G81" s="11" t="s">
        <v>18</v>
      </c>
      <c r="H81" s="11" t="s">
        <v>167</v>
      </c>
      <c r="I81" s="11" t="s">
        <v>168</v>
      </c>
      <c r="J81" s="11" t="s">
        <v>169</v>
      </c>
      <c r="K81" s="11" t="s">
        <v>21</v>
      </c>
      <c r="L81" s="12">
        <v>0.41666666666666669</v>
      </c>
      <c r="M81" s="11" t="s">
        <v>175</v>
      </c>
      <c r="N81" s="13" t="s">
        <v>23</v>
      </c>
      <c r="O81" s="11" t="s">
        <v>24</v>
      </c>
    </row>
    <row r="82" spans="1:15" x14ac:dyDescent="0.25">
      <c r="A82" s="11" t="s">
        <v>15</v>
      </c>
      <c r="B82" s="11" t="str">
        <f>"FES1162749227"</f>
        <v>FES1162749227</v>
      </c>
      <c r="C82" s="11" t="s">
        <v>16</v>
      </c>
      <c r="D82" s="11">
        <v>1</v>
      </c>
      <c r="E82" s="11" t="str">
        <f>"2170739743"</f>
        <v>2170739743</v>
      </c>
      <c r="F82" s="11" t="s">
        <v>17</v>
      </c>
      <c r="G82" s="11" t="s">
        <v>18</v>
      </c>
      <c r="H82" s="11" t="s">
        <v>48</v>
      </c>
      <c r="I82" s="11" t="s">
        <v>49</v>
      </c>
      <c r="J82" s="11" t="s">
        <v>100</v>
      </c>
      <c r="K82" s="11" t="s">
        <v>21</v>
      </c>
      <c r="L82" s="12">
        <v>0.37916666666666665</v>
      </c>
      <c r="M82" s="11" t="s">
        <v>101</v>
      </c>
      <c r="N82" s="13" t="s">
        <v>23</v>
      </c>
      <c r="O82" s="11" t="s">
        <v>24</v>
      </c>
    </row>
    <row r="83" spans="1:15" x14ac:dyDescent="0.25">
      <c r="A83" s="11" t="s">
        <v>15</v>
      </c>
      <c r="B83" s="11" t="str">
        <f>"FES1162749167"</f>
        <v>FES1162749167</v>
      </c>
      <c r="C83" s="11" t="s">
        <v>16</v>
      </c>
      <c r="D83" s="11">
        <v>1</v>
      </c>
      <c r="E83" s="11" t="str">
        <f>"2170736154"</f>
        <v>2170736154</v>
      </c>
      <c r="F83" s="11" t="s">
        <v>17</v>
      </c>
      <c r="G83" s="11" t="s">
        <v>18</v>
      </c>
      <c r="H83" s="11" t="s">
        <v>18</v>
      </c>
      <c r="I83" s="11" t="s">
        <v>19</v>
      </c>
      <c r="J83" s="11" t="s">
        <v>176</v>
      </c>
      <c r="K83" s="11" t="s">
        <v>21</v>
      </c>
      <c r="L83" s="12">
        <v>0.38958333333333334</v>
      </c>
      <c r="M83" s="11" t="s">
        <v>177</v>
      </c>
      <c r="N83" s="13" t="s">
        <v>23</v>
      </c>
      <c r="O83" s="11" t="s">
        <v>24</v>
      </c>
    </row>
    <row r="84" spans="1:15" x14ac:dyDescent="0.25">
      <c r="A84" s="11" t="s">
        <v>15</v>
      </c>
      <c r="B84" s="11" t="str">
        <f>"FES1162749224"</f>
        <v>FES1162749224</v>
      </c>
      <c r="C84" s="11" t="s">
        <v>16</v>
      </c>
      <c r="D84" s="11">
        <v>1</v>
      </c>
      <c r="E84" s="11" t="str">
        <f>"2170739246"</f>
        <v>2170739246</v>
      </c>
      <c r="F84" s="11" t="s">
        <v>17</v>
      </c>
      <c r="G84" s="11" t="s">
        <v>18</v>
      </c>
      <c r="H84" s="11" t="s">
        <v>178</v>
      </c>
      <c r="I84" s="11" t="s">
        <v>179</v>
      </c>
      <c r="J84" s="11" t="s">
        <v>107</v>
      </c>
      <c r="K84" s="11" t="s">
        <v>21</v>
      </c>
      <c r="L84" s="12">
        <v>0.39583333333333331</v>
      </c>
      <c r="M84" s="11" t="s">
        <v>180</v>
      </c>
      <c r="N84" s="13" t="s">
        <v>23</v>
      </c>
      <c r="O84" s="11" t="s">
        <v>24</v>
      </c>
    </row>
    <row r="85" spans="1:15" x14ac:dyDescent="0.25">
      <c r="A85" s="11" t="s">
        <v>15</v>
      </c>
      <c r="B85" s="11" t="str">
        <f>"FES1162749214"</f>
        <v>FES1162749214</v>
      </c>
      <c r="C85" s="11" t="s">
        <v>16</v>
      </c>
      <c r="D85" s="11">
        <v>1</v>
      </c>
      <c r="E85" s="11" t="str">
        <f>"2170734504"</f>
        <v>2170734504</v>
      </c>
      <c r="F85" s="11" t="s">
        <v>17</v>
      </c>
      <c r="G85" s="11" t="s">
        <v>18</v>
      </c>
      <c r="H85" s="11" t="s">
        <v>18</v>
      </c>
      <c r="I85" s="11" t="s">
        <v>97</v>
      </c>
      <c r="J85" s="11" t="s">
        <v>181</v>
      </c>
      <c r="K85" s="11" t="s">
        <v>21</v>
      </c>
      <c r="L85" s="12">
        <v>0.3611111111111111</v>
      </c>
      <c r="M85" s="11" t="s">
        <v>182</v>
      </c>
      <c r="N85" s="13" t="s">
        <v>23</v>
      </c>
      <c r="O85" s="11" t="s">
        <v>24</v>
      </c>
    </row>
    <row r="86" spans="1:15" x14ac:dyDescent="0.25">
      <c r="A86" s="11" t="s">
        <v>15</v>
      </c>
      <c r="B86" s="11" t="str">
        <f>"FES1162749172"</f>
        <v>FES1162749172</v>
      </c>
      <c r="C86" s="11" t="s">
        <v>16</v>
      </c>
      <c r="D86" s="11">
        <v>1</v>
      </c>
      <c r="E86" s="11" t="str">
        <f>"2170739675"</f>
        <v>2170739675</v>
      </c>
      <c r="F86" s="11" t="s">
        <v>17</v>
      </c>
      <c r="G86" s="11" t="s">
        <v>18</v>
      </c>
      <c r="H86" s="11" t="s">
        <v>18</v>
      </c>
      <c r="I86" s="11" t="s">
        <v>183</v>
      </c>
      <c r="J86" s="11" t="s">
        <v>184</v>
      </c>
      <c r="K86" s="11" t="s">
        <v>21</v>
      </c>
      <c r="L86" s="12">
        <v>0.37847222222222227</v>
      </c>
      <c r="M86" s="11" t="s">
        <v>185</v>
      </c>
      <c r="N86" s="13" t="s">
        <v>23</v>
      </c>
      <c r="O86" s="11" t="s">
        <v>24</v>
      </c>
    </row>
    <row r="87" spans="1:15" x14ac:dyDescent="0.25">
      <c r="A87" s="11" t="s">
        <v>15</v>
      </c>
      <c r="B87" s="11" t="str">
        <f>"FES1162749161"</f>
        <v>FES1162749161</v>
      </c>
      <c r="C87" s="11" t="s">
        <v>16</v>
      </c>
      <c r="D87" s="11">
        <v>1</v>
      </c>
      <c r="E87" s="11" t="str">
        <f>"2170738291"</f>
        <v>2170738291</v>
      </c>
      <c r="F87" s="11" t="s">
        <v>17</v>
      </c>
      <c r="G87" s="11" t="s">
        <v>18</v>
      </c>
      <c r="H87" s="11" t="s">
        <v>18</v>
      </c>
      <c r="I87" s="11" t="s">
        <v>147</v>
      </c>
      <c r="J87" s="11" t="s">
        <v>165</v>
      </c>
      <c r="K87" s="11" t="s">
        <v>21</v>
      </c>
      <c r="L87" s="12">
        <v>0.37847222222222227</v>
      </c>
      <c r="M87" s="11" t="s">
        <v>645</v>
      </c>
      <c r="N87" s="13" t="s">
        <v>23</v>
      </c>
      <c r="O87" s="11" t="s">
        <v>432</v>
      </c>
    </row>
    <row r="88" spans="1:15" x14ac:dyDescent="0.25">
      <c r="A88" s="11" t="s">
        <v>15</v>
      </c>
      <c r="B88" s="11" t="str">
        <f>"FES1162749164"</f>
        <v>FES1162749164</v>
      </c>
      <c r="C88" s="11" t="s">
        <v>16</v>
      </c>
      <c r="D88" s="11">
        <v>1</v>
      </c>
      <c r="E88" s="11" t="str">
        <f>"2170739673"</f>
        <v>2170739673</v>
      </c>
      <c r="F88" s="11" t="s">
        <v>17</v>
      </c>
      <c r="G88" s="11" t="s">
        <v>18</v>
      </c>
      <c r="H88" s="11" t="s">
        <v>18</v>
      </c>
      <c r="I88" s="11" t="s">
        <v>19</v>
      </c>
      <c r="J88" s="11" t="s">
        <v>186</v>
      </c>
      <c r="K88" s="11" t="s">
        <v>21</v>
      </c>
      <c r="L88" s="12">
        <v>0.4055555555555555</v>
      </c>
      <c r="M88" s="11" t="s">
        <v>187</v>
      </c>
      <c r="N88" s="13" t="s">
        <v>23</v>
      </c>
      <c r="O88" s="11" t="s">
        <v>24</v>
      </c>
    </row>
    <row r="89" spans="1:15" x14ac:dyDescent="0.25">
      <c r="A89" s="11" t="s">
        <v>15</v>
      </c>
      <c r="B89" s="11" t="str">
        <f>"FES1162739407"</f>
        <v>FES1162739407</v>
      </c>
      <c r="C89" s="11" t="s">
        <v>16</v>
      </c>
      <c r="D89" s="11">
        <v>1</v>
      </c>
      <c r="E89" s="11" t="str">
        <f>"2170731078"</f>
        <v>2170731078</v>
      </c>
      <c r="F89" s="11" t="s">
        <v>17</v>
      </c>
      <c r="G89" s="11" t="s">
        <v>18</v>
      </c>
      <c r="H89" s="11" t="s">
        <v>40</v>
      </c>
      <c r="I89" s="11" t="s">
        <v>188</v>
      </c>
      <c r="J89" s="11" t="s">
        <v>189</v>
      </c>
      <c r="K89" s="11" t="s">
        <v>21</v>
      </c>
      <c r="L89" s="12">
        <v>0.4055555555555555</v>
      </c>
      <c r="M89" s="11" t="s">
        <v>431</v>
      </c>
      <c r="N89" s="13" t="s">
        <v>23</v>
      </c>
      <c r="O89" s="11" t="s">
        <v>24</v>
      </c>
    </row>
    <row r="90" spans="1:15" x14ac:dyDescent="0.25">
      <c r="A90" s="4" t="s">
        <v>15</v>
      </c>
      <c r="B90" s="4" t="str">
        <f>"FES1162748304"</f>
        <v>FES1162748304</v>
      </c>
      <c r="C90" s="4" t="s">
        <v>16</v>
      </c>
      <c r="D90" s="4">
        <v>1</v>
      </c>
      <c r="E90" s="4" t="str">
        <f>"2170736567"</f>
        <v>2170736567</v>
      </c>
      <c r="F90" s="4" t="s">
        <v>17</v>
      </c>
      <c r="G90" s="4" t="s">
        <v>18</v>
      </c>
      <c r="H90" s="4" t="s">
        <v>18</v>
      </c>
      <c r="I90" s="4" t="s">
        <v>29</v>
      </c>
      <c r="J90" s="4" t="s">
        <v>190</v>
      </c>
      <c r="K90" s="4" t="s">
        <v>21</v>
      </c>
      <c r="L90" s="5">
        <v>0.35694444444444445</v>
      </c>
      <c r="M90" s="4" t="s">
        <v>191</v>
      </c>
      <c r="N90" s="6" t="s">
        <v>23</v>
      </c>
      <c r="O90" s="4" t="s">
        <v>24</v>
      </c>
    </row>
    <row r="91" spans="1:15" x14ac:dyDescent="0.25">
      <c r="A91" s="4" t="s">
        <v>15</v>
      </c>
      <c r="B91" s="4" t="str">
        <f>"FES1162741553"</f>
        <v>FES1162741553</v>
      </c>
      <c r="C91" s="4" t="s">
        <v>16</v>
      </c>
      <c r="D91" s="4">
        <v>1</v>
      </c>
      <c r="E91" s="4" t="str">
        <f>"2170733076"</f>
        <v>2170733076</v>
      </c>
      <c r="F91" s="4" t="s">
        <v>17</v>
      </c>
      <c r="G91" s="4" t="s">
        <v>18</v>
      </c>
      <c r="H91" s="4" t="s">
        <v>32</v>
      </c>
      <c r="I91" s="4" t="s">
        <v>192</v>
      </c>
      <c r="J91" s="4" t="s">
        <v>193</v>
      </c>
      <c r="K91" s="4" t="s">
        <v>21</v>
      </c>
      <c r="L91" s="5">
        <v>0.3833333333333333</v>
      </c>
      <c r="M91" s="4" t="s">
        <v>194</v>
      </c>
      <c r="N91" s="6" t="s">
        <v>23</v>
      </c>
      <c r="O91" s="4" t="s">
        <v>24</v>
      </c>
    </row>
    <row r="92" spans="1:15" x14ac:dyDescent="0.25">
      <c r="A92" s="4" t="s">
        <v>15</v>
      </c>
      <c r="B92" s="4" t="str">
        <f>"FES1162746973"</f>
        <v>FES1162746973</v>
      </c>
      <c r="C92" s="4" t="s">
        <v>16</v>
      </c>
      <c r="D92" s="4">
        <v>1</v>
      </c>
      <c r="E92" s="4" t="str">
        <f>"2170736429"</f>
        <v>2170736429</v>
      </c>
      <c r="F92" s="4" t="s">
        <v>17</v>
      </c>
      <c r="G92" s="4" t="s">
        <v>18</v>
      </c>
      <c r="H92" s="4" t="s">
        <v>32</v>
      </c>
      <c r="I92" s="4" t="s">
        <v>33</v>
      </c>
      <c r="J92" s="4" t="s">
        <v>195</v>
      </c>
      <c r="K92" s="4" t="s">
        <v>21</v>
      </c>
      <c r="L92" s="5">
        <v>0.36805555555555558</v>
      </c>
      <c r="M92" s="4" t="s">
        <v>196</v>
      </c>
      <c r="N92" s="6" t="s">
        <v>23</v>
      </c>
      <c r="O92" s="4" t="s">
        <v>24</v>
      </c>
    </row>
    <row r="93" spans="1:15" x14ac:dyDescent="0.25">
      <c r="A93" s="4" t="s">
        <v>15</v>
      </c>
      <c r="B93" s="4" t="str">
        <f>"FES1162749235"</f>
        <v>FES1162749235</v>
      </c>
      <c r="C93" s="4" t="s">
        <v>16</v>
      </c>
      <c r="D93" s="4">
        <v>1</v>
      </c>
      <c r="E93" s="4" t="str">
        <f>"2170739763"</f>
        <v>2170739763</v>
      </c>
      <c r="F93" s="4" t="s">
        <v>17</v>
      </c>
      <c r="G93" s="4" t="s">
        <v>18</v>
      </c>
      <c r="H93" s="4" t="s">
        <v>36</v>
      </c>
      <c r="I93" s="4" t="s">
        <v>37</v>
      </c>
      <c r="J93" s="4" t="s">
        <v>197</v>
      </c>
      <c r="K93" s="4" t="s">
        <v>21</v>
      </c>
      <c r="L93" s="5">
        <v>0.39027777777777778</v>
      </c>
      <c r="M93" s="4" t="s">
        <v>198</v>
      </c>
      <c r="N93" s="6" t="s">
        <v>23</v>
      </c>
      <c r="O93" s="4" t="s">
        <v>24</v>
      </c>
    </row>
    <row r="94" spans="1:15" x14ac:dyDescent="0.25">
      <c r="A94" s="4" t="s">
        <v>15</v>
      </c>
      <c r="B94" s="4" t="str">
        <f>"FES1162749209"</f>
        <v>FES1162749209</v>
      </c>
      <c r="C94" s="4" t="s">
        <v>16</v>
      </c>
      <c r="D94" s="4">
        <v>1</v>
      </c>
      <c r="E94" s="4" t="str">
        <f>"2170737953"</f>
        <v>2170737953</v>
      </c>
      <c r="F94" s="4" t="s">
        <v>17</v>
      </c>
      <c r="G94" s="4" t="s">
        <v>18</v>
      </c>
      <c r="H94" s="4" t="s">
        <v>48</v>
      </c>
      <c r="I94" s="4" t="s">
        <v>199</v>
      </c>
      <c r="J94" s="4" t="s">
        <v>200</v>
      </c>
      <c r="K94" s="4" t="s">
        <v>21</v>
      </c>
      <c r="L94" s="5">
        <v>0.41666666666666669</v>
      </c>
      <c r="M94" s="4" t="s">
        <v>201</v>
      </c>
      <c r="N94" s="6" t="s">
        <v>23</v>
      </c>
      <c r="O94" s="4" t="s">
        <v>24</v>
      </c>
    </row>
    <row r="95" spans="1:15" x14ac:dyDescent="0.25">
      <c r="A95" s="4" t="s">
        <v>15</v>
      </c>
      <c r="B95" s="4" t="str">
        <f>"FES1162749241"</f>
        <v>FES1162749241</v>
      </c>
      <c r="C95" s="4" t="s">
        <v>16</v>
      </c>
      <c r="D95" s="4">
        <v>1</v>
      </c>
      <c r="E95" s="4" t="str">
        <f>"2170739737"</f>
        <v>2170739737</v>
      </c>
      <c r="F95" s="4" t="s">
        <v>17</v>
      </c>
      <c r="G95" s="4" t="s">
        <v>18</v>
      </c>
      <c r="H95" s="4" t="s">
        <v>25</v>
      </c>
      <c r="I95" s="4" t="s">
        <v>26</v>
      </c>
      <c r="J95" s="4" t="s">
        <v>202</v>
      </c>
      <c r="K95" s="4" t="s">
        <v>21</v>
      </c>
      <c r="L95" s="5">
        <v>0.36805555555555558</v>
      </c>
      <c r="M95" s="4" t="s">
        <v>203</v>
      </c>
      <c r="N95" s="6" t="s">
        <v>23</v>
      </c>
      <c r="O95" s="4" t="s">
        <v>24</v>
      </c>
    </row>
    <row r="96" spans="1:15" x14ac:dyDescent="0.25">
      <c r="A96" s="4" t="s">
        <v>15</v>
      </c>
      <c r="B96" s="4" t="str">
        <f>"FES1162749232"</f>
        <v>FES1162749232</v>
      </c>
      <c r="C96" s="4" t="s">
        <v>16</v>
      </c>
      <c r="D96" s="4">
        <v>1</v>
      </c>
      <c r="E96" s="4" t="str">
        <f>"2170739755"</f>
        <v>2170739755</v>
      </c>
      <c r="F96" s="4" t="s">
        <v>17</v>
      </c>
      <c r="G96" s="4" t="s">
        <v>18</v>
      </c>
      <c r="H96" s="4" t="s">
        <v>18</v>
      </c>
      <c r="I96" s="4" t="s">
        <v>204</v>
      </c>
      <c r="J96" s="4" t="s">
        <v>205</v>
      </c>
      <c r="K96" s="4" t="s">
        <v>21</v>
      </c>
      <c r="L96" s="5">
        <v>0.29166666666666669</v>
      </c>
      <c r="M96" s="4" t="s">
        <v>206</v>
      </c>
      <c r="N96" s="6" t="s">
        <v>23</v>
      </c>
      <c r="O96" s="4" t="s">
        <v>24</v>
      </c>
    </row>
    <row r="97" spans="1:15" x14ac:dyDescent="0.25">
      <c r="A97" s="4" t="s">
        <v>15</v>
      </c>
      <c r="B97" s="4" t="str">
        <f>"FES1162749243"</f>
        <v>FES1162749243</v>
      </c>
      <c r="C97" s="4" t="s">
        <v>16</v>
      </c>
      <c r="D97" s="4">
        <v>1</v>
      </c>
      <c r="E97" s="4" t="str">
        <f>"21707379679"</f>
        <v>21707379679</v>
      </c>
      <c r="F97" s="4" t="s">
        <v>17</v>
      </c>
      <c r="G97" s="4" t="s">
        <v>18</v>
      </c>
      <c r="H97" s="4" t="s">
        <v>85</v>
      </c>
      <c r="I97" s="4" t="s">
        <v>207</v>
      </c>
      <c r="J97" s="4" t="s">
        <v>208</v>
      </c>
      <c r="K97" s="4" t="s">
        <v>21</v>
      </c>
      <c r="L97" s="5">
        <v>0.4909722222222222</v>
      </c>
      <c r="M97" s="4" t="s">
        <v>209</v>
      </c>
      <c r="N97" s="6" t="s">
        <v>23</v>
      </c>
      <c r="O97" s="4" t="s">
        <v>24</v>
      </c>
    </row>
    <row r="98" spans="1:15" x14ac:dyDescent="0.25">
      <c r="A98" s="4" t="s">
        <v>15</v>
      </c>
      <c r="B98" s="4" t="str">
        <f>"FES1162749244"</f>
        <v>FES1162749244</v>
      </c>
      <c r="C98" s="4" t="s">
        <v>16</v>
      </c>
      <c r="D98" s="4">
        <v>1</v>
      </c>
      <c r="E98" s="4" t="str">
        <f>"2170739970"</f>
        <v>2170739970</v>
      </c>
      <c r="F98" s="4" t="s">
        <v>17</v>
      </c>
      <c r="G98" s="4" t="s">
        <v>18</v>
      </c>
      <c r="H98" s="4" t="s">
        <v>85</v>
      </c>
      <c r="I98" s="4" t="s">
        <v>144</v>
      </c>
      <c r="J98" s="4" t="s">
        <v>210</v>
      </c>
      <c r="K98" s="4" t="s">
        <v>21</v>
      </c>
      <c r="L98" s="5">
        <v>0.60277777777777775</v>
      </c>
      <c r="M98" s="4" t="s">
        <v>211</v>
      </c>
      <c r="N98" s="6" t="s">
        <v>23</v>
      </c>
      <c r="O98" s="4" t="s">
        <v>24</v>
      </c>
    </row>
    <row r="99" spans="1:15" x14ac:dyDescent="0.25">
      <c r="A99" s="4" t="s">
        <v>15</v>
      </c>
      <c r="B99" s="4" t="str">
        <f>"FES1162749217"</f>
        <v>FES1162749217</v>
      </c>
      <c r="C99" s="4" t="s">
        <v>16</v>
      </c>
      <c r="D99" s="4">
        <v>1</v>
      </c>
      <c r="E99" s="4" t="str">
        <f>"2170739725"</f>
        <v>2170739725</v>
      </c>
      <c r="F99" s="4" t="s">
        <v>17</v>
      </c>
      <c r="G99" s="4" t="s">
        <v>18</v>
      </c>
      <c r="H99" s="4" t="s">
        <v>85</v>
      </c>
      <c r="I99" s="4" t="s">
        <v>144</v>
      </c>
      <c r="J99" s="4" t="s">
        <v>210</v>
      </c>
      <c r="K99" s="4" t="s">
        <v>21</v>
      </c>
      <c r="L99" s="5">
        <v>0.60277777777777775</v>
      </c>
      <c r="M99" s="4" t="s">
        <v>212</v>
      </c>
      <c r="N99" s="6" t="s">
        <v>23</v>
      </c>
      <c r="O99" s="4" t="s">
        <v>24</v>
      </c>
    </row>
    <row r="100" spans="1:15" x14ac:dyDescent="0.25">
      <c r="A100" s="4" t="s">
        <v>15</v>
      </c>
      <c r="B100" s="4" t="str">
        <f>"FES1162749238"</f>
        <v>FES1162749238</v>
      </c>
      <c r="C100" s="4" t="s">
        <v>16</v>
      </c>
      <c r="D100" s="4">
        <v>1</v>
      </c>
      <c r="E100" s="4" t="str">
        <f>"2170739548"</f>
        <v>2170739548</v>
      </c>
      <c r="F100" s="4" t="s">
        <v>17</v>
      </c>
      <c r="G100" s="4" t="s">
        <v>18</v>
      </c>
      <c r="H100" s="4" t="s">
        <v>178</v>
      </c>
      <c r="I100" s="4" t="s">
        <v>213</v>
      </c>
      <c r="J100" s="4" t="s">
        <v>214</v>
      </c>
      <c r="K100" s="4" t="s">
        <v>21</v>
      </c>
      <c r="L100" s="5">
        <v>0.39583333333333331</v>
      </c>
      <c r="M100" s="4" t="s">
        <v>215</v>
      </c>
      <c r="N100" s="6" t="s">
        <v>23</v>
      </c>
      <c r="O100" s="4" t="s">
        <v>24</v>
      </c>
    </row>
    <row r="101" spans="1:15" x14ac:dyDescent="0.25">
      <c r="A101" s="4" t="s">
        <v>15</v>
      </c>
      <c r="B101" s="4" t="str">
        <f>"FES1162749194"</f>
        <v>FES1162749194</v>
      </c>
      <c r="C101" s="4" t="s">
        <v>16</v>
      </c>
      <c r="D101" s="4">
        <v>1</v>
      </c>
      <c r="E101" s="4" t="str">
        <f>"2170733939"</f>
        <v>2170733939</v>
      </c>
      <c r="F101" s="4" t="s">
        <v>17</v>
      </c>
      <c r="G101" s="4" t="s">
        <v>18</v>
      </c>
      <c r="H101" s="4" t="s">
        <v>85</v>
      </c>
      <c r="I101" s="4" t="s">
        <v>144</v>
      </c>
      <c r="J101" s="4" t="s">
        <v>216</v>
      </c>
      <c r="K101" s="4" t="s">
        <v>21</v>
      </c>
      <c r="L101" s="5">
        <v>0.4826388888888889</v>
      </c>
      <c r="M101" s="4" t="s">
        <v>217</v>
      </c>
      <c r="N101" s="6" t="s">
        <v>23</v>
      </c>
      <c r="O101" s="4" t="s">
        <v>24</v>
      </c>
    </row>
    <row r="102" spans="1:15" x14ac:dyDescent="0.25">
      <c r="A102" s="11" t="s">
        <v>15</v>
      </c>
      <c r="B102" s="11" t="str">
        <f>"FES1162749237"</f>
        <v>FES1162749237</v>
      </c>
      <c r="C102" s="11" t="s">
        <v>16</v>
      </c>
      <c r="D102" s="11">
        <v>1</v>
      </c>
      <c r="E102" s="11" t="str">
        <f>"2170738894"</f>
        <v>2170738894</v>
      </c>
      <c r="F102" s="11" t="s">
        <v>17</v>
      </c>
      <c r="G102" s="11" t="s">
        <v>18</v>
      </c>
      <c r="H102" s="11" t="s">
        <v>18</v>
      </c>
      <c r="I102" s="11" t="s">
        <v>45</v>
      </c>
      <c r="J102" s="11" t="s">
        <v>218</v>
      </c>
      <c r="K102" s="11" t="s">
        <v>21</v>
      </c>
      <c r="L102" s="12">
        <v>0.4826388888888889</v>
      </c>
      <c r="M102" s="11" t="s">
        <v>430</v>
      </c>
      <c r="N102" s="13" t="s">
        <v>23</v>
      </c>
      <c r="O102" s="11" t="s">
        <v>24</v>
      </c>
    </row>
    <row r="103" spans="1:15" x14ac:dyDescent="0.25">
      <c r="A103" s="11" t="s">
        <v>15</v>
      </c>
      <c r="B103" s="11" t="str">
        <f>"FES1162749208"</f>
        <v>FES1162749208</v>
      </c>
      <c r="C103" s="11" t="s">
        <v>16</v>
      </c>
      <c r="D103" s="11">
        <v>1</v>
      </c>
      <c r="E103" s="11" t="str">
        <f>"2170739638"</f>
        <v>2170739638</v>
      </c>
      <c r="F103" s="11" t="s">
        <v>17</v>
      </c>
      <c r="G103" s="11" t="s">
        <v>18</v>
      </c>
      <c r="H103" s="11" t="s">
        <v>18</v>
      </c>
      <c r="I103" s="11" t="s">
        <v>219</v>
      </c>
      <c r="J103" s="11" t="s">
        <v>220</v>
      </c>
      <c r="K103" s="11" t="s">
        <v>21</v>
      </c>
      <c r="L103" s="12">
        <v>0.39583333333333331</v>
      </c>
      <c r="M103" s="11" t="s">
        <v>429</v>
      </c>
      <c r="N103" s="13" t="s">
        <v>23</v>
      </c>
      <c r="O103" s="11" t="s">
        <v>24</v>
      </c>
    </row>
    <row r="104" spans="1:15" x14ac:dyDescent="0.25">
      <c r="A104" s="11" t="s">
        <v>15</v>
      </c>
      <c r="B104" s="11" t="str">
        <f>"FES1162749249"</f>
        <v>FES1162749249</v>
      </c>
      <c r="C104" s="11" t="s">
        <v>16</v>
      </c>
      <c r="D104" s="11">
        <v>1</v>
      </c>
      <c r="E104" s="11" t="str">
        <f>"2170739778"</f>
        <v>2170739778</v>
      </c>
      <c r="F104" s="11" t="s">
        <v>17</v>
      </c>
      <c r="G104" s="11" t="s">
        <v>18</v>
      </c>
      <c r="H104" s="11" t="s">
        <v>40</v>
      </c>
      <c r="I104" s="11" t="s">
        <v>41</v>
      </c>
      <c r="J104" s="11" t="s">
        <v>221</v>
      </c>
      <c r="K104" s="11" t="s">
        <v>21</v>
      </c>
      <c r="L104" s="12">
        <v>0.39583333333333331</v>
      </c>
      <c r="M104" s="11" t="s">
        <v>642</v>
      </c>
      <c r="N104" s="13" t="s">
        <v>23</v>
      </c>
      <c r="O104" s="11" t="s">
        <v>24</v>
      </c>
    </row>
    <row r="105" spans="1:15" x14ac:dyDescent="0.25">
      <c r="A105" s="11" t="s">
        <v>15</v>
      </c>
      <c r="B105" s="11" t="str">
        <f>"FES1162749197"</f>
        <v>FES1162749197</v>
      </c>
      <c r="C105" s="11" t="s">
        <v>16</v>
      </c>
      <c r="D105" s="11">
        <v>1</v>
      </c>
      <c r="E105" s="11" t="str">
        <f>"21707343258"</f>
        <v>21707343258</v>
      </c>
      <c r="F105" s="11" t="s">
        <v>17</v>
      </c>
      <c r="G105" s="11" t="s">
        <v>18</v>
      </c>
      <c r="H105" s="11" t="s">
        <v>85</v>
      </c>
      <c r="I105" s="11" t="s">
        <v>222</v>
      </c>
      <c r="J105" s="11" t="s">
        <v>223</v>
      </c>
      <c r="K105" s="11" t="s">
        <v>21</v>
      </c>
      <c r="L105" s="12">
        <v>0.66666666666666663</v>
      </c>
      <c r="M105" s="11" t="s">
        <v>224</v>
      </c>
      <c r="N105" s="13" t="s">
        <v>23</v>
      </c>
      <c r="O105" s="11" t="s">
        <v>24</v>
      </c>
    </row>
    <row r="106" spans="1:15" x14ac:dyDescent="0.25">
      <c r="A106" s="11" t="s">
        <v>15</v>
      </c>
      <c r="B106" s="11" t="str">
        <f>"FES1162749239"</f>
        <v>FES1162749239</v>
      </c>
      <c r="C106" s="11" t="s">
        <v>16</v>
      </c>
      <c r="D106" s="11">
        <v>1</v>
      </c>
      <c r="E106" s="11" t="str">
        <f>"2170739735"</f>
        <v>2170739735</v>
      </c>
      <c r="F106" s="11" t="s">
        <v>17</v>
      </c>
      <c r="G106" s="11" t="s">
        <v>18</v>
      </c>
      <c r="H106" s="11" t="s">
        <v>40</v>
      </c>
      <c r="I106" s="11" t="s">
        <v>41</v>
      </c>
      <c r="J106" s="11" t="s">
        <v>225</v>
      </c>
      <c r="K106" s="11" t="s">
        <v>21</v>
      </c>
      <c r="L106" s="12">
        <v>0.66666666666666663</v>
      </c>
      <c r="M106" s="11" t="s">
        <v>428</v>
      </c>
      <c r="N106" s="13" t="s">
        <v>23</v>
      </c>
      <c r="O106" s="11" t="s">
        <v>24</v>
      </c>
    </row>
    <row r="107" spans="1:15" x14ac:dyDescent="0.25">
      <c r="A107" s="11" t="s">
        <v>15</v>
      </c>
      <c r="B107" s="11" t="str">
        <f>"FES1162744108"</f>
        <v>FES1162744108</v>
      </c>
      <c r="C107" s="11" t="s">
        <v>16</v>
      </c>
      <c r="D107" s="11">
        <v>1</v>
      </c>
      <c r="E107" s="11" t="str">
        <f>"21710735553"</f>
        <v>21710735553</v>
      </c>
      <c r="F107" s="11" t="s">
        <v>17</v>
      </c>
      <c r="G107" s="11" t="s">
        <v>18</v>
      </c>
      <c r="H107" s="11" t="s">
        <v>18</v>
      </c>
      <c r="I107" s="11" t="s">
        <v>126</v>
      </c>
      <c r="J107" s="11" t="s">
        <v>226</v>
      </c>
      <c r="K107" s="11" t="s">
        <v>21</v>
      </c>
      <c r="L107" s="12">
        <v>0.375</v>
      </c>
      <c r="M107" s="11" t="s">
        <v>227</v>
      </c>
      <c r="N107" s="13" t="s">
        <v>23</v>
      </c>
      <c r="O107" s="11" t="s">
        <v>24</v>
      </c>
    </row>
    <row r="108" spans="1:15" x14ac:dyDescent="0.25">
      <c r="A108" s="4" t="s">
        <v>15</v>
      </c>
      <c r="B108" s="4" t="str">
        <f>"FES1162744202"</f>
        <v>FES1162744202</v>
      </c>
      <c r="C108" s="4" t="s">
        <v>16</v>
      </c>
      <c r="D108" s="4">
        <v>1</v>
      </c>
      <c r="E108" s="4" t="str">
        <f>"2170733673"</f>
        <v>2170733673</v>
      </c>
      <c r="F108" s="4" t="s">
        <v>17</v>
      </c>
      <c r="G108" s="4" t="s">
        <v>18</v>
      </c>
      <c r="H108" s="4" t="s">
        <v>40</v>
      </c>
      <c r="I108" s="4" t="s">
        <v>41</v>
      </c>
      <c r="J108" s="4" t="s">
        <v>228</v>
      </c>
      <c r="K108" s="4" t="s">
        <v>21</v>
      </c>
      <c r="L108" s="5">
        <v>0.375</v>
      </c>
      <c r="M108" s="4" t="s">
        <v>427</v>
      </c>
      <c r="N108" s="6" t="s">
        <v>23</v>
      </c>
      <c r="O108" s="4" t="s">
        <v>24</v>
      </c>
    </row>
    <row r="109" spans="1:15" x14ac:dyDescent="0.25">
      <c r="A109" s="4" t="s">
        <v>15</v>
      </c>
      <c r="B109" s="4" t="str">
        <f>"FES1162749256"</f>
        <v>FES1162749256</v>
      </c>
      <c r="C109" s="4" t="s">
        <v>16</v>
      </c>
      <c r="D109" s="4">
        <v>1</v>
      </c>
      <c r="E109" s="4" t="str">
        <f>"2170739783"</f>
        <v>2170739783</v>
      </c>
      <c r="F109" s="4" t="s">
        <v>17</v>
      </c>
      <c r="G109" s="4" t="s">
        <v>18</v>
      </c>
      <c r="H109" s="4" t="s">
        <v>18</v>
      </c>
      <c r="I109" s="4" t="s">
        <v>147</v>
      </c>
      <c r="J109" s="4" t="s">
        <v>229</v>
      </c>
      <c r="K109" s="4" t="s">
        <v>21</v>
      </c>
      <c r="L109" s="5">
        <v>0.33333333333333331</v>
      </c>
      <c r="M109" s="4" t="s">
        <v>230</v>
      </c>
      <c r="N109" s="6" t="s">
        <v>23</v>
      </c>
      <c r="O109" s="4" t="s">
        <v>24</v>
      </c>
    </row>
    <row r="110" spans="1:15" x14ac:dyDescent="0.25">
      <c r="A110" s="4" t="s">
        <v>15</v>
      </c>
      <c r="B110" s="4" t="str">
        <f>"FES1162744190"</f>
        <v>FES1162744190</v>
      </c>
      <c r="C110" s="4" t="s">
        <v>16</v>
      </c>
      <c r="D110" s="4">
        <v>1</v>
      </c>
      <c r="E110" s="4" t="str">
        <f>"2170733193"</f>
        <v>2170733193</v>
      </c>
      <c r="F110" s="4" t="s">
        <v>17</v>
      </c>
      <c r="G110" s="4" t="s">
        <v>18</v>
      </c>
      <c r="H110" s="4" t="s">
        <v>18</v>
      </c>
      <c r="I110" s="4" t="s">
        <v>147</v>
      </c>
      <c r="J110" s="4" t="s">
        <v>231</v>
      </c>
      <c r="K110" s="4" t="s">
        <v>21</v>
      </c>
      <c r="L110" s="5">
        <v>0.33333333333333331</v>
      </c>
      <c r="M110" s="4" t="s">
        <v>232</v>
      </c>
      <c r="N110" s="6" t="s">
        <v>23</v>
      </c>
      <c r="O110" s="4" t="s">
        <v>24</v>
      </c>
    </row>
    <row r="111" spans="1:15" x14ac:dyDescent="0.25">
      <c r="A111" s="4" t="s">
        <v>15</v>
      </c>
      <c r="B111" s="4" t="str">
        <f>"FES1162749247"</f>
        <v>FES1162749247</v>
      </c>
      <c r="C111" s="4" t="s">
        <v>16</v>
      </c>
      <c r="D111" s="4">
        <v>1</v>
      </c>
      <c r="E111" s="4" t="str">
        <f>"2170739776"</f>
        <v>2170739776</v>
      </c>
      <c r="F111" s="4" t="s">
        <v>17</v>
      </c>
      <c r="G111" s="4" t="s">
        <v>18</v>
      </c>
      <c r="H111" s="4" t="s">
        <v>48</v>
      </c>
      <c r="I111" s="4" t="s">
        <v>199</v>
      </c>
      <c r="J111" s="4" t="s">
        <v>233</v>
      </c>
      <c r="K111" s="4" t="s">
        <v>21</v>
      </c>
      <c r="L111" s="5">
        <v>0.33333333333333331</v>
      </c>
      <c r="M111" s="4" t="s">
        <v>426</v>
      </c>
      <c r="N111" s="6" t="s">
        <v>23</v>
      </c>
      <c r="O111" s="4" t="s">
        <v>24</v>
      </c>
    </row>
    <row r="112" spans="1:15" x14ac:dyDescent="0.25">
      <c r="A112" s="4" t="s">
        <v>15</v>
      </c>
      <c r="B112" s="4" t="str">
        <f>"FES1162749250"</f>
        <v>FES1162749250</v>
      </c>
      <c r="C112" s="4" t="s">
        <v>16</v>
      </c>
      <c r="D112" s="4">
        <v>1</v>
      </c>
      <c r="E112" s="4" t="str">
        <f>"2170737997"</f>
        <v>2170737997</v>
      </c>
      <c r="F112" s="4" t="s">
        <v>17</v>
      </c>
      <c r="G112" s="4" t="s">
        <v>18</v>
      </c>
      <c r="H112" s="4" t="s">
        <v>48</v>
      </c>
      <c r="I112" s="4" t="s">
        <v>234</v>
      </c>
      <c r="J112" s="4" t="s">
        <v>235</v>
      </c>
      <c r="K112" s="4" t="s">
        <v>21</v>
      </c>
      <c r="L112" s="5">
        <v>0.4375</v>
      </c>
      <c r="M112" s="4" t="s">
        <v>236</v>
      </c>
      <c r="N112" s="6" t="s">
        <v>23</v>
      </c>
      <c r="O112" s="4" t="s">
        <v>24</v>
      </c>
    </row>
    <row r="113" spans="1:15" x14ac:dyDescent="0.25">
      <c r="A113" s="4" t="s">
        <v>15</v>
      </c>
      <c r="B113" s="4" t="str">
        <f>"FES1162749204"</f>
        <v>FES1162749204</v>
      </c>
      <c r="C113" s="4" t="s">
        <v>16</v>
      </c>
      <c r="D113" s="4">
        <v>1</v>
      </c>
      <c r="E113" s="4" t="str">
        <f>"2170738680"</f>
        <v>2170738680</v>
      </c>
      <c r="F113" s="4" t="s">
        <v>17</v>
      </c>
      <c r="G113" s="4" t="s">
        <v>18</v>
      </c>
      <c r="H113" s="4" t="s">
        <v>85</v>
      </c>
      <c r="I113" s="4" t="s">
        <v>237</v>
      </c>
      <c r="J113" s="4" t="s">
        <v>238</v>
      </c>
      <c r="K113" s="4" t="s">
        <v>21</v>
      </c>
      <c r="L113" s="5">
        <v>0.4375</v>
      </c>
      <c r="M113" s="4" t="s">
        <v>425</v>
      </c>
      <c r="N113" s="6" t="s">
        <v>23</v>
      </c>
      <c r="O113" s="4" t="s">
        <v>24</v>
      </c>
    </row>
    <row r="114" spans="1:15" x14ac:dyDescent="0.25">
      <c r="A114" s="4" t="s">
        <v>15</v>
      </c>
      <c r="B114" s="4" t="str">
        <f>"FES1162749200"</f>
        <v>FES1162749200</v>
      </c>
      <c r="C114" s="4" t="s">
        <v>16</v>
      </c>
      <c r="D114" s="4">
        <v>1</v>
      </c>
      <c r="E114" s="4" t="str">
        <f>"2170735923"</f>
        <v>2170735923</v>
      </c>
      <c r="F114" s="4" t="s">
        <v>17</v>
      </c>
      <c r="G114" s="4" t="s">
        <v>18</v>
      </c>
      <c r="H114" s="4" t="s">
        <v>85</v>
      </c>
      <c r="I114" s="4" t="s">
        <v>152</v>
      </c>
      <c r="J114" s="4" t="s">
        <v>239</v>
      </c>
      <c r="K114" s="4" t="s">
        <v>21</v>
      </c>
      <c r="L114" s="5">
        <v>0.4458333333333333</v>
      </c>
      <c r="M114" s="4" t="s">
        <v>240</v>
      </c>
      <c r="N114" s="6" t="s">
        <v>23</v>
      </c>
      <c r="O114" s="4" t="s">
        <v>24</v>
      </c>
    </row>
    <row r="115" spans="1:15" x14ac:dyDescent="0.25">
      <c r="A115" s="4" t="s">
        <v>15</v>
      </c>
      <c r="B115" s="4" t="str">
        <f>"FES1162749201"</f>
        <v>FES1162749201</v>
      </c>
      <c r="C115" s="4" t="s">
        <v>16</v>
      </c>
      <c r="D115" s="4">
        <v>1</v>
      </c>
      <c r="E115" s="4" t="str">
        <f>"2170737908"</f>
        <v>2170737908</v>
      </c>
      <c r="F115" s="4" t="s">
        <v>135</v>
      </c>
      <c r="G115" s="4" t="s">
        <v>18</v>
      </c>
      <c r="H115" s="4" t="s">
        <v>85</v>
      </c>
      <c r="I115" s="4" t="s">
        <v>152</v>
      </c>
      <c r="J115" s="4" t="s">
        <v>153</v>
      </c>
      <c r="K115" s="4" t="s">
        <v>21</v>
      </c>
      <c r="L115" s="5">
        <v>0.61041666666666672</v>
      </c>
      <c r="M115" s="4" t="s">
        <v>155</v>
      </c>
      <c r="N115" s="6" t="s">
        <v>23</v>
      </c>
      <c r="O115" s="4" t="s">
        <v>166</v>
      </c>
    </row>
    <row r="116" spans="1:15" x14ac:dyDescent="0.25">
      <c r="A116" s="4" t="s">
        <v>15</v>
      </c>
      <c r="B116" s="4" t="str">
        <f>"FES1162749203"</f>
        <v>FES1162749203</v>
      </c>
      <c r="C116" s="4" t="s">
        <v>16</v>
      </c>
      <c r="D116" s="4">
        <v>1</v>
      </c>
      <c r="E116" s="4" t="str">
        <f>"2170738513"</f>
        <v>2170738513</v>
      </c>
      <c r="F116" s="4" t="s">
        <v>17</v>
      </c>
      <c r="G116" s="4" t="s">
        <v>18</v>
      </c>
      <c r="H116" s="4" t="s">
        <v>85</v>
      </c>
      <c r="I116" s="4" t="s">
        <v>144</v>
      </c>
      <c r="J116" s="4" t="s">
        <v>216</v>
      </c>
      <c r="K116" s="4" t="s">
        <v>21</v>
      </c>
      <c r="L116" s="5">
        <v>0.4826388888888889</v>
      </c>
      <c r="M116" s="4" t="s">
        <v>217</v>
      </c>
      <c r="N116" s="6" t="s">
        <v>23</v>
      </c>
      <c r="O116" s="4" t="s">
        <v>24</v>
      </c>
    </row>
    <row r="117" spans="1:15" x14ac:dyDescent="0.25">
      <c r="A117" s="4" t="s">
        <v>15</v>
      </c>
      <c r="B117" s="4" t="str">
        <f>"FES1162749218"</f>
        <v>FES1162749218</v>
      </c>
      <c r="C117" s="4" t="s">
        <v>16</v>
      </c>
      <c r="D117" s="4">
        <v>1</v>
      </c>
      <c r="E117" s="4" t="str">
        <f>"2170739729"</f>
        <v>2170739729</v>
      </c>
      <c r="F117" s="4" t="s">
        <v>17</v>
      </c>
      <c r="G117" s="4" t="s">
        <v>18</v>
      </c>
      <c r="H117" s="4" t="s">
        <v>40</v>
      </c>
      <c r="I117" s="4" t="s">
        <v>41</v>
      </c>
      <c r="J117" s="4" t="s">
        <v>99</v>
      </c>
      <c r="K117" s="4" t="s">
        <v>21</v>
      </c>
      <c r="L117" s="5">
        <v>0.4826388888888889</v>
      </c>
      <c r="M117" s="4" t="s">
        <v>424</v>
      </c>
      <c r="N117" s="6" t="s">
        <v>23</v>
      </c>
      <c r="O117" s="4" t="s">
        <v>24</v>
      </c>
    </row>
    <row r="118" spans="1:15" x14ac:dyDescent="0.25">
      <c r="A118" s="4" t="s">
        <v>15</v>
      </c>
      <c r="B118" s="4" t="str">
        <f>"FES1162749223"</f>
        <v>FES1162749223</v>
      </c>
      <c r="C118" s="4" t="s">
        <v>16</v>
      </c>
      <c r="D118" s="4">
        <v>1</v>
      </c>
      <c r="E118" s="4" t="str">
        <f>"2170739734"</f>
        <v>2170739734</v>
      </c>
      <c r="F118" s="4" t="s">
        <v>17</v>
      </c>
      <c r="G118" s="4" t="s">
        <v>18</v>
      </c>
      <c r="H118" s="4" t="s">
        <v>85</v>
      </c>
      <c r="I118" s="4" t="s">
        <v>207</v>
      </c>
      <c r="J118" s="4" t="s">
        <v>241</v>
      </c>
      <c r="K118" s="4" t="s">
        <v>21</v>
      </c>
      <c r="L118" s="5">
        <v>0.4465277777777778</v>
      </c>
      <c r="M118" s="4" t="s">
        <v>242</v>
      </c>
      <c r="N118" s="6" t="s">
        <v>23</v>
      </c>
      <c r="O118" s="4" t="s">
        <v>24</v>
      </c>
    </row>
    <row r="119" spans="1:15" x14ac:dyDescent="0.25">
      <c r="A119" s="4" t="s">
        <v>15</v>
      </c>
      <c r="B119" s="4" t="str">
        <f>"FES1162749205"</f>
        <v>FES1162749205</v>
      </c>
      <c r="C119" s="4" t="s">
        <v>16</v>
      </c>
      <c r="D119" s="4">
        <v>1</v>
      </c>
      <c r="E119" s="4" t="str">
        <f>"2170738744"</f>
        <v>2170738744</v>
      </c>
      <c r="F119" s="4" t="s">
        <v>17</v>
      </c>
      <c r="G119" s="4" t="s">
        <v>18</v>
      </c>
      <c r="H119" s="4" t="s">
        <v>40</v>
      </c>
      <c r="I119" s="4" t="s">
        <v>41</v>
      </c>
      <c r="J119" s="4" t="s">
        <v>243</v>
      </c>
      <c r="K119" s="4" t="s">
        <v>21</v>
      </c>
      <c r="L119" s="5">
        <v>0.4465277777777778</v>
      </c>
      <c r="M119" s="4" t="s">
        <v>422</v>
      </c>
      <c r="N119" s="6" t="s">
        <v>23</v>
      </c>
      <c r="O119" s="4" t="s">
        <v>24</v>
      </c>
    </row>
    <row r="120" spans="1:15" x14ac:dyDescent="0.25">
      <c r="A120" s="4" t="s">
        <v>15</v>
      </c>
      <c r="B120" s="4" t="str">
        <f>"FES1162749229"</f>
        <v>FES1162749229</v>
      </c>
      <c r="C120" s="4" t="s">
        <v>16</v>
      </c>
      <c r="D120" s="4">
        <v>1</v>
      </c>
      <c r="E120" s="4" t="str">
        <f>"2170739746"</f>
        <v>2170739746</v>
      </c>
      <c r="F120" s="4" t="s">
        <v>17</v>
      </c>
      <c r="G120" s="4" t="s">
        <v>18</v>
      </c>
      <c r="H120" s="4" t="s">
        <v>85</v>
      </c>
      <c r="I120" s="4" t="s">
        <v>86</v>
      </c>
      <c r="J120" s="4" t="s">
        <v>87</v>
      </c>
      <c r="K120" s="4" t="s">
        <v>21</v>
      </c>
      <c r="L120" s="5">
        <v>0.57152777777777775</v>
      </c>
      <c r="M120" s="4" t="s">
        <v>88</v>
      </c>
      <c r="N120" s="6" t="s">
        <v>23</v>
      </c>
      <c r="O120" s="4" t="s">
        <v>24</v>
      </c>
    </row>
    <row r="121" spans="1:15" x14ac:dyDescent="0.25">
      <c r="A121" s="4" t="s">
        <v>15</v>
      </c>
      <c r="B121" s="4" t="str">
        <f>"FES1162749198"</f>
        <v>FES1162749198</v>
      </c>
      <c r="C121" s="4" t="s">
        <v>16</v>
      </c>
      <c r="D121" s="4">
        <v>1</v>
      </c>
      <c r="E121" s="4" t="str">
        <f>"2170734483"</f>
        <v>2170734483</v>
      </c>
      <c r="F121" s="4" t="s">
        <v>17</v>
      </c>
      <c r="G121" s="4" t="s">
        <v>18</v>
      </c>
      <c r="H121" s="4" t="s">
        <v>85</v>
      </c>
      <c r="I121" s="4" t="s">
        <v>144</v>
      </c>
      <c r="J121" s="4" t="s">
        <v>216</v>
      </c>
      <c r="K121" s="4" t="s">
        <v>21</v>
      </c>
      <c r="L121" s="5">
        <v>0.4826388888888889</v>
      </c>
      <c r="M121" s="4" t="s">
        <v>217</v>
      </c>
      <c r="N121" s="6" t="s">
        <v>23</v>
      </c>
      <c r="O121" s="4" t="s">
        <v>24</v>
      </c>
    </row>
    <row r="122" spans="1:15" x14ac:dyDescent="0.25">
      <c r="A122" s="4" t="s">
        <v>15</v>
      </c>
      <c r="B122" s="4" t="str">
        <f>"FES1162749199"</f>
        <v>FES1162749199</v>
      </c>
      <c r="C122" s="4" t="s">
        <v>16</v>
      </c>
      <c r="D122" s="4">
        <v>1</v>
      </c>
      <c r="E122" s="4" t="str">
        <f>"2170735828"</f>
        <v>2170735828</v>
      </c>
      <c r="F122" s="4" t="s">
        <v>17</v>
      </c>
      <c r="G122" s="4" t="s">
        <v>18</v>
      </c>
      <c r="H122" s="4" t="s">
        <v>40</v>
      </c>
      <c r="I122" s="4" t="s">
        <v>78</v>
      </c>
      <c r="J122" s="4" t="s">
        <v>244</v>
      </c>
      <c r="K122" s="4" t="s">
        <v>21</v>
      </c>
      <c r="L122" s="5">
        <v>0.4826388888888889</v>
      </c>
      <c r="M122" s="4" t="s">
        <v>423</v>
      </c>
      <c r="N122" s="6" t="s">
        <v>23</v>
      </c>
      <c r="O122" s="4" t="s">
        <v>24</v>
      </c>
    </row>
    <row r="123" spans="1:15" x14ac:dyDescent="0.25">
      <c r="A123" s="4" t="s">
        <v>15</v>
      </c>
      <c r="B123" s="4" t="str">
        <f>"FES1162749206"</f>
        <v>FES1162749206</v>
      </c>
      <c r="C123" s="4" t="s">
        <v>16</v>
      </c>
      <c r="D123" s="4">
        <v>1</v>
      </c>
      <c r="E123" s="4" t="str">
        <f>"2170738754"</f>
        <v>2170738754</v>
      </c>
      <c r="F123" s="4" t="s">
        <v>17</v>
      </c>
      <c r="G123" s="4" t="s">
        <v>18</v>
      </c>
      <c r="H123" s="4" t="s">
        <v>40</v>
      </c>
      <c r="I123" s="4" t="s">
        <v>41</v>
      </c>
      <c r="J123" s="4" t="s">
        <v>243</v>
      </c>
      <c r="K123" s="4" t="s">
        <v>21</v>
      </c>
      <c r="L123" s="5">
        <v>0.4465277777777778</v>
      </c>
      <c r="M123" s="4" t="s">
        <v>422</v>
      </c>
      <c r="N123" s="6" t="s">
        <v>23</v>
      </c>
      <c r="O123" s="4" t="s">
        <v>24</v>
      </c>
    </row>
    <row r="124" spans="1:15" x14ac:dyDescent="0.25">
      <c r="A124" s="11" t="s">
        <v>15</v>
      </c>
      <c r="B124" s="11" t="str">
        <f>"FES1162749207"</f>
        <v>FES1162749207</v>
      </c>
      <c r="C124" s="11" t="s">
        <v>16</v>
      </c>
      <c r="D124" s="11">
        <v>1</v>
      </c>
      <c r="E124" s="11" t="str">
        <f>"2170739239"</f>
        <v>2170739239</v>
      </c>
      <c r="F124" s="11" t="s">
        <v>17</v>
      </c>
      <c r="G124" s="11" t="s">
        <v>18</v>
      </c>
      <c r="H124" s="11" t="s">
        <v>40</v>
      </c>
      <c r="I124" s="11" t="s">
        <v>41</v>
      </c>
      <c r="J124" s="11" t="s">
        <v>243</v>
      </c>
      <c r="K124" s="11" t="s">
        <v>21</v>
      </c>
      <c r="L124" s="12">
        <v>0.4465277777777778</v>
      </c>
      <c r="M124" s="11" t="s">
        <v>422</v>
      </c>
      <c r="N124" s="13" t="s">
        <v>23</v>
      </c>
      <c r="O124" s="11" t="s">
        <v>24</v>
      </c>
    </row>
    <row r="125" spans="1:15" x14ac:dyDescent="0.25">
      <c r="A125" s="11" t="s">
        <v>15</v>
      </c>
      <c r="B125" s="11" t="str">
        <f>"FES1162749245"</f>
        <v>FES1162749245</v>
      </c>
      <c r="C125" s="11" t="s">
        <v>16</v>
      </c>
      <c r="D125" s="11">
        <v>1</v>
      </c>
      <c r="E125" s="11" t="str">
        <f>"2170739771"</f>
        <v>2170739771</v>
      </c>
      <c r="F125" s="11" t="s">
        <v>17</v>
      </c>
      <c r="G125" s="11" t="s">
        <v>18</v>
      </c>
      <c r="H125" s="11" t="s">
        <v>85</v>
      </c>
      <c r="I125" s="11" t="s">
        <v>207</v>
      </c>
      <c r="J125" s="11" t="s">
        <v>245</v>
      </c>
      <c r="K125" s="11" t="s">
        <v>21</v>
      </c>
      <c r="L125" s="12">
        <v>0.55763888888888891</v>
      </c>
      <c r="M125" s="11" t="s">
        <v>246</v>
      </c>
      <c r="N125" s="13" t="s">
        <v>23</v>
      </c>
      <c r="O125" s="11" t="s">
        <v>24</v>
      </c>
    </row>
    <row r="126" spans="1:15" x14ac:dyDescent="0.25">
      <c r="A126" s="11" t="s">
        <v>15</v>
      </c>
      <c r="B126" s="11" t="str">
        <f>"FES1162749202"</f>
        <v>FES1162749202</v>
      </c>
      <c r="C126" s="11" t="s">
        <v>16</v>
      </c>
      <c r="D126" s="11">
        <v>1</v>
      </c>
      <c r="E126" s="11" t="str">
        <f>"2170738465"</f>
        <v>2170738465</v>
      </c>
      <c r="F126" s="11" t="s">
        <v>17</v>
      </c>
      <c r="G126" s="11" t="s">
        <v>18</v>
      </c>
      <c r="H126" s="11" t="s">
        <v>85</v>
      </c>
      <c r="I126" s="11" t="s">
        <v>152</v>
      </c>
      <c r="J126" s="11" t="s">
        <v>239</v>
      </c>
      <c r="K126" s="11" t="s">
        <v>21</v>
      </c>
      <c r="L126" s="12">
        <v>0.4458333333333333</v>
      </c>
      <c r="M126" s="11" t="s">
        <v>240</v>
      </c>
      <c r="N126" s="13" t="s">
        <v>23</v>
      </c>
      <c r="O126" s="11" t="s">
        <v>24</v>
      </c>
    </row>
    <row r="127" spans="1:15" x14ac:dyDescent="0.25">
      <c r="A127" s="11" t="s">
        <v>15</v>
      </c>
      <c r="B127" s="11" t="str">
        <f>"FES1162749259"</f>
        <v>FES1162749259</v>
      </c>
      <c r="C127" s="11" t="s">
        <v>16</v>
      </c>
      <c r="D127" s="11">
        <v>1</v>
      </c>
      <c r="E127" s="11" t="str">
        <f>"2170739788"</f>
        <v>2170739788</v>
      </c>
      <c r="F127" s="11" t="s">
        <v>17</v>
      </c>
      <c r="G127" s="11" t="s">
        <v>18</v>
      </c>
      <c r="H127" s="11" t="s">
        <v>48</v>
      </c>
      <c r="I127" s="11" t="s">
        <v>73</v>
      </c>
      <c r="J127" s="11" t="s">
        <v>247</v>
      </c>
      <c r="K127" s="11" t="s">
        <v>21</v>
      </c>
      <c r="L127" s="12">
        <v>0.43888888888888888</v>
      </c>
      <c r="M127" s="11" t="s">
        <v>248</v>
      </c>
      <c r="N127" s="13" t="s">
        <v>23</v>
      </c>
      <c r="O127" s="11" t="s">
        <v>24</v>
      </c>
    </row>
    <row r="128" spans="1:15" x14ac:dyDescent="0.25">
      <c r="A128" s="11" t="s">
        <v>15</v>
      </c>
      <c r="B128" s="11" t="str">
        <f>"009935712295"</f>
        <v>009935712295</v>
      </c>
      <c r="C128" s="11" t="s">
        <v>16</v>
      </c>
      <c r="D128" s="11">
        <v>1</v>
      </c>
      <c r="E128" s="11" t="str">
        <f>"2170734394"</f>
        <v>2170734394</v>
      </c>
      <c r="F128" s="11" t="s">
        <v>17</v>
      </c>
      <c r="G128" s="11" t="s">
        <v>18</v>
      </c>
      <c r="H128" s="11" t="s">
        <v>18</v>
      </c>
      <c r="I128" s="11" t="s">
        <v>45</v>
      </c>
      <c r="J128" s="11" t="s">
        <v>249</v>
      </c>
      <c r="K128" s="11" t="s">
        <v>21</v>
      </c>
      <c r="L128" s="12">
        <v>0.43888888888888888</v>
      </c>
      <c r="M128" s="11" t="s">
        <v>1115</v>
      </c>
      <c r="N128" s="13" t="s">
        <v>23</v>
      </c>
      <c r="O128" s="11" t="s">
        <v>1116</v>
      </c>
    </row>
    <row r="129" spans="1:15" x14ac:dyDescent="0.25">
      <c r="A129" s="11" t="s">
        <v>15</v>
      </c>
      <c r="B129" s="11" t="str">
        <f>"FES1162749272"</f>
        <v>FES1162749272</v>
      </c>
      <c r="C129" s="11" t="s">
        <v>16</v>
      </c>
      <c r="D129" s="11">
        <v>1</v>
      </c>
      <c r="E129" s="11" t="str">
        <f>"2170739085"</f>
        <v>2170739085</v>
      </c>
      <c r="F129" s="11" t="s">
        <v>17</v>
      </c>
      <c r="G129" s="11" t="s">
        <v>18</v>
      </c>
      <c r="H129" s="11" t="s">
        <v>52</v>
      </c>
      <c r="I129" s="11" t="s">
        <v>53</v>
      </c>
      <c r="J129" s="11" t="s">
        <v>56</v>
      </c>
      <c r="K129" s="11" t="s">
        <v>21</v>
      </c>
      <c r="L129" s="12">
        <v>0.43194444444444446</v>
      </c>
      <c r="M129" s="11" t="s">
        <v>57</v>
      </c>
      <c r="N129" s="13" t="s">
        <v>23</v>
      </c>
      <c r="O129" s="11" t="s">
        <v>24</v>
      </c>
    </row>
    <row r="130" spans="1:15" x14ac:dyDescent="0.25">
      <c r="A130" s="11" t="s">
        <v>15</v>
      </c>
      <c r="B130" s="11" t="str">
        <f>"FES1162749265"</f>
        <v>FES1162749265</v>
      </c>
      <c r="C130" s="11" t="s">
        <v>16</v>
      </c>
      <c r="D130" s="11">
        <v>1</v>
      </c>
      <c r="E130" s="11" t="str">
        <f>"217107978"</f>
        <v>217107978</v>
      </c>
      <c r="F130" s="11" t="s">
        <v>17</v>
      </c>
      <c r="G130" s="11" t="s">
        <v>18</v>
      </c>
      <c r="H130" s="11" t="s">
        <v>18</v>
      </c>
      <c r="I130" s="11" t="s">
        <v>29</v>
      </c>
      <c r="J130" s="11" t="s">
        <v>136</v>
      </c>
      <c r="K130" s="11" t="s">
        <v>21</v>
      </c>
      <c r="L130" s="12">
        <v>0.3125</v>
      </c>
      <c r="M130" s="11" t="s">
        <v>137</v>
      </c>
      <c r="N130" s="13" t="s">
        <v>23</v>
      </c>
      <c r="O130" s="11" t="s">
        <v>24</v>
      </c>
    </row>
    <row r="131" spans="1:15" x14ac:dyDescent="0.25">
      <c r="A131" s="11" t="s">
        <v>15</v>
      </c>
      <c r="B131" s="11" t="str">
        <f>"FES1162749193"</f>
        <v>FES1162749193</v>
      </c>
      <c r="C131" s="11" t="s">
        <v>16</v>
      </c>
      <c r="D131" s="11">
        <v>1</v>
      </c>
      <c r="E131" s="11" t="str">
        <f>"2170728798"</f>
        <v>2170728798</v>
      </c>
      <c r="F131" s="11" t="s">
        <v>17</v>
      </c>
      <c r="G131" s="11" t="s">
        <v>18</v>
      </c>
      <c r="H131" s="11" t="s">
        <v>85</v>
      </c>
      <c r="I131" s="11" t="s">
        <v>222</v>
      </c>
      <c r="J131" s="11" t="s">
        <v>223</v>
      </c>
      <c r="K131" s="11" t="s">
        <v>21</v>
      </c>
      <c r="L131" s="12">
        <v>0.66666666666666663</v>
      </c>
      <c r="M131" s="11" t="s">
        <v>224</v>
      </c>
      <c r="N131" s="13" t="s">
        <v>23</v>
      </c>
      <c r="O131" s="11" t="s">
        <v>24</v>
      </c>
    </row>
    <row r="132" spans="1:15" x14ac:dyDescent="0.25">
      <c r="A132" s="4" t="s">
        <v>15</v>
      </c>
      <c r="B132" s="4" t="str">
        <f>"FES1162749257"</f>
        <v>FES1162749257</v>
      </c>
      <c r="C132" s="4" t="s">
        <v>16</v>
      </c>
      <c r="D132" s="4">
        <v>1</v>
      </c>
      <c r="E132" s="4" t="str">
        <f>"2170739784"</f>
        <v>2170739784</v>
      </c>
      <c r="F132" s="4" t="s">
        <v>17</v>
      </c>
      <c r="G132" s="4" t="s">
        <v>18</v>
      </c>
      <c r="H132" s="4" t="s">
        <v>18</v>
      </c>
      <c r="I132" s="4" t="s">
        <v>19</v>
      </c>
      <c r="J132" s="4" t="s">
        <v>250</v>
      </c>
      <c r="K132" s="4" t="s">
        <v>21</v>
      </c>
      <c r="L132" s="5">
        <v>0.375</v>
      </c>
      <c r="M132" s="4" t="s">
        <v>65</v>
      </c>
      <c r="N132" s="6" t="s">
        <v>23</v>
      </c>
      <c r="O132" s="4" t="s">
        <v>24</v>
      </c>
    </row>
    <row r="133" spans="1:15" x14ac:dyDescent="0.25">
      <c r="A133" s="4" t="s">
        <v>15</v>
      </c>
      <c r="B133" s="4" t="str">
        <f>"FES1162749236"</f>
        <v>FES1162749236</v>
      </c>
      <c r="C133" s="4" t="s">
        <v>16</v>
      </c>
      <c r="D133" s="4">
        <v>1</v>
      </c>
      <c r="E133" s="4" t="str">
        <f>"2170739765"</f>
        <v>2170739765</v>
      </c>
      <c r="F133" s="4" t="s">
        <v>164</v>
      </c>
      <c r="G133" s="4" t="s">
        <v>18</v>
      </c>
      <c r="H133" s="4" t="s">
        <v>18</v>
      </c>
      <c r="I133" s="4" t="s">
        <v>183</v>
      </c>
      <c r="J133" s="4" t="s">
        <v>184</v>
      </c>
      <c r="K133" s="4" t="s">
        <v>21</v>
      </c>
      <c r="L133" s="5">
        <v>0.37847222222222227</v>
      </c>
      <c r="M133" s="4" t="s">
        <v>251</v>
      </c>
      <c r="N133" s="6" t="s">
        <v>23</v>
      </c>
      <c r="O133" s="4" t="s">
        <v>166</v>
      </c>
    </row>
    <row r="134" spans="1:15" x14ac:dyDescent="0.25">
      <c r="A134" s="4" t="s">
        <v>15</v>
      </c>
      <c r="B134" s="4" t="str">
        <f>"FES1162749254"</f>
        <v>FES1162749254</v>
      </c>
      <c r="C134" s="4" t="s">
        <v>16</v>
      </c>
      <c r="D134" s="4">
        <v>1</v>
      </c>
      <c r="E134" s="4" t="str">
        <f>"2170739781"</f>
        <v>2170739781</v>
      </c>
      <c r="F134" s="4" t="s">
        <v>17</v>
      </c>
      <c r="G134" s="4" t="s">
        <v>18</v>
      </c>
      <c r="H134" s="4" t="s">
        <v>48</v>
      </c>
      <c r="I134" s="4" t="s">
        <v>49</v>
      </c>
      <c r="J134" s="4" t="s">
        <v>252</v>
      </c>
      <c r="K134" s="4" t="s">
        <v>21</v>
      </c>
      <c r="L134" s="5">
        <v>0.37847222222222227</v>
      </c>
      <c r="M134" s="4" t="s">
        <v>421</v>
      </c>
      <c r="N134" s="6" t="s">
        <v>23</v>
      </c>
      <c r="O134" s="4" t="s">
        <v>24</v>
      </c>
    </row>
    <row r="135" spans="1:15" x14ac:dyDescent="0.25">
      <c r="A135" s="4" t="s">
        <v>15</v>
      </c>
      <c r="B135" s="4" t="str">
        <f>"FES1162749252"</f>
        <v>FES1162749252</v>
      </c>
      <c r="C135" s="4" t="s">
        <v>16</v>
      </c>
      <c r="D135" s="4">
        <v>1</v>
      </c>
      <c r="E135" s="4" t="str">
        <f>"2170739748"</f>
        <v>2170739748</v>
      </c>
      <c r="F135" s="4" t="s">
        <v>17</v>
      </c>
      <c r="G135" s="4" t="s">
        <v>18</v>
      </c>
      <c r="H135" s="4" t="s">
        <v>85</v>
      </c>
      <c r="I135" s="4" t="s">
        <v>144</v>
      </c>
      <c r="J135" s="4" t="s">
        <v>253</v>
      </c>
      <c r="K135" s="4" t="s">
        <v>21</v>
      </c>
      <c r="L135" s="5">
        <v>0.60763888888888895</v>
      </c>
      <c r="M135" s="4" t="s">
        <v>254</v>
      </c>
      <c r="N135" s="6" t="s">
        <v>23</v>
      </c>
      <c r="O135" s="4" t="s">
        <v>24</v>
      </c>
    </row>
    <row r="136" spans="1:15" x14ac:dyDescent="0.25">
      <c r="A136" s="4" t="s">
        <v>15</v>
      </c>
      <c r="B136" s="4" t="str">
        <f>"FES1162749253"</f>
        <v>FES1162749253</v>
      </c>
      <c r="C136" s="4" t="s">
        <v>16</v>
      </c>
      <c r="D136" s="4">
        <v>1</v>
      </c>
      <c r="E136" s="4" t="str">
        <f>"2170739393"</f>
        <v>2170739393</v>
      </c>
      <c r="F136" s="4" t="s">
        <v>17</v>
      </c>
      <c r="G136" s="4" t="s">
        <v>18</v>
      </c>
      <c r="H136" s="4" t="s">
        <v>85</v>
      </c>
      <c r="I136" s="4" t="s">
        <v>144</v>
      </c>
      <c r="J136" s="4" t="s">
        <v>255</v>
      </c>
      <c r="K136" s="4" t="s">
        <v>21</v>
      </c>
      <c r="L136" s="5">
        <v>0.60763888888888895</v>
      </c>
      <c r="M136" s="4" t="s">
        <v>420</v>
      </c>
      <c r="N136" s="6" t="s">
        <v>23</v>
      </c>
      <c r="O136" s="4" t="s">
        <v>24</v>
      </c>
    </row>
    <row r="137" spans="1:15" x14ac:dyDescent="0.25">
      <c r="A137" s="11" t="s">
        <v>15</v>
      </c>
      <c r="B137" s="11" t="str">
        <f>"FES1162749261"</f>
        <v>FES1162749261</v>
      </c>
      <c r="C137" s="11" t="s">
        <v>16</v>
      </c>
      <c r="D137" s="11">
        <v>1</v>
      </c>
      <c r="E137" s="11" t="str">
        <f>"21700739629"</f>
        <v>21700739629</v>
      </c>
      <c r="F137" s="11" t="s">
        <v>17</v>
      </c>
      <c r="G137" s="11" t="s">
        <v>18</v>
      </c>
      <c r="H137" s="11" t="s">
        <v>48</v>
      </c>
      <c r="I137" s="11" t="s">
        <v>199</v>
      </c>
      <c r="J137" s="11" t="s">
        <v>200</v>
      </c>
      <c r="K137" s="11" t="s">
        <v>21</v>
      </c>
      <c r="L137" s="12">
        <v>0.41666666666666669</v>
      </c>
      <c r="M137" s="11" t="s">
        <v>256</v>
      </c>
      <c r="N137" s="13" t="s">
        <v>23</v>
      </c>
      <c r="O137" s="11" t="s">
        <v>24</v>
      </c>
    </row>
    <row r="138" spans="1:15" x14ac:dyDescent="0.25">
      <c r="A138" s="11" t="s">
        <v>15</v>
      </c>
      <c r="B138" s="11" t="str">
        <f>"FES116274276"</f>
        <v>FES116274276</v>
      </c>
      <c r="C138" s="11" t="s">
        <v>16</v>
      </c>
      <c r="D138" s="11">
        <v>1</v>
      </c>
      <c r="E138" s="11" t="str">
        <f>"2170739789"</f>
        <v>2170739789</v>
      </c>
      <c r="F138" s="11" t="s">
        <v>17</v>
      </c>
      <c r="G138" s="11" t="s">
        <v>18</v>
      </c>
      <c r="H138" s="11" t="s">
        <v>32</v>
      </c>
      <c r="I138" s="11" t="s">
        <v>33</v>
      </c>
      <c r="J138" s="11" t="s">
        <v>257</v>
      </c>
      <c r="K138" s="11" t="s">
        <v>21</v>
      </c>
      <c r="L138" s="12">
        <v>0.41666666666666669</v>
      </c>
      <c r="M138" s="11" t="s">
        <v>838</v>
      </c>
      <c r="N138" s="13" t="s">
        <v>23</v>
      </c>
      <c r="O138" s="11" t="s">
        <v>24</v>
      </c>
    </row>
    <row r="139" spans="1:15" x14ac:dyDescent="0.25">
      <c r="A139" s="11" t="s">
        <v>15</v>
      </c>
      <c r="B139" s="11" t="str">
        <f>"FES1162749284"</f>
        <v>FES1162749284</v>
      </c>
      <c r="C139" s="11" t="s">
        <v>16</v>
      </c>
      <c r="D139" s="11">
        <v>1</v>
      </c>
      <c r="E139" s="11" t="str">
        <f>"2170739824"</f>
        <v>2170739824</v>
      </c>
      <c r="F139" s="11" t="s">
        <v>17</v>
      </c>
      <c r="G139" s="11" t="s">
        <v>18</v>
      </c>
      <c r="H139" s="11" t="s">
        <v>48</v>
      </c>
      <c r="I139" s="11" t="s">
        <v>108</v>
      </c>
      <c r="J139" s="11" t="s">
        <v>109</v>
      </c>
      <c r="K139" s="11" t="s">
        <v>21</v>
      </c>
      <c r="L139" s="12">
        <v>0.65555555555555556</v>
      </c>
      <c r="M139" s="11" t="s">
        <v>65</v>
      </c>
      <c r="N139" s="13" t="s">
        <v>23</v>
      </c>
      <c r="O139" s="11" t="s">
        <v>24</v>
      </c>
    </row>
    <row r="140" spans="1:15" x14ac:dyDescent="0.25">
      <c r="A140" s="11" t="s">
        <v>15</v>
      </c>
      <c r="B140" s="11" t="str">
        <f>"FES1162749274"</f>
        <v>FES1162749274</v>
      </c>
      <c r="C140" s="11" t="s">
        <v>16</v>
      </c>
      <c r="D140" s="11">
        <v>1</v>
      </c>
      <c r="E140" s="11" t="str">
        <f>"2170739330"</f>
        <v>2170739330</v>
      </c>
      <c r="F140" s="11" t="s">
        <v>17</v>
      </c>
      <c r="G140" s="11" t="s">
        <v>18</v>
      </c>
      <c r="H140" s="11" t="s">
        <v>48</v>
      </c>
      <c r="I140" s="11" t="s">
        <v>49</v>
      </c>
      <c r="J140" s="11" t="s">
        <v>258</v>
      </c>
      <c r="K140" s="11" t="s">
        <v>21</v>
      </c>
      <c r="L140" s="12">
        <v>0.39652777777777781</v>
      </c>
      <c r="M140" s="11" t="s">
        <v>259</v>
      </c>
      <c r="N140" s="13" t="s">
        <v>23</v>
      </c>
      <c r="O140" s="11" t="s">
        <v>24</v>
      </c>
    </row>
    <row r="141" spans="1:15" x14ac:dyDescent="0.25">
      <c r="A141" s="11" t="s">
        <v>15</v>
      </c>
      <c r="B141" s="11" t="str">
        <f>"FES1162749277"</f>
        <v>FES1162749277</v>
      </c>
      <c r="C141" s="11" t="s">
        <v>16</v>
      </c>
      <c r="D141" s="11">
        <v>1</v>
      </c>
      <c r="E141" s="11" t="str">
        <f>"2170739812"</f>
        <v>2170739812</v>
      </c>
      <c r="F141" s="11" t="s">
        <v>17</v>
      </c>
      <c r="G141" s="11" t="s">
        <v>18</v>
      </c>
      <c r="H141" s="11" t="s">
        <v>48</v>
      </c>
      <c r="I141" s="11" t="s">
        <v>108</v>
      </c>
      <c r="J141" s="11" t="s">
        <v>109</v>
      </c>
      <c r="K141" s="11" t="s">
        <v>21</v>
      </c>
      <c r="L141" s="12">
        <v>0.65625</v>
      </c>
      <c r="M141" s="11" t="s">
        <v>65</v>
      </c>
      <c r="N141" s="13" t="s">
        <v>23</v>
      </c>
      <c r="O141" s="11" t="s">
        <v>24</v>
      </c>
    </row>
    <row r="142" spans="1:15" x14ac:dyDescent="0.25">
      <c r="A142" s="11" t="s">
        <v>15</v>
      </c>
      <c r="B142" s="11" t="str">
        <f>"FES1162749271"</f>
        <v>FES1162749271</v>
      </c>
      <c r="C142" s="11" t="s">
        <v>16</v>
      </c>
      <c r="D142" s="11">
        <v>1</v>
      </c>
      <c r="E142" s="11" t="str">
        <f>"2170739803"</f>
        <v>2170739803</v>
      </c>
      <c r="F142" s="11" t="s">
        <v>17</v>
      </c>
      <c r="G142" s="11" t="s">
        <v>18</v>
      </c>
      <c r="H142" s="11" t="s">
        <v>48</v>
      </c>
      <c r="I142" s="11" t="s">
        <v>49</v>
      </c>
      <c r="J142" s="11" t="s">
        <v>100</v>
      </c>
      <c r="K142" s="11" t="s">
        <v>21</v>
      </c>
      <c r="L142" s="12">
        <v>0.38055555555555554</v>
      </c>
      <c r="M142" s="11" t="s">
        <v>101</v>
      </c>
      <c r="N142" s="13" t="s">
        <v>23</v>
      </c>
      <c r="O142" s="11" t="s">
        <v>24</v>
      </c>
    </row>
    <row r="143" spans="1:15" x14ac:dyDescent="0.25">
      <c r="A143" s="11" t="s">
        <v>15</v>
      </c>
      <c r="B143" s="11" t="str">
        <f>"FES1162749266"</f>
        <v>FES1162749266</v>
      </c>
      <c r="C143" s="11" t="s">
        <v>16</v>
      </c>
      <c r="D143" s="11">
        <v>1</v>
      </c>
      <c r="E143" s="11" t="str">
        <f>"2170737225"</f>
        <v>2170737225</v>
      </c>
      <c r="F143" s="11" t="s">
        <v>17</v>
      </c>
      <c r="G143" s="11" t="s">
        <v>18</v>
      </c>
      <c r="H143" s="11" t="s">
        <v>18</v>
      </c>
      <c r="I143" s="11" t="s">
        <v>219</v>
      </c>
      <c r="J143" s="11" t="s">
        <v>260</v>
      </c>
      <c r="K143" s="11" t="s">
        <v>21</v>
      </c>
      <c r="L143" s="12">
        <v>0.375</v>
      </c>
      <c r="M143" s="11" t="s">
        <v>261</v>
      </c>
      <c r="N143" s="13" t="s">
        <v>23</v>
      </c>
      <c r="O143" s="11" t="s">
        <v>24</v>
      </c>
    </row>
    <row r="144" spans="1:15" x14ac:dyDescent="0.25">
      <c r="A144" s="11" t="s">
        <v>15</v>
      </c>
      <c r="B144" s="11" t="str">
        <f>"FES1162749280"</f>
        <v>FES1162749280</v>
      </c>
      <c r="C144" s="11" t="s">
        <v>16</v>
      </c>
      <c r="D144" s="11">
        <v>1</v>
      </c>
      <c r="E144" s="11" t="str">
        <f>"2170737642"</f>
        <v>2170737642</v>
      </c>
      <c r="F144" s="11" t="s">
        <v>17</v>
      </c>
      <c r="G144" s="11" t="s">
        <v>18</v>
      </c>
      <c r="H144" s="11" t="s">
        <v>18</v>
      </c>
      <c r="I144" s="11" t="s">
        <v>45</v>
      </c>
      <c r="J144" s="11" t="s">
        <v>262</v>
      </c>
      <c r="K144" s="11" t="s">
        <v>21</v>
      </c>
      <c r="L144" s="12">
        <v>0.375</v>
      </c>
      <c r="M144" s="11" t="s">
        <v>646</v>
      </c>
      <c r="N144" s="13" t="s">
        <v>23</v>
      </c>
      <c r="O144" s="11" t="s">
        <v>24</v>
      </c>
    </row>
    <row r="145" spans="1:15" x14ac:dyDescent="0.25">
      <c r="A145" s="11" t="s">
        <v>15</v>
      </c>
      <c r="B145" s="11" t="str">
        <f>"FES1162749275"</f>
        <v>FES1162749275</v>
      </c>
      <c r="C145" s="11" t="s">
        <v>16</v>
      </c>
      <c r="D145" s="11">
        <v>1</v>
      </c>
      <c r="E145" s="11" t="str">
        <f>"2170738830"</f>
        <v>2170738830</v>
      </c>
      <c r="F145" s="11" t="s">
        <v>17</v>
      </c>
      <c r="G145" s="11" t="s">
        <v>18</v>
      </c>
      <c r="H145" s="11" t="s">
        <v>48</v>
      </c>
      <c r="I145" s="11" t="s">
        <v>49</v>
      </c>
      <c r="J145" s="11" t="s">
        <v>263</v>
      </c>
      <c r="K145" s="11" t="s">
        <v>21</v>
      </c>
      <c r="L145" s="12">
        <v>0.35555555555555557</v>
      </c>
      <c r="M145" s="11" t="s">
        <v>264</v>
      </c>
      <c r="N145" s="13" t="s">
        <v>23</v>
      </c>
      <c r="O145" s="11" t="s">
        <v>24</v>
      </c>
    </row>
    <row r="146" spans="1:15" x14ac:dyDescent="0.25">
      <c r="A146" s="11" t="s">
        <v>15</v>
      </c>
      <c r="B146" s="11" t="str">
        <f>"FES1162749282"</f>
        <v>FES1162749282</v>
      </c>
      <c r="C146" s="11" t="s">
        <v>16</v>
      </c>
      <c r="D146" s="11">
        <v>1</v>
      </c>
      <c r="E146" s="11" t="str">
        <f>"2170739644"</f>
        <v>2170739644</v>
      </c>
      <c r="F146" s="11" t="s">
        <v>17</v>
      </c>
      <c r="G146" s="11" t="s">
        <v>18</v>
      </c>
      <c r="H146" s="11" t="s">
        <v>52</v>
      </c>
      <c r="I146" s="11" t="s">
        <v>53</v>
      </c>
      <c r="J146" s="11" t="s">
        <v>56</v>
      </c>
      <c r="K146" s="11" t="s">
        <v>21</v>
      </c>
      <c r="L146" s="12">
        <v>0.43194444444444446</v>
      </c>
      <c r="M146" s="11" t="s">
        <v>57</v>
      </c>
      <c r="N146" s="13" t="s">
        <v>23</v>
      </c>
      <c r="O146" s="11" t="s">
        <v>24</v>
      </c>
    </row>
    <row r="147" spans="1:15" x14ac:dyDescent="0.25">
      <c r="A147" s="11" t="s">
        <v>15</v>
      </c>
      <c r="B147" s="11" t="str">
        <f>"FES1162749278"</f>
        <v>FES1162749278</v>
      </c>
      <c r="C147" s="11" t="s">
        <v>16</v>
      </c>
      <c r="D147" s="11">
        <v>1</v>
      </c>
      <c r="E147" s="11" t="str">
        <f>"2170739814"</f>
        <v>2170739814</v>
      </c>
      <c r="F147" s="11" t="s">
        <v>17</v>
      </c>
      <c r="G147" s="11" t="s">
        <v>18</v>
      </c>
      <c r="H147" s="11" t="s">
        <v>48</v>
      </c>
      <c r="I147" s="11" t="s">
        <v>108</v>
      </c>
      <c r="J147" s="11" t="s">
        <v>109</v>
      </c>
      <c r="K147" s="11" t="s">
        <v>21</v>
      </c>
      <c r="L147" s="12">
        <v>0.65694444444444444</v>
      </c>
      <c r="M147" s="11" t="s">
        <v>65</v>
      </c>
      <c r="N147" s="13" t="s">
        <v>23</v>
      </c>
      <c r="O147" s="11" t="s">
        <v>24</v>
      </c>
    </row>
    <row r="148" spans="1:15" x14ac:dyDescent="0.25">
      <c r="A148" s="11" t="s">
        <v>15</v>
      </c>
      <c r="B148" s="11" t="str">
        <f>"FES1162749273"</f>
        <v>FES1162749273</v>
      </c>
      <c r="C148" s="11" t="s">
        <v>16</v>
      </c>
      <c r="D148" s="11">
        <v>1</v>
      </c>
      <c r="E148" s="11" t="str">
        <f>"2170739807"</f>
        <v>2170739807</v>
      </c>
      <c r="F148" s="11" t="s">
        <v>17</v>
      </c>
      <c r="G148" s="11" t="s">
        <v>18</v>
      </c>
      <c r="H148" s="11" t="s">
        <v>18</v>
      </c>
      <c r="I148" s="11" t="s">
        <v>29</v>
      </c>
      <c r="J148" s="11" t="s">
        <v>265</v>
      </c>
      <c r="K148" s="11" t="s">
        <v>21</v>
      </c>
      <c r="L148" s="12">
        <v>0.34375</v>
      </c>
      <c r="M148" s="11" t="s">
        <v>128</v>
      </c>
      <c r="N148" s="13" t="s">
        <v>23</v>
      </c>
      <c r="O148" s="11" t="s">
        <v>24</v>
      </c>
    </row>
    <row r="149" spans="1:15" x14ac:dyDescent="0.25">
      <c r="A149" s="4" t="s">
        <v>15</v>
      </c>
      <c r="B149" s="4" t="str">
        <f>"FES1162749270"</f>
        <v>FES1162749270</v>
      </c>
      <c r="C149" s="4" t="s">
        <v>16</v>
      </c>
      <c r="D149" s="4">
        <v>1</v>
      </c>
      <c r="E149" s="4" t="str">
        <f>"2170739801"</f>
        <v>2170739801</v>
      </c>
      <c r="F149" s="4" t="s">
        <v>17</v>
      </c>
      <c r="G149" s="4" t="s">
        <v>18</v>
      </c>
      <c r="H149" s="4" t="s">
        <v>18</v>
      </c>
      <c r="I149" s="4" t="s">
        <v>97</v>
      </c>
      <c r="J149" s="4" t="s">
        <v>133</v>
      </c>
      <c r="K149" s="4" t="s">
        <v>21</v>
      </c>
      <c r="L149" s="5">
        <v>0.375</v>
      </c>
      <c r="M149" s="4" t="s">
        <v>134</v>
      </c>
      <c r="N149" s="6" t="s">
        <v>23</v>
      </c>
      <c r="O149" s="4" t="s">
        <v>24</v>
      </c>
    </row>
    <row r="150" spans="1:15" x14ac:dyDescent="0.25">
      <c r="A150" s="4" t="s">
        <v>15</v>
      </c>
      <c r="B150" s="4" t="str">
        <f>"FES1162749268"</f>
        <v>FES1162749268</v>
      </c>
      <c r="C150" s="4" t="s">
        <v>16</v>
      </c>
      <c r="D150" s="4">
        <v>1</v>
      </c>
      <c r="E150" s="4" t="str">
        <f>"2170739783"</f>
        <v>2170739783</v>
      </c>
      <c r="F150" s="4" t="s">
        <v>17</v>
      </c>
      <c r="G150" s="4" t="s">
        <v>18</v>
      </c>
      <c r="H150" s="4" t="s">
        <v>18</v>
      </c>
      <c r="I150" s="4" t="s">
        <v>97</v>
      </c>
      <c r="J150" s="4" t="s">
        <v>266</v>
      </c>
      <c r="K150" s="4" t="s">
        <v>21</v>
      </c>
      <c r="L150" s="5">
        <v>0.30416666666666664</v>
      </c>
      <c r="M150" s="4" t="s">
        <v>267</v>
      </c>
      <c r="N150" s="6" t="s">
        <v>23</v>
      </c>
      <c r="O150" s="4" t="s">
        <v>24</v>
      </c>
    </row>
    <row r="151" spans="1:15" x14ac:dyDescent="0.25">
      <c r="A151" s="4" t="s">
        <v>15</v>
      </c>
      <c r="B151" s="4" t="str">
        <f>"FES1162749288"</f>
        <v>FES1162749288</v>
      </c>
      <c r="C151" s="4" t="s">
        <v>16</v>
      </c>
      <c r="D151" s="4">
        <v>1</v>
      </c>
      <c r="E151" s="4" t="str">
        <f>"217073962"</f>
        <v>217073962</v>
      </c>
      <c r="F151" s="4" t="s">
        <v>17</v>
      </c>
      <c r="G151" s="4" t="s">
        <v>18</v>
      </c>
      <c r="H151" s="4" t="s">
        <v>48</v>
      </c>
      <c r="I151" s="4" t="s">
        <v>199</v>
      </c>
      <c r="J151" s="4" t="s">
        <v>200</v>
      </c>
      <c r="K151" s="4" t="s">
        <v>21</v>
      </c>
      <c r="L151" s="5">
        <v>0.41666666666666669</v>
      </c>
      <c r="M151" s="4" t="s">
        <v>201</v>
      </c>
      <c r="N151" s="6" t="s">
        <v>23</v>
      </c>
      <c r="O151" s="4" t="s">
        <v>24</v>
      </c>
    </row>
    <row r="152" spans="1:15" x14ac:dyDescent="0.25">
      <c r="A152" s="4" t="s">
        <v>15</v>
      </c>
      <c r="B152" s="4" t="str">
        <f>"FES1162749285"</f>
        <v>FES1162749285</v>
      </c>
      <c r="C152" s="4" t="s">
        <v>16</v>
      </c>
      <c r="D152" s="4">
        <v>1</v>
      </c>
      <c r="E152" s="4" t="str">
        <f>"2170739825"</f>
        <v>2170739825</v>
      </c>
      <c r="F152" s="4" t="s">
        <v>17</v>
      </c>
      <c r="G152" s="4" t="s">
        <v>18</v>
      </c>
      <c r="H152" s="4" t="s">
        <v>18</v>
      </c>
      <c r="I152" s="4" t="s">
        <v>97</v>
      </c>
      <c r="J152" s="4" t="s">
        <v>268</v>
      </c>
      <c r="K152" s="4" t="s">
        <v>21</v>
      </c>
      <c r="L152" s="5">
        <v>0.38541666666666669</v>
      </c>
      <c r="M152" s="4" t="s">
        <v>269</v>
      </c>
      <c r="N152" s="6" t="s">
        <v>23</v>
      </c>
      <c r="O152" s="4" t="s">
        <v>24</v>
      </c>
    </row>
    <row r="153" spans="1:15" ht="15.75" thickBot="1" x14ac:dyDescent="0.3">
      <c r="A153" s="7" t="s">
        <v>15</v>
      </c>
      <c r="B153" s="7" t="str">
        <f>"FES1162749281"</f>
        <v>FES1162749281</v>
      </c>
      <c r="C153" s="7" t="s">
        <v>16</v>
      </c>
      <c r="D153" s="7">
        <v>1</v>
      </c>
      <c r="E153" s="7" t="str">
        <f>"2170739623"</f>
        <v>2170739623</v>
      </c>
      <c r="F153" s="7" t="s">
        <v>17</v>
      </c>
      <c r="G153" s="7" t="s">
        <v>18</v>
      </c>
      <c r="H153" s="7" t="s">
        <v>18</v>
      </c>
      <c r="I153" s="7" t="s">
        <v>89</v>
      </c>
      <c r="J153" s="7" t="s">
        <v>90</v>
      </c>
      <c r="K153" s="7" t="s">
        <v>21</v>
      </c>
      <c r="L153" s="8">
        <v>0.375</v>
      </c>
      <c r="M153" s="7" t="s">
        <v>91</v>
      </c>
      <c r="N153" s="7" t="s">
        <v>23</v>
      </c>
      <c r="O153" s="7" t="s">
        <v>24</v>
      </c>
    </row>
    <row r="154" spans="1:15" x14ac:dyDescent="0.25">
      <c r="A154" s="1" t="s">
        <v>15</v>
      </c>
      <c r="B154" s="1" t="str">
        <f>"FES1162749310"</f>
        <v>FES1162749310</v>
      </c>
      <c r="C154" s="1" t="s">
        <v>21</v>
      </c>
      <c r="D154" s="1">
        <v>1</v>
      </c>
      <c r="E154" s="1" t="str">
        <f>"2170738935"</f>
        <v>2170738935</v>
      </c>
      <c r="F154" s="1" t="s">
        <v>17</v>
      </c>
      <c r="G154" s="1" t="s">
        <v>18</v>
      </c>
      <c r="H154" s="1" t="s">
        <v>18</v>
      </c>
      <c r="I154" s="1" t="s">
        <v>19</v>
      </c>
      <c r="J154" s="1" t="s">
        <v>270</v>
      </c>
      <c r="K154" s="1" t="s">
        <v>112</v>
      </c>
      <c r="L154" s="2">
        <v>0.41111111111111115</v>
      </c>
      <c r="M154" s="1" t="s">
        <v>22</v>
      </c>
      <c r="N154" s="3" t="s">
        <v>23</v>
      </c>
      <c r="O154" s="1" t="s">
        <v>24</v>
      </c>
    </row>
    <row r="155" spans="1:15" x14ac:dyDescent="0.25">
      <c r="A155" s="4" t="s">
        <v>15</v>
      </c>
      <c r="B155" s="4" t="str">
        <f>"FES1162749399"</f>
        <v>FES1162749399</v>
      </c>
      <c r="C155" s="4" t="s">
        <v>21</v>
      </c>
      <c r="D155" s="4">
        <v>1</v>
      </c>
      <c r="E155" s="4" t="str">
        <f>"2170739544"</f>
        <v>2170739544</v>
      </c>
      <c r="F155" s="4" t="s">
        <v>17</v>
      </c>
      <c r="G155" s="4" t="s">
        <v>18</v>
      </c>
      <c r="H155" s="4" t="s">
        <v>18</v>
      </c>
      <c r="I155" s="4" t="s">
        <v>29</v>
      </c>
      <c r="J155" s="4" t="s">
        <v>271</v>
      </c>
      <c r="K155" s="4" t="s">
        <v>112</v>
      </c>
      <c r="L155" s="5">
        <v>0.375</v>
      </c>
      <c r="M155" s="4" t="s">
        <v>65</v>
      </c>
      <c r="N155" s="6" t="s">
        <v>23</v>
      </c>
      <c r="O155" s="4" t="s">
        <v>24</v>
      </c>
    </row>
    <row r="156" spans="1:15" x14ac:dyDescent="0.25">
      <c r="A156" s="4" t="s">
        <v>15</v>
      </c>
      <c r="B156" s="4" t="str">
        <f>"FES1162749299"</f>
        <v>FES1162749299</v>
      </c>
      <c r="C156" s="4" t="s">
        <v>21</v>
      </c>
      <c r="D156" s="4">
        <v>1</v>
      </c>
      <c r="E156" s="4" t="str">
        <f>"2170738455"</f>
        <v>2170738455</v>
      </c>
      <c r="F156" s="4" t="s">
        <v>17</v>
      </c>
      <c r="G156" s="4" t="s">
        <v>18</v>
      </c>
      <c r="H156" s="4" t="s">
        <v>32</v>
      </c>
      <c r="I156" s="4" t="s">
        <v>33</v>
      </c>
      <c r="J156" s="4" t="s">
        <v>272</v>
      </c>
      <c r="K156" s="4" t="s">
        <v>112</v>
      </c>
      <c r="L156" s="5">
        <v>0.38541666666666669</v>
      </c>
      <c r="M156" s="4" t="s">
        <v>439</v>
      </c>
      <c r="N156" s="6" t="s">
        <v>23</v>
      </c>
      <c r="O156" s="4" t="s">
        <v>24</v>
      </c>
    </row>
    <row r="157" spans="1:15" x14ac:dyDescent="0.25">
      <c r="A157" s="4" t="s">
        <v>15</v>
      </c>
      <c r="B157" s="4" t="str">
        <f>"FES1162749378"</f>
        <v>FES1162749378</v>
      </c>
      <c r="C157" s="4" t="s">
        <v>21</v>
      </c>
      <c r="D157" s="4">
        <v>1</v>
      </c>
      <c r="E157" s="4" t="str">
        <f>"2170739740"</f>
        <v>2170739740</v>
      </c>
      <c r="F157" s="4" t="s">
        <v>17</v>
      </c>
      <c r="G157" s="4" t="s">
        <v>18</v>
      </c>
      <c r="H157" s="4" t="s">
        <v>32</v>
      </c>
      <c r="I157" s="4" t="s">
        <v>33</v>
      </c>
      <c r="J157" s="4" t="s">
        <v>273</v>
      </c>
      <c r="K157" s="4" t="s">
        <v>112</v>
      </c>
      <c r="L157" s="5">
        <v>0.41319444444444442</v>
      </c>
      <c r="M157" s="4" t="s">
        <v>440</v>
      </c>
      <c r="N157" s="6" t="s">
        <v>23</v>
      </c>
      <c r="O157" s="4" t="s">
        <v>24</v>
      </c>
    </row>
    <row r="158" spans="1:15" x14ac:dyDescent="0.25">
      <c r="A158" s="11" t="s">
        <v>15</v>
      </c>
      <c r="B158" s="11" t="str">
        <f>"FES1162749474"</f>
        <v>FES1162749474</v>
      </c>
      <c r="C158" s="11" t="s">
        <v>21</v>
      </c>
      <c r="D158" s="11">
        <v>1</v>
      </c>
      <c r="E158" s="11" t="str">
        <f>"2170739970"</f>
        <v>2170739970</v>
      </c>
      <c r="F158" s="11" t="s">
        <v>17</v>
      </c>
      <c r="G158" s="11" t="s">
        <v>18</v>
      </c>
      <c r="H158" s="11" t="s">
        <v>32</v>
      </c>
      <c r="I158" s="11" t="s">
        <v>33</v>
      </c>
      <c r="J158" s="11" t="s">
        <v>272</v>
      </c>
      <c r="K158" s="11" t="s">
        <v>112</v>
      </c>
      <c r="L158" s="12">
        <v>0.38541666666666669</v>
      </c>
      <c r="M158" s="11" t="s">
        <v>441</v>
      </c>
      <c r="N158" s="13" t="s">
        <v>23</v>
      </c>
      <c r="O158" s="11" t="s">
        <v>24</v>
      </c>
    </row>
    <row r="159" spans="1:15" x14ac:dyDescent="0.25">
      <c r="A159" s="11" t="s">
        <v>15</v>
      </c>
      <c r="B159" s="11" t="b">
        <f>N144="FES1162749290"</f>
        <v>0</v>
      </c>
      <c r="C159" s="11" t="s">
        <v>21</v>
      </c>
      <c r="D159" s="11">
        <v>1</v>
      </c>
      <c r="E159" s="11" t="str">
        <f>"2170737412"</f>
        <v>2170737412</v>
      </c>
      <c r="F159" s="11" t="s">
        <v>17</v>
      </c>
      <c r="G159" s="11" t="s">
        <v>18</v>
      </c>
      <c r="H159" s="11" t="s">
        <v>48</v>
      </c>
      <c r="I159" s="11" t="s">
        <v>110</v>
      </c>
      <c r="J159" s="11" t="s">
        <v>111</v>
      </c>
      <c r="K159" s="11" t="s">
        <v>112</v>
      </c>
      <c r="L159" s="12">
        <v>0.38541666666666669</v>
      </c>
      <c r="M159" s="11" t="s">
        <v>647</v>
      </c>
      <c r="N159" s="13" t="s">
        <v>23</v>
      </c>
      <c r="O159" s="11" t="s">
        <v>640</v>
      </c>
    </row>
    <row r="160" spans="1:15" x14ac:dyDescent="0.25">
      <c r="A160" s="11" t="s">
        <v>15</v>
      </c>
      <c r="B160" s="11" t="str">
        <f>"FES1162749338"</f>
        <v>FES1162749338</v>
      </c>
      <c r="C160" s="11" t="s">
        <v>21</v>
      </c>
      <c r="D160" s="11">
        <v>1</v>
      </c>
      <c r="E160" s="11" t="str">
        <f>"2170739525"</f>
        <v>2170739525</v>
      </c>
      <c r="F160" s="11" t="s">
        <v>17</v>
      </c>
      <c r="G160" s="11" t="s">
        <v>18</v>
      </c>
      <c r="H160" s="11" t="s">
        <v>48</v>
      </c>
      <c r="I160" s="11" t="s">
        <v>110</v>
      </c>
      <c r="J160" s="11" t="s">
        <v>111</v>
      </c>
      <c r="K160" s="11" t="s">
        <v>112</v>
      </c>
      <c r="L160" s="12">
        <v>0.38541666666666669</v>
      </c>
      <c r="M160" s="11" t="s">
        <v>647</v>
      </c>
      <c r="N160" s="13" t="s">
        <v>23</v>
      </c>
      <c r="O160" s="11" t="s">
        <v>640</v>
      </c>
    </row>
    <row r="161" spans="1:15" x14ac:dyDescent="0.25">
      <c r="A161" s="11" t="s">
        <v>15</v>
      </c>
      <c r="B161" s="11" t="str">
        <f>"FES1162749332"</f>
        <v>FES1162749332</v>
      </c>
      <c r="C161" s="11" t="s">
        <v>21</v>
      </c>
      <c r="D161" s="11">
        <v>1</v>
      </c>
      <c r="E161" s="11" t="str">
        <f>"2170739432"</f>
        <v>2170739432</v>
      </c>
      <c r="F161" s="11" t="s">
        <v>17</v>
      </c>
      <c r="G161" s="11" t="s">
        <v>18</v>
      </c>
      <c r="H161" s="11" t="s">
        <v>48</v>
      </c>
      <c r="I161" s="11" t="s">
        <v>110</v>
      </c>
      <c r="J161" s="11" t="s">
        <v>111</v>
      </c>
      <c r="K161" s="11" t="s">
        <v>112</v>
      </c>
      <c r="L161" s="12">
        <v>0.38541666666666669</v>
      </c>
      <c r="M161" s="11" t="s">
        <v>647</v>
      </c>
      <c r="N161" s="13" t="s">
        <v>23</v>
      </c>
      <c r="O161" s="11" t="s">
        <v>640</v>
      </c>
    </row>
    <row r="162" spans="1:15" x14ac:dyDescent="0.25">
      <c r="A162" s="11" t="s">
        <v>15</v>
      </c>
      <c r="B162" s="11" t="str">
        <f>"FES1162749296"</f>
        <v>FES1162749296</v>
      </c>
      <c r="C162" s="11" t="s">
        <v>21</v>
      </c>
      <c r="D162" s="11">
        <v>1</v>
      </c>
      <c r="E162" s="11" t="str">
        <f>"2170738179"</f>
        <v>2170738179</v>
      </c>
      <c r="F162" s="11" t="s">
        <v>17</v>
      </c>
      <c r="G162" s="11" t="s">
        <v>18</v>
      </c>
      <c r="H162" s="11" t="s">
        <v>48</v>
      </c>
      <c r="I162" s="11" t="s">
        <v>49</v>
      </c>
      <c r="J162" s="11" t="s">
        <v>158</v>
      </c>
      <c r="K162" s="11" t="s">
        <v>112</v>
      </c>
      <c r="L162" s="12">
        <v>0.33194444444444443</v>
      </c>
      <c r="M162" s="11" t="s">
        <v>274</v>
      </c>
      <c r="N162" s="13" t="s">
        <v>23</v>
      </c>
      <c r="O162" s="11" t="s">
        <v>24</v>
      </c>
    </row>
    <row r="163" spans="1:15" x14ac:dyDescent="0.25">
      <c r="A163" s="11" t="s">
        <v>15</v>
      </c>
      <c r="B163" s="11" t="str">
        <f>"FES1162749341"</f>
        <v>FES1162749341</v>
      </c>
      <c r="C163" s="11" t="s">
        <v>21</v>
      </c>
      <c r="D163" s="11">
        <v>1</v>
      </c>
      <c r="E163" s="11" t="str">
        <f>"2170739543"</f>
        <v>2170739543</v>
      </c>
      <c r="F163" s="11" t="s">
        <v>17</v>
      </c>
      <c r="G163" s="11" t="s">
        <v>18</v>
      </c>
      <c r="H163" s="11" t="s">
        <v>48</v>
      </c>
      <c r="I163" s="11" t="s">
        <v>49</v>
      </c>
      <c r="J163" s="11" t="s">
        <v>142</v>
      </c>
      <c r="K163" s="11" t="s">
        <v>112</v>
      </c>
      <c r="L163" s="12">
        <v>0.38194444444444442</v>
      </c>
      <c r="M163" s="11" t="s">
        <v>442</v>
      </c>
      <c r="N163" s="13" t="s">
        <v>23</v>
      </c>
      <c r="O163" s="11" t="s">
        <v>24</v>
      </c>
    </row>
    <row r="164" spans="1:15" x14ac:dyDescent="0.25">
      <c r="A164" s="11" t="s">
        <v>15</v>
      </c>
      <c r="B164" s="11" t="str">
        <f>"FES1162749369"</f>
        <v>FES1162749369</v>
      </c>
      <c r="C164" s="11" t="s">
        <v>21</v>
      </c>
      <c r="D164" s="11">
        <v>1</v>
      </c>
      <c r="E164" s="11" t="str">
        <f>"2170739581"</f>
        <v>2170739581</v>
      </c>
      <c r="F164" s="11" t="s">
        <v>17</v>
      </c>
      <c r="G164" s="11" t="s">
        <v>18</v>
      </c>
      <c r="H164" s="11" t="s">
        <v>48</v>
      </c>
      <c r="I164" s="11" t="s">
        <v>73</v>
      </c>
      <c r="J164" s="11" t="s">
        <v>160</v>
      </c>
      <c r="K164" s="11" t="s">
        <v>112</v>
      </c>
      <c r="L164" s="12">
        <v>0.50763888888888886</v>
      </c>
      <c r="M164" s="11" t="s">
        <v>161</v>
      </c>
      <c r="N164" s="13" t="s">
        <v>23</v>
      </c>
      <c r="O164" s="11" t="s">
        <v>24</v>
      </c>
    </row>
    <row r="165" spans="1:15" x14ac:dyDescent="0.25">
      <c r="A165" s="11" t="s">
        <v>15</v>
      </c>
      <c r="B165" s="11" t="str">
        <f>"FES1162749305"</f>
        <v>FES1162749305</v>
      </c>
      <c r="C165" s="11" t="s">
        <v>21</v>
      </c>
      <c r="D165" s="11">
        <v>1</v>
      </c>
      <c r="E165" s="11" t="str">
        <f>"2170738694"</f>
        <v>2170738694</v>
      </c>
      <c r="F165" s="11" t="s">
        <v>17</v>
      </c>
      <c r="G165" s="11" t="s">
        <v>18</v>
      </c>
      <c r="H165" s="11" t="s">
        <v>48</v>
      </c>
      <c r="I165" s="11" t="s">
        <v>49</v>
      </c>
      <c r="J165" s="11" t="s">
        <v>275</v>
      </c>
      <c r="K165" s="11" t="s">
        <v>112</v>
      </c>
      <c r="L165" s="12">
        <v>0.43402777777777773</v>
      </c>
      <c r="M165" s="11" t="s">
        <v>191</v>
      </c>
      <c r="N165" s="13" t="s">
        <v>23</v>
      </c>
      <c r="O165" s="11" t="s">
        <v>24</v>
      </c>
    </row>
    <row r="166" spans="1:15" x14ac:dyDescent="0.25">
      <c r="A166" s="11" t="s">
        <v>15</v>
      </c>
      <c r="B166" s="11" t="str">
        <f>"FES1162749387"</f>
        <v>FES1162749387</v>
      </c>
      <c r="C166" s="11" t="s">
        <v>21</v>
      </c>
      <c r="D166" s="11">
        <v>1</v>
      </c>
      <c r="E166" s="11" t="str">
        <f>"2170739876"</f>
        <v>2170739876</v>
      </c>
      <c r="F166" s="11" t="s">
        <v>17</v>
      </c>
      <c r="G166" s="11" t="s">
        <v>18</v>
      </c>
      <c r="H166" s="11" t="s">
        <v>48</v>
      </c>
      <c r="I166" s="11" t="s">
        <v>110</v>
      </c>
      <c r="J166" s="11" t="s">
        <v>276</v>
      </c>
      <c r="K166" s="11" t="s">
        <v>112</v>
      </c>
      <c r="L166" s="12">
        <v>0.43402777777777773</v>
      </c>
      <c r="M166" s="11" t="s">
        <v>648</v>
      </c>
      <c r="N166" s="13" t="s">
        <v>23</v>
      </c>
      <c r="O166" s="11" t="s">
        <v>640</v>
      </c>
    </row>
    <row r="167" spans="1:15" x14ac:dyDescent="0.25">
      <c r="A167" s="11" t="s">
        <v>15</v>
      </c>
      <c r="B167" s="11" t="str">
        <f>"FES1162749355"</f>
        <v>FES1162749355</v>
      </c>
      <c r="C167" s="11" t="s">
        <v>21</v>
      </c>
      <c r="D167" s="11">
        <v>1</v>
      </c>
      <c r="E167" s="11" t="str">
        <f>"2170739820"</f>
        <v>2170739820</v>
      </c>
      <c r="F167" s="11" t="s">
        <v>17</v>
      </c>
      <c r="G167" s="11" t="s">
        <v>18</v>
      </c>
      <c r="H167" s="11" t="s">
        <v>48</v>
      </c>
      <c r="I167" s="11" t="s">
        <v>49</v>
      </c>
      <c r="J167" s="11" t="s">
        <v>277</v>
      </c>
      <c r="K167" s="11" t="s">
        <v>112</v>
      </c>
      <c r="L167" s="12">
        <v>0.41666666666666669</v>
      </c>
      <c r="M167" s="11" t="s">
        <v>443</v>
      </c>
      <c r="N167" s="13" t="s">
        <v>23</v>
      </c>
      <c r="O167" s="11" t="s">
        <v>24</v>
      </c>
    </row>
    <row r="168" spans="1:15" x14ac:dyDescent="0.25">
      <c r="A168" s="11" t="s">
        <v>15</v>
      </c>
      <c r="B168" s="11" t="str">
        <f>"FES1162749291"</f>
        <v>FES1162749291</v>
      </c>
      <c r="C168" s="11" t="s">
        <v>21</v>
      </c>
      <c r="D168" s="11">
        <v>1</v>
      </c>
      <c r="E168" s="11" t="str">
        <f>"2170737910"</f>
        <v>2170737910</v>
      </c>
      <c r="F168" s="11" t="s">
        <v>17</v>
      </c>
      <c r="G168" s="11" t="s">
        <v>18</v>
      </c>
      <c r="H168" s="11" t="s">
        <v>48</v>
      </c>
      <c r="I168" s="11" t="s">
        <v>110</v>
      </c>
      <c r="J168" s="11" t="s">
        <v>111</v>
      </c>
      <c r="K168" s="11" t="s">
        <v>112</v>
      </c>
      <c r="L168" s="12">
        <v>0.41666666666666669</v>
      </c>
      <c r="M168" s="11" t="s">
        <v>647</v>
      </c>
      <c r="N168" s="13" t="s">
        <v>23</v>
      </c>
      <c r="O168" s="11" t="s">
        <v>640</v>
      </c>
    </row>
    <row r="169" spans="1:15" x14ac:dyDescent="0.25">
      <c r="A169" s="11" t="s">
        <v>15</v>
      </c>
      <c r="B169" s="11" t="str">
        <f>"FES1162749335"</f>
        <v>FES1162749335</v>
      </c>
      <c r="C169" s="11" t="s">
        <v>21</v>
      </c>
      <c r="D169" s="11">
        <v>1</v>
      </c>
      <c r="E169" s="11" t="str">
        <f>"2170739497"</f>
        <v>2170739497</v>
      </c>
      <c r="F169" s="11" t="s">
        <v>17</v>
      </c>
      <c r="G169" s="11" t="s">
        <v>18</v>
      </c>
      <c r="H169" s="11" t="s">
        <v>48</v>
      </c>
      <c r="I169" s="11" t="s">
        <v>49</v>
      </c>
      <c r="J169" s="11" t="s">
        <v>275</v>
      </c>
      <c r="K169" s="11" t="s">
        <v>112</v>
      </c>
      <c r="L169" s="12">
        <v>0.43402777777777773</v>
      </c>
      <c r="M169" s="11" t="s">
        <v>191</v>
      </c>
      <c r="N169" s="13" t="s">
        <v>23</v>
      </c>
      <c r="O169" s="11" t="s">
        <v>24</v>
      </c>
    </row>
    <row r="170" spans="1:15" x14ac:dyDescent="0.25">
      <c r="A170" s="11" t="s">
        <v>15</v>
      </c>
      <c r="B170" s="11" t="str">
        <f>"FES1162749389"</f>
        <v>FES1162749389</v>
      </c>
      <c r="C170" s="11" t="s">
        <v>21</v>
      </c>
      <c r="D170" s="11">
        <v>1</v>
      </c>
      <c r="E170" s="11" t="str">
        <f>"2170738596"</f>
        <v>2170738596</v>
      </c>
      <c r="F170" s="11" t="s">
        <v>17</v>
      </c>
      <c r="G170" s="11" t="s">
        <v>18</v>
      </c>
      <c r="H170" s="11" t="s">
        <v>25</v>
      </c>
      <c r="I170" s="11" t="s">
        <v>26</v>
      </c>
      <c r="J170" s="11" t="s">
        <v>278</v>
      </c>
      <c r="K170" s="11" t="s">
        <v>112</v>
      </c>
      <c r="L170" s="12">
        <v>0.43055555555555558</v>
      </c>
      <c r="M170" s="11" t="s">
        <v>256</v>
      </c>
      <c r="N170" s="13" t="s">
        <v>23</v>
      </c>
      <c r="O170" s="11" t="s">
        <v>24</v>
      </c>
    </row>
    <row r="171" spans="1:15" x14ac:dyDescent="0.25">
      <c r="A171" s="4" t="s">
        <v>15</v>
      </c>
      <c r="B171" s="4" t="str">
        <f>"FES1162749346"</f>
        <v>FES1162749346</v>
      </c>
      <c r="C171" s="4" t="s">
        <v>21</v>
      </c>
      <c r="D171" s="4">
        <v>2</v>
      </c>
      <c r="E171" s="4" t="str">
        <f>"2170739648"</f>
        <v>2170739648</v>
      </c>
      <c r="F171" s="4" t="s">
        <v>17</v>
      </c>
      <c r="G171" s="4" t="s">
        <v>18</v>
      </c>
      <c r="H171" s="4" t="s">
        <v>25</v>
      </c>
      <c r="I171" s="4" t="s">
        <v>26</v>
      </c>
      <c r="J171" s="4" t="s">
        <v>279</v>
      </c>
      <c r="K171" s="4" t="s">
        <v>112</v>
      </c>
      <c r="L171" s="5">
        <v>0.3611111111111111</v>
      </c>
      <c r="M171" s="4" t="s">
        <v>444</v>
      </c>
      <c r="N171" s="6" t="s">
        <v>23</v>
      </c>
      <c r="O171" s="4" t="s">
        <v>24</v>
      </c>
    </row>
    <row r="172" spans="1:15" x14ac:dyDescent="0.25">
      <c r="A172" s="4" t="s">
        <v>15</v>
      </c>
      <c r="B172" s="4" t="str">
        <f>"FES1162749325"</f>
        <v>FES1162749325</v>
      </c>
      <c r="C172" s="4" t="s">
        <v>21</v>
      </c>
      <c r="D172" s="4">
        <v>1</v>
      </c>
      <c r="E172" s="4" t="str">
        <f>"2170739284"</f>
        <v>2170739284</v>
      </c>
      <c r="F172" s="4" t="s">
        <v>17</v>
      </c>
      <c r="G172" s="4" t="s">
        <v>18</v>
      </c>
      <c r="H172" s="4" t="s">
        <v>52</v>
      </c>
      <c r="I172" s="4" t="s">
        <v>53</v>
      </c>
      <c r="J172" s="4" t="s">
        <v>280</v>
      </c>
      <c r="K172" s="4" t="s">
        <v>112</v>
      </c>
      <c r="L172" s="5">
        <v>0.41944444444444445</v>
      </c>
      <c r="M172" s="4" t="s">
        <v>445</v>
      </c>
      <c r="N172" s="6" t="s">
        <v>23</v>
      </c>
      <c r="O172" s="4" t="s">
        <v>24</v>
      </c>
    </row>
    <row r="173" spans="1:15" x14ac:dyDescent="0.25">
      <c r="A173" s="4" t="s">
        <v>15</v>
      </c>
      <c r="B173" s="4" t="str">
        <f>"FES1162749352"</f>
        <v>FES1162749352</v>
      </c>
      <c r="C173" s="4" t="s">
        <v>21</v>
      </c>
      <c r="D173" s="4">
        <v>1</v>
      </c>
      <c r="E173" s="4" t="str">
        <f>"2170737939"</f>
        <v>2170737939</v>
      </c>
      <c r="F173" s="4" t="s">
        <v>17</v>
      </c>
      <c r="G173" s="4" t="s">
        <v>18</v>
      </c>
      <c r="H173" s="4" t="s">
        <v>25</v>
      </c>
      <c r="I173" s="4" t="s">
        <v>281</v>
      </c>
      <c r="J173" s="4" t="s">
        <v>282</v>
      </c>
      <c r="K173" s="4" t="s">
        <v>112</v>
      </c>
      <c r="L173" s="5">
        <v>0.44444444444444442</v>
      </c>
      <c r="M173" s="4" t="s">
        <v>446</v>
      </c>
      <c r="N173" s="6" t="s">
        <v>23</v>
      </c>
      <c r="O173" s="4" t="s">
        <v>24</v>
      </c>
    </row>
    <row r="174" spans="1:15" x14ac:dyDescent="0.25">
      <c r="A174" s="4" t="s">
        <v>15</v>
      </c>
      <c r="B174" s="4" t="str">
        <f>"FES1162749340"</f>
        <v>FES1162749340</v>
      </c>
      <c r="C174" s="4" t="s">
        <v>21</v>
      </c>
      <c r="D174" s="4">
        <v>1</v>
      </c>
      <c r="E174" s="4" t="str">
        <f>"2170739536"</f>
        <v>2170739536</v>
      </c>
      <c r="F174" s="4" t="s">
        <v>17</v>
      </c>
      <c r="G174" s="4" t="s">
        <v>18</v>
      </c>
      <c r="H174" s="4" t="s">
        <v>25</v>
      </c>
      <c r="I174" s="4" t="s">
        <v>26</v>
      </c>
      <c r="J174" s="4" t="s">
        <v>283</v>
      </c>
      <c r="K174" s="4" t="s">
        <v>112</v>
      </c>
      <c r="L174" s="5">
        <v>0.46597222222222223</v>
      </c>
      <c r="M174" s="4" t="s">
        <v>447</v>
      </c>
      <c r="N174" s="6" t="s">
        <v>23</v>
      </c>
      <c r="O174" s="4" t="s">
        <v>24</v>
      </c>
    </row>
    <row r="175" spans="1:15" x14ac:dyDescent="0.25">
      <c r="A175" s="4" t="s">
        <v>15</v>
      </c>
      <c r="B175" s="4" t="str">
        <f>"FES1162749336"</f>
        <v>FES1162749336</v>
      </c>
      <c r="C175" s="4" t="s">
        <v>21</v>
      </c>
      <c r="D175" s="4">
        <v>1</v>
      </c>
      <c r="E175" s="4" t="str">
        <f>"2170739519"</f>
        <v>2170739519</v>
      </c>
      <c r="F175" s="4" t="s">
        <v>17</v>
      </c>
      <c r="G175" s="4" t="s">
        <v>18</v>
      </c>
      <c r="H175" s="4" t="s">
        <v>52</v>
      </c>
      <c r="I175" s="4" t="s">
        <v>53</v>
      </c>
      <c r="J175" s="4" t="s">
        <v>284</v>
      </c>
      <c r="K175" s="4" t="s">
        <v>112</v>
      </c>
      <c r="L175" s="5">
        <v>0.4236111111111111</v>
      </c>
      <c r="M175" s="4" t="s">
        <v>448</v>
      </c>
      <c r="N175" s="6" t="s">
        <v>23</v>
      </c>
      <c r="O175" s="4" t="s">
        <v>24</v>
      </c>
    </row>
    <row r="176" spans="1:15" x14ac:dyDescent="0.25">
      <c r="A176" s="4" t="s">
        <v>15</v>
      </c>
      <c r="B176" s="4" t="str">
        <f>"FES1162749349"</f>
        <v>FES1162749349</v>
      </c>
      <c r="C176" s="4" t="s">
        <v>21</v>
      </c>
      <c r="D176" s="4">
        <v>1</v>
      </c>
      <c r="E176" s="4" t="str">
        <f>"2170739719"</f>
        <v>2170739719</v>
      </c>
      <c r="F176" s="4" t="s">
        <v>17</v>
      </c>
      <c r="G176" s="4" t="s">
        <v>18</v>
      </c>
      <c r="H176" s="4" t="s">
        <v>25</v>
      </c>
      <c r="I176" s="4" t="s">
        <v>26</v>
      </c>
      <c r="J176" s="4" t="s">
        <v>285</v>
      </c>
      <c r="K176" s="4" t="s">
        <v>112</v>
      </c>
      <c r="L176" s="5">
        <v>0.4201388888888889</v>
      </c>
      <c r="M176" s="4" t="s">
        <v>449</v>
      </c>
      <c r="N176" s="6" t="s">
        <v>23</v>
      </c>
      <c r="O176" s="4" t="s">
        <v>24</v>
      </c>
    </row>
    <row r="177" spans="1:15" x14ac:dyDescent="0.25">
      <c r="A177" s="4" t="s">
        <v>15</v>
      </c>
      <c r="B177" s="4" t="str">
        <f>"FES1162749333"</f>
        <v>FES1162749333</v>
      </c>
      <c r="C177" s="4" t="s">
        <v>21</v>
      </c>
      <c r="D177" s="4">
        <v>1</v>
      </c>
      <c r="E177" s="4" t="str">
        <f>"2170739450"</f>
        <v>2170739450</v>
      </c>
      <c r="F177" s="4" t="s">
        <v>17</v>
      </c>
      <c r="G177" s="4" t="s">
        <v>18</v>
      </c>
      <c r="H177" s="4" t="s">
        <v>52</v>
      </c>
      <c r="I177" s="4" t="s">
        <v>53</v>
      </c>
      <c r="J177" s="4" t="s">
        <v>280</v>
      </c>
      <c r="K177" s="4" t="s">
        <v>112</v>
      </c>
      <c r="L177" s="5">
        <v>0.41944444444444445</v>
      </c>
      <c r="M177" s="4" t="s">
        <v>445</v>
      </c>
      <c r="N177" s="6" t="s">
        <v>23</v>
      </c>
      <c r="O177" s="4" t="s">
        <v>24</v>
      </c>
    </row>
    <row r="178" spans="1:15" x14ac:dyDescent="0.25">
      <c r="A178" s="4" t="s">
        <v>15</v>
      </c>
      <c r="B178" s="4" t="str">
        <f>"FES1162749347"</f>
        <v>FES1162749347</v>
      </c>
      <c r="C178" s="4" t="s">
        <v>21</v>
      </c>
      <c r="D178" s="4">
        <v>1</v>
      </c>
      <c r="E178" s="4" t="str">
        <f>"2170739664"</f>
        <v>2170739664</v>
      </c>
      <c r="F178" s="4" t="s">
        <v>17</v>
      </c>
      <c r="G178" s="4" t="s">
        <v>18</v>
      </c>
      <c r="H178" s="4" t="s">
        <v>25</v>
      </c>
      <c r="I178" s="4" t="s">
        <v>26</v>
      </c>
      <c r="J178" s="4" t="s">
        <v>279</v>
      </c>
      <c r="K178" s="4" t="s">
        <v>112</v>
      </c>
      <c r="L178" s="5">
        <v>0.40277777777777773</v>
      </c>
      <c r="M178" s="4" t="s">
        <v>444</v>
      </c>
      <c r="N178" s="6" t="s">
        <v>23</v>
      </c>
      <c r="O178" s="4" t="s">
        <v>24</v>
      </c>
    </row>
    <row r="179" spans="1:15" x14ac:dyDescent="0.25">
      <c r="A179" s="4" t="s">
        <v>15</v>
      </c>
      <c r="B179" s="4" t="str">
        <f>"FES1162749308"</f>
        <v>FES1162749308</v>
      </c>
      <c r="C179" s="4" t="s">
        <v>21</v>
      </c>
      <c r="D179" s="4">
        <v>1</v>
      </c>
      <c r="E179" s="4" t="str">
        <f>"2170738873"</f>
        <v>2170738873</v>
      </c>
      <c r="F179" s="4" t="s">
        <v>17</v>
      </c>
      <c r="G179" s="4" t="s">
        <v>18</v>
      </c>
      <c r="H179" s="4" t="s">
        <v>25</v>
      </c>
      <c r="I179" s="4" t="s">
        <v>26</v>
      </c>
      <c r="J179" s="4" t="s">
        <v>286</v>
      </c>
      <c r="K179" s="4" t="s">
        <v>112</v>
      </c>
      <c r="L179" s="5">
        <v>0.41319444444444442</v>
      </c>
      <c r="M179" s="4" t="s">
        <v>450</v>
      </c>
      <c r="N179" s="6" t="s">
        <v>23</v>
      </c>
      <c r="O179" s="4" t="s">
        <v>24</v>
      </c>
    </row>
    <row r="180" spans="1:15" x14ac:dyDescent="0.25">
      <c r="A180" s="4" t="s">
        <v>15</v>
      </c>
      <c r="B180" s="4" t="str">
        <f>"FES1162749289"</f>
        <v>FES1162749289</v>
      </c>
      <c r="C180" s="4" t="s">
        <v>21</v>
      </c>
      <c r="D180" s="4">
        <v>1</v>
      </c>
      <c r="E180" s="4" t="str">
        <f>"2170734982"</f>
        <v>2170734982</v>
      </c>
      <c r="F180" s="4" t="s">
        <v>17</v>
      </c>
      <c r="G180" s="4" t="s">
        <v>18</v>
      </c>
      <c r="H180" s="4" t="s">
        <v>25</v>
      </c>
      <c r="I180" s="4" t="s">
        <v>26</v>
      </c>
      <c r="J180" s="4" t="s">
        <v>279</v>
      </c>
      <c r="K180" s="4" t="s">
        <v>112</v>
      </c>
      <c r="L180" s="5">
        <v>0.40277777777777773</v>
      </c>
      <c r="M180" s="4" t="s">
        <v>444</v>
      </c>
      <c r="N180" s="6" t="s">
        <v>23</v>
      </c>
      <c r="O180" s="4" t="s">
        <v>24</v>
      </c>
    </row>
    <row r="181" spans="1:15" x14ac:dyDescent="0.25">
      <c r="A181" s="4" t="s">
        <v>15</v>
      </c>
      <c r="B181" s="4" t="str">
        <f>"FES1162749348"</f>
        <v>FES1162749348</v>
      </c>
      <c r="C181" s="4" t="s">
        <v>21</v>
      </c>
      <c r="D181" s="4">
        <v>1</v>
      </c>
      <c r="E181" s="4" t="str">
        <f>"21707379706"</f>
        <v>21707379706</v>
      </c>
      <c r="F181" s="4" t="s">
        <v>17</v>
      </c>
      <c r="G181" s="4" t="s">
        <v>18</v>
      </c>
      <c r="H181" s="4" t="s">
        <v>25</v>
      </c>
      <c r="I181" s="4" t="s">
        <v>26</v>
      </c>
      <c r="J181" s="4" t="s">
        <v>287</v>
      </c>
      <c r="K181" s="4" t="s">
        <v>112</v>
      </c>
      <c r="L181" s="5">
        <v>0.37361111111111112</v>
      </c>
      <c r="M181" s="4" t="s">
        <v>451</v>
      </c>
      <c r="N181" s="6" t="s">
        <v>23</v>
      </c>
      <c r="O181" s="4" t="s">
        <v>24</v>
      </c>
    </row>
    <row r="182" spans="1:15" x14ac:dyDescent="0.25">
      <c r="A182" s="4" t="s">
        <v>15</v>
      </c>
      <c r="B182" s="4" t="str">
        <f>"FES1162749362"</f>
        <v>FES1162749362</v>
      </c>
      <c r="C182" s="4" t="s">
        <v>21</v>
      </c>
      <c r="D182" s="4">
        <v>1</v>
      </c>
      <c r="E182" s="4" t="str">
        <f>"2170739833"</f>
        <v>2170739833</v>
      </c>
      <c r="F182" s="4" t="s">
        <v>17</v>
      </c>
      <c r="G182" s="4" t="s">
        <v>18</v>
      </c>
      <c r="H182" s="4" t="s">
        <v>25</v>
      </c>
      <c r="I182" s="4" t="s">
        <v>92</v>
      </c>
      <c r="J182" s="4" t="s">
        <v>288</v>
      </c>
      <c r="K182" s="4" t="s">
        <v>112</v>
      </c>
      <c r="L182" s="5">
        <v>0.34722222222222227</v>
      </c>
      <c r="M182" s="4" t="s">
        <v>452</v>
      </c>
      <c r="N182" s="6" t="s">
        <v>23</v>
      </c>
      <c r="O182" s="4" t="s">
        <v>24</v>
      </c>
    </row>
    <row r="183" spans="1:15" x14ac:dyDescent="0.25">
      <c r="A183" s="4" t="s">
        <v>15</v>
      </c>
      <c r="B183" s="4" t="str">
        <f>"FES1162749386"</f>
        <v>FES1162749386</v>
      </c>
      <c r="C183" s="4" t="s">
        <v>21</v>
      </c>
      <c r="D183" s="4">
        <v>1</v>
      </c>
      <c r="E183" s="4" t="str">
        <f>"2170739874"</f>
        <v>2170739874</v>
      </c>
      <c r="F183" s="4" t="s">
        <v>17</v>
      </c>
      <c r="G183" s="4" t="s">
        <v>18</v>
      </c>
      <c r="H183" s="4" t="s">
        <v>52</v>
      </c>
      <c r="I183" s="4" t="s">
        <v>53</v>
      </c>
      <c r="J183" s="4" t="s">
        <v>171</v>
      </c>
      <c r="K183" s="4" t="s">
        <v>112</v>
      </c>
      <c r="L183" s="5">
        <v>0.43055555555555558</v>
      </c>
      <c r="M183" s="4" t="s">
        <v>453</v>
      </c>
      <c r="N183" s="6" t="s">
        <v>23</v>
      </c>
      <c r="O183" s="4" t="s">
        <v>24</v>
      </c>
    </row>
    <row r="184" spans="1:15" x14ac:dyDescent="0.25">
      <c r="A184" s="4" t="s">
        <v>15</v>
      </c>
      <c r="B184" s="4" t="str">
        <f>"FES1162749351"</f>
        <v>FES1162749351</v>
      </c>
      <c r="C184" s="4" t="s">
        <v>21</v>
      </c>
      <c r="D184" s="4">
        <v>1</v>
      </c>
      <c r="E184" s="4" t="str">
        <f>"2170739738"</f>
        <v>2170739738</v>
      </c>
      <c r="F184" s="4" t="s">
        <v>17</v>
      </c>
      <c r="G184" s="4" t="s">
        <v>18</v>
      </c>
      <c r="H184" s="4" t="s">
        <v>25</v>
      </c>
      <c r="I184" s="4" t="s">
        <v>26</v>
      </c>
      <c r="J184" s="4" t="s">
        <v>287</v>
      </c>
      <c r="K184" s="4" t="s">
        <v>112</v>
      </c>
      <c r="L184" s="5">
        <v>0.37361111111111112</v>
      </c>
      <c r="M184" s="4" t="s">
        <v>451</v>
      </c>
      <c r="N184" s="6" t="s">
        <v>23</v>
      </c>
      <c r="O184" s="4" t="s">
        <v>24</v>
      </c>
    </row>
    <row r="185" spans="1:15" x14ac:dyDescent="0.25">
      <c r="A185" s="4" t="s">
        <v>15</v>
      </c>
      <c r="B185" s="4" t="str">
        <f>"FES1162749350"</f>
        <v>FES1162749350</v>
      </c>
      <c r="C185" s="4" t="s">
        <v>21</v>
      </c>
      <c r="D185" s="4">
        <v>1</v>
      </c>
      <c r="E185" s="4" t="str">
        <f>"2170737928"</f>
        <v>2170737928</v>
      </c>
      <c r="F185" s="4" t="s">
        <v>17</v>
      </c>
      <c r="G185" s="4" t="s">
        <v>18</v>
      </c>
      <c r="H185" s="4" t="s">
        <v>25</v>
      </c>
      <c r="I185" s="4" t="s">
        <v>26</v>
      </c>
      <c r="J185" s="4" t="s">
        <v>279</v>
      </c>
      <c r="K185" s="4" t="s">
        <v>112</v>
      </c>
      <c r="L185" s="5">
        <v>0.3611111111111111</v>
      </c>
      <c r="M185" s="4" t="s">
        <v>444</v>
      </c>
      <c r="N185" s="6" t="s">
        <v>23</v>
      </c>
      <c r="O185" s="4" t="s">
        <v>24</v>
      </c>
    </row>
    <row r="186" spans="1:15" x14ac:dyDescent="0.25">
      <c r="A186" s="4" t="s">
        <v>15</v>
      </c>
      <c r="B186" s="4" t="str">
        <f>"FES1162749388"</f>
        <v>FES1162749388</v>
      </c>
      <c r="C186" s="4" t="s">
        <v>21</v>
      </c>
      <c r="D186" s="4">
        <v>1</v>
      </c>
      <c r="E186" s="4" t="str">
        <f>"2170739879"</f>
        <v>2170739879</v>
      </c>
      <c r="F186" s="4" t="s">
        <v>17</v>
      </c>
      <c r="G186" s="4" t="s">
        <v>18</v>
      </c>
      <c r="H186" s="4" t="s">
        <v>25</v>
      </c>
      <c r="I186" s="4" t="s">
        <v>92</v>
      </c>
      <c r="J186" s="4" t="s">
        <v>93</v>
      </c>
      <c r="K186" s="4" t="s">
        <v>112</v>
      </c>
      <c r="L186" s="5">
        <v>0.34375</v>
      </c>
      <c r="M186" s="4" t="s">
        <v>289</v>
      </c>
      <c r="N186" s="6" t="s">
        <v>23</v>
      </c>
      <c r="O186" s="4" t="s">
        <v>24</v>
      </c>
    </row>
    <row r="187" spans="1:15" x14ac:dyDescent="0.25">
      <c r="A187" s="4" t="s">
        <v>15</v>
      </c>
      <c r="B187" s="4" t="str">
        <f>"FES1162749396"</f>
        <v>FES1162749396</v>
      </c>
      <c r="C187" s="4" t="s">
        <v>21</v>
      </c>
      <c r="D187" s="4">
        <v>1</v>
      </c>
      <c r="E187" s="4" t="str">
        <f>"2170739889"</f>
        <v>2170739889</v>
      </c>
      <c r="F187" s="4" t="s">
        <v>17</v>
      </c>
      <c r="G187" s="4" t="s">
        <v>18</v>
      </c>
      <c r="H187" s="4" t="s">
        <v>25</v>
      </c>
      <c r="I187" s="4" t="s">
        <v>26</v>
      </c>
      <c r="J187" s="4" t="s">
        <v>156</v>
      </c>
      <c r="K187" s="4" t="s">
        <v>112</v>
      </c>
      <c r="L187" s="5">
        <v>0.36805555555555558</v>
      </c>
      <c r="M187" s="4" t="s">
        <v>157</v>
      </c>
      <c r="N187" s="6" t="s">
        <v>23</v>
      </c>
      <c r="O187" s="4" t="s">
        <v>24</v>
      </c>
    </row>
    <row r="188" spans="1:15" x14ac:dyDescent="0.25">
      <c r="A188" s="4" t="s">
        <v>15</v>
      </c>
      <c r="B188" s="4" t="str">
        <f>"FES1162749334"</f>
        <v>FES1162749334</v>
      </c>
      <c r="C188" s="4" t="s">
        <v>21</v>
      </c>
      <c r="D188" s="4">
        <v>1</v>
      </c>
      <c r="E188" s="4" t="str">
        <f>"2170739467"</f>
        <v>2170739467</v>
      </c>
      <c r="F188" s="4" t="s">
        <v>17</v>
      </c>
      <c r="G188" s="4" t="s">
        <v>18</v>
      </c>
      <c r="H188" s="4" t="s">
        <v>25</v>
      </c>
      <c r="I188" s="4" t="s">
        <v>26</v>
      </c>
      <c r="J188" s="4" t="s">
        <v>286</v>
      </c>
      <c r="K188" s="4" t="s">
        <v>112</v>
      </c>
      <c r="L188" s="5">
        <v>0.41319444444444442</v>
      </c>
      <c r="M188" s="4" t="s">
        <v>450</v>
      </c>
      <c r="N188" s="6" t="s">
        <v>23</v>
      </c>
      <c r="O188" s="4" t="s">
        <v>24</v>
      </c>
    </row>
    <row r="189" spans="1:15" x14ac:dyDescent="0.25">
      <c r="A189" s="4" t="s">
        <v>15</v>
      </c>
      <c r="B189" s="4" t="str">
        <f>"FES1162749315"</f>
        <v>FES1162749315</v>
      </c>
      <c r="C189" s="4" t="s">
        <v>21</v>
      </c>
      <c r="D189" s="4">
        <v>1</v>
      </c>
      <c r="E189" s="4" t="str">
        <f>"21707378982"</f>
        <v>21707378982</v>
      </c>
      <c r="F189" s="4" t="s">
        <v>17</v>
      </c>
      <c r="G189" s="4" t="s">
        <v>18</v>
      </c>
      <c r="H189" s="4" t="s">
        <v>18</v>
      </c>
      <c r="I189" s="4" t="s">
        <v>290</v>
      </c>
      <c r="J189" s="4" t="s">
        <v>291</v>
      </c>
      <c r="K189" s="4" t="s">
        <v>112</v>
      </c>
      <c r="L189" s="5">
        <v>0.33333333333333331</v>
      </c>
      <c r="M189" s="4" t="s">
        <v>128</v>
      </c>
      <c r="N189" s="6" t="s">
        <v>23</v>
      </c>
      <c r="O189" s="4" t="s">
        <v>24</v>
      </c>
    </row>
    <row r="190" spans="1:15" x14ac:dyDescent="0.25">
      <c r="A190" s="4" t="s">
        <v>15</v>
      </c>
      <c r="B190" s="4" t="str">
        <f>"FES1162749302"</f>
        <v>FES1162749302</v>
      </c>
      <c r="C190" s="4" t="s">
        <v>21</v>
      </c>
      <c r="D190" s="4">
        <v>1</v>
      </c>
      <c r="E190" s="4" t="str">
        <f>"2170738544"</f>
        <v>2170738544</v>
      </c>
      <c r="F190" s="4" t="s">
        <v>17</v>
      </c>
      <c r="G190" s="4" t="s">
        <v>18</v>
      </c>
      <c r="H190" s="4" t="s">
        <v>18</v>
      </c>
      <c r="I190" s="4" t="s">
        <v>292</v>
      </c>
      <c r="J190" s="4" t="s">
        <v>293</v>
      </c>
      <c r="K190" s="4" t="s">
        <v>112</v>
      </c>
      <c r="L190" s="5">
        <v>0.41666666666666669</v>
      </c>
      <c r="M190" s="4" t="s">
        <v>454</v>
      </c>
      <c r="N190" s="6" t="s">
        <v>23</v>
      </c>
      <c r="O190" s="4" t="s">
        <v>24</v>
      </c>
    </row>
    <row r="191" spans="1:15" x14ac:dyDescent="0.25">
      <c r="A191" s="4" t="s">
        <v>15</v>
      </c>
      <c r="B191" s="4" t="str">
        <f>"FES1162749343"</f>
        <v>FES1162749343</v>
      </c>
      <c r="C191" s="4" t="s">
        <v>21</v>
      </c>
      <c r="D191" s="4">
        <v>1</v>
      </c>
      <c r="E191" s="4" t="str">
        <f>"2170739560"</f>
        <v>2170739560</v>
      </c>
      <c r="F191" s="4" t="s">
        <v>17</v>
      </c>
      <c r="G191" s="4" t="s">
        <v>18</v>
      </c>
      <c r="H191" s="4" t="s">
        <v>18</v>
      </c>
      <c r="I191" s="4" t="s">
        <v>147</v>
      </c>
      <c r="J191" s="4" t="s">
        <v>294</v>
      </c>
      <c r="K191" s="4" t="s">
        <v>112</v>
      </c>
      <c r="L191" s="5">
        <v>0.33333333333333331</v>
      </c>
      <c r="M191" s="4" t="s">
        <v>455</v>
      </c>
      <c r="N191" s="6" t="s">
        <v>23</v>
      </c>
      <c r="O191" s="4" t="s">
        <v>24</v>
      </c>
    </row>
    <row r="192" spans="1:15" x14ac:dyDescent="0.25">
      <c r="A192" s="4" t="s">
        <v>15</v>
      </c>
      <c r="B192" s="4" t="str">
        <f>"009935712296"</f>
        <v>009935712296</v>
      </c>
      <c r="C192" s="4" t="s">
        <v>21</v>
      </c>
      <c r="D192" s="4">
        <v>1</v>
      </c>
      <c r="E192" s="4" t="str">
        <f>"1162742794"</f>
        <v>1162742794</v>
      </c>
      <c r="F192" s="4" t="s">
        <v>17</v>
      </c>
      <c r="G192" s="4" t="s">
        <v>18</v>
      </c>
      <c r="H192" s="4" t="s">
        <v>85</v>
      </c>
      <c r="I192" s="4" t="s">
        <v>295</v>
      </c>
      <c r="J192" s="4" t="s">
        <v>296</v>
      </c>
      <c r="K192" s="4" t="s">
        <v>112</v>
      </c>
      <c r="L192" s="5">
        <v>0.49444444444444446</v>
      </c>
      <c r="M192" s="4" t="s">
        <v>456</v>
      </c>
      <c r="N192" s="6" t="s">
        <v>23</v>
      </c>
      <c r="O192" s="4" t="s">
        <v>297</v>
      </c>
    </row>
    <row r="193" spans="1:15" x14ac:dyDescent="0.25">
      <c r="A193" s="4" t="s">
        <v>15</v>
      </c>
      <c r="B193" s="4" t="str">
        <f>"FES1162749360"</f>
        <v>FES1162749360</v>
      </c>
      <c r="C193" s="4" t="s">
        <v>21</v>
      </c>
      <c r="D193" s="4">
        <v>1</v>
      </c>
      <c r="E193" s="4" t="str">
        <f>"2170739830"</f>
        <v>2170739830</v>
      </c>
      <c r="F193" s="4" t="s">
        <v>17</v>
      </c>
      <c r="G193" s="4" t="s">
        <v>18</v>
      </c>
      <c r="H193" s="4" t="s">
        <v>48</v>
      </c>
      <c r="I193" s="4" t="s">
        <v>49</v>
      </c>
      <c r="J193" s="4" t="s">
        <v>100</v>
      </c>
      <c r="K193" s="4" t="s">
        <v>112</v>
      </c>
      <c r="L193" s="5">
        <v>0.37013888888888885</v>
      </c>
      <c r="M193" s="4" t="s">
        <v>341</v>
      </c>
      <c r="N193" s="6" t="s">
        <v>23</v>
      </c>
      <c r="O193" s="4" t="s">
        <v>24</v>
      </c>
    </row>
    <row r="194" spans="1:15" x14ac:dyDescent="0.25">
      <c r="A194" s="4" t="s">
        <v>15</v>
      </c>
      <c r="B194" s="4" t="str">
        <f>"FES1162749318"</f>
        <v>FES1162749318</v>
      </c>
      <c r="C194" s="4" t="s">
        <v>21</v>
      </c>
      <c r="D194" s="4">
        <v>1</v>
      </c>
      <c r="E194" s="4" t="str">
        <f>"2170739089"</f>
        <v>2170739089</v>
      </c>
      <c r="F194" s="4" t="s">
        <v>17</v>
      </c>
      <c r="G194" s="4" t="s">
        <v>18</v>
      </c>
      <c r="H194" s="4" t="s">
        <v>18</v>
      </c>
      <c r="I194" s="4" t="s">
        <v>29</v>
      </c>
      <c r="J194" s="4" t="s">
        <v>298</v>
      </c>
      <c r="K194" s="4" t="s">
        <v>112</v>
      </c>
      <c r="L194" s="5">
        <v>0.43055555555555558</v>
      </c>
      <c r="M194" s="4" t="s">
        <v>457</v>
      </c>
      <c r="N194" s="6" t="s">
        <v>23</v>
      </c>
      <c r="O194" s="4" t="s">
        <v>24</v>
      </c>
    </row>
    <row r="195" spans="1:15" x14ac:dyDescent="0.25">
      <c r="A195" s="4" t="s">
        <v>15</v>
      </c>
      <c r="B195" s="4" t="str">
        <f>"FES1162749353"</f>
        <v>FES1162749353</v>
      </c>
      <c r="C195" s="4" t="s">
        <v>21</v>
      </c>
      <c r="D195" s="4">
        <v>1</v>
      </c>
      <c r="E195" s="4" t="str">
        <f>"2170739752"</f>
        <v>2170739752</v>
      </c>
      <c r="F195" s="4" t="s">
        <v>17</v>
      </c>
      <c r="G195" s="4" t="s">
        <v>18</v>
      </c>
      <c r="H195" s="4" t="s">
        <v>18</v>
      </c>
      <c r="I195" s="4" t="s">
        <v>29</v>
      </c>
      <c r="J195" s="4" t="s">
        <v>299</v>
      </c>
      <c r="K195" s="4" t="s">
        <v>112</v>
      </c>
      <c r="L195" s="5">
        <v>0.2986111111111111</v>
      </c>
      <c r="M195" s="4" t="s">
        <v>458</v>
      </c>
      <c r="N195" s="6" t="s">
        <v>23</v>
      </c>
      <c r="O195" s="4" t="s">
        <v>24</v>
      </c>
    </row>
    <row r="196" spans="1:15" x14ac:dyDescent="0.25">
      <c r="A196" s="4" t="s">
        <v>15</v>
      </c>
      <c r="B196" s="4" t="str">
        <f>"FES1162749381"</f>
        <v>FES1162749381</v>
      </c>
      <c r="C196" s="4" t="s">
        <v>21</v>
      </c>
      <c r="D196" s="4">
        <v>1</v>
      </c>
      <c r="E196" s="4" t="str">
        <f>"2170739871"</f>
        <v>2170739871</v>
      </c>
      <c r="F196" s="4" t="s">
        <v>17</v>
      </c>
      <c r="G196" s="4" t="s">
        <v>18</v>
      </c>
      <c r="H196" s="4" t="s">
        <v>32</v>
      </c>
      <c r="I196" s="4" t="s">
        <v>33</v>
      </c>
      <c r="J196" s="4" t="s">
        <v>300</v>
      </c>
      <c r="K196" s="4" t="s">
        <v>112</v>
      </c>
      <c r="L196" s="5">
        <v>0.48819444444444443</v>
      </c>
      <c r="M196" s="4" t="s">
        <v>459</v>
      </c>
      <c r="N196" s="6" t="s">
        <v>23</v>
      </c>
      <c r="O196" s="4" t="s">
        <v>24</v>
      </c>
    </row>
    <row r="197" spans="1:15" x14ac:dyDescent="0.25">
      <c r="A197" s="4" t="s">
        <v>15</v>
      </c>
      <c r="B197" s="4" t="str">
        <f>"FES1162749300"</f>
        <v>FES1162749300</v>
      </c>
      <c r="C197" s="4" t="s">
        <v>21</v>
      </c>
      <c r="D197" s="4">
        <v>1</v>
      </c>
      <c r="E197" s="4" t="str">
        <f>"217017368489"</f>
        <v>217017368489</v>
      </c>
      <c r="F197" s="4" t="s">
        <v>17</v>
      </c>
      <c r="G197" s="4" t="s">
        <v>18</v>
      </c>
      <c r="H197" s="4" t="s">
        <v>32</v>
      </c>
      <c r="I197" s="4" t="s">
        <v>33</v>
      </c>
      <c r="J197" s="4" t="s">
        <v>301</v>
      </c>
      <c r="K197" s="4" t="s">
        <v>112</v>
      </c>
      <c r="L197" s="5">
        <v>0.4236111111111111</v>
      </c>
      <c r="M197" s="4" t="s">
        <v>460</v>
      </c>
      <c r="N197" s="6" t="s">
        <v>23</v>
      </c>
      <c r="O197" s="4" t="s">
        <v>24</v>
      </c>
    </row>
    <row r="198" spans="1:15" x14ac:dyDescent="0.25">
      <c r="A198" s="4" t="s">
        <v>15</v>
      </c>
      <c r="B198" s="4" t="str">
        <f>"FES1162749394"</f>
        <v>FES1162749394</v>
      </c>
      <c r="C198" s="4" t="s">
        <v>21</v>
      </c>
      <c r="D198" s="4">
        <v>1</v>
      </c>
      <c r="E198" s="4" t="str">
        <f>"2170739546"</f>
        <v>2170739546</v>
      </c>
      <c r="F198" s="4" t="s">
        <v>17</v>
      </c>
      <c r="G198" s="4" t="s">
        <v>18</v>
      </c>
      <c r="H198" s="4" t="s">
        <v>18</v>
      </c>
      <c r="I198" s="4" t="s">
        <v>29</v>
      </c>
      <c r="J198" s="4" t="s">
        <v>271</v>
      </c>
      <c r="K198" s="4" t="s">
        <v>112</v>
      </c>
      <c r="L198" s="5">
        <v>0.375</v>
      </c>
      <c r="M198" s="4" t="s">
        <v>461</v>
      </c>
      <c r="N198" s="6" t="s">
        <v>23</v>
      </c>
      <c r="O198" s="4" t="s">
        <v>24</v>
      </c>
    </row>
    <row r="199" spans="1:15" x14ac:dyDescent="0.25">
      <c r="A199" s="4" t="s">
        <v>15</v>
      </c>
      <c r="B199" s="4" t="str">
        <f>"FES1162749401"</f>
        <v>FES1162749401</v>
      </c>
      <c r="C199" s="4" t="s">
        <v>21</v>
      </c>
      <c r="D199" s="4">
        <v>1</v>
      </c>
      <c r="E199" s="4" t="str">
        <f>"2170739892"</f>
        <v>2170739892</v>
      </c>
      <c r="F199" s="4" t="s">
        <v>17</v>
      </c>
      <c r="G199" s="4" t="s">
        <v>18</v>
      </c>
      <c r="H199" s="4" t="s">
        <v>18</v>
      </c>
      <c r="I199" s="4" t="s">
        <v>29</v>
      </c>
      <c r="J199" s="4" t="s">
        <v>302</v>
      </c>
      <c r="K199" s="4" t="s">
        <v>112</v>
      </c>
      <c r="L199" s="5">
        <v>0.33333333333333331</v>
      </c>
      <c r="M199" s="4" t="s">
        <v>462</v>
      </c>
      <c r="N199" s="6" t="s">
        <v>23</v>
      </c>
      <c r="O199" s="4" t="s">
        <v>24</v>
      </c>
    </row>
    <row r="200" spans="1:15" x14ac:dyDescent="0.25">
      <c r="A200" s="4" t="s">
        <v>15</v>
      </c>
      <c r="B200" s="4" t="str">
        <f>"FES1162749320"</f>
        <v>FES1162749320</v>
      </c>
      <c r="C200" s="4" t="s">
        <v>21</v>
      </c>
      <c r="D200" s="4">
        <v>1</v>
      </c>
      <c r="E200" s="4" t="str">
        <f>"21701739715"</f>
        <v>21701739715</v>
      </c>
      <c r="F200" s="4" t="s">
        <v>17</v>
      </c>
      <c r="G200" s="4" t="s">
        <v>18</v>
      </c>
      <c r="H200" s="4" t="s">
        <v>32</v>
      </c>
      <c r="I200" s="4" t="s">
        <v>140</v>
      </c>
      <c r="J200" s="4" t="s">
        <v>303</v>
      </c>
      <c r="K200" s="4" t="s">
        <v>112</v>
      </c>
      <c r="L200" s="5">
        <v>0.63194444444444442</v>
      </c>
      <c r="M200" s="4" t="s">
        <v>463</v>
      </c>
      <c r="N200" s="6" t="s">
        <v>23</v>
      </c>
      <c r="O200" s="4" t="s">
        <v>24</v>
      </c>
    </row>
    <row r="201" spans="1:15" x14ac:dyDescent="0.25">
      <c r="A201" s="4" t="s">
        <v>15</v>
      </c>
      <c r="B201" s="4" t="str">
        <f>"FES1162749321"</f>
        <v>FES1162749321</v>
      </c>
      <c r="C201" s="4" t="s">
        <v>21</v>
      </c>
      <c r="D201" s="4">
        <v>1</v>
      </c>
      <c r="E201" s="4" t="str">
        <f>"2170739183"</f>
        <v>2170739183</v>
      </c>
      <c r="F201" s="4" t="s">
        <v>17</v>
      </c>
      <c r="G201" s="4" t="s">
        <v>18</v>
      </c>
      <c r="H201" s="4" t="s">
        <v>32</v>
      </c>
      <c r="I201" s="4" t="s">
        <v>140</v>
      </c>
      <c r="J201" s="4" t="s">
        <v>303</v>
      </c>
      <c r="K201" s="4" t="s">
        <v>112</v>
      </c>
      <c r="L201" s="5">
        <v>0.63194444444444442</v>
      </c>
      <c r="M201" s="4" t="s">
        <v>463</v>
      </c>
      <c r="N201" s="6" t="s">
        <v>23</v>
      </c>
      <c r="O201" s="4" t="s">
        <v>24</v>
      </c>
    </row>
    <row r="202" spans="1:15" x14ac:dyDescent="0.25">
      <c r="A202" s="4" t="s">
        <v>15</v>
      </c>
      <c r="B202" s="4" t="str">
        <f>"FES1162749298"</f>
        <v>FES1162749298</v>
      </c>
      <c r="C202" s="4" t="s">
        <v>21</v>
      </c>
      <c r="D202" s="4">
        <v>1</v>
      </c>
      <c r="E202" s="4" t="str">
        <f>"2170738360"</f>
        <v>2170738360</v>
      </c>
      <c r="F202" s="4" t="s">
        <v>17</v>
      </c>
      <c r="G202" s="4" t="s">
        <v>18</v>
      </c>
      <c r="H202" s="4" t="s">
        <v>18</v>
      </c>
      <c r="I202" s="4" t="s">
        <v>29</v>
      </c>
      <c r="J202" s="4" t="s">
        <v>173</v>
      </c>
      <c r="K202" s="4" t="s">
        <v>112</v>
      </c>
      <c r="L202" s="5">
        <v>0.29166666666666669</v>
      </c>
      <c r="M202" s="4" t="s">
        <v>174</v>
      </c>
      <c r="N202" s="6" t="s">
        <v>23</v>
      </c>
      <c r="O202" s="4" t="s">
        <v>24</v>
      </c>
    </row>
    <row r="203" spans="1:15" x14ac:dyDescent="0.25">
      <c r="A203" s="4" t="s">
        <v>15</v>
      </c>
      <c r="B203" s="4" t="str">
        <f>"FES1162749313"</f>
        <v>FES1162749313</v>
      </c>
      <c r="C203" s="4" t="s">
        <v>21</v>
      </c>
      <c r="D203" s="4">
        <v>1</v>
      </c>
      <c r="E203" s="4" t="str">
        <f>"2170738963"</f>
        <v>2170738963</v>
      </c>
      <c r="F203" s="4" t="s">
        <v>17</v>
      </c>
      <c r="G203" s="4" t="s">
        <v>18</v>
      </c>
      <c r="H203" s="4" t="s">
        <v>32</v>
      </c>
      <c r="I203" s="4" t="s">
        <v>140</v>
      </c>
      <c r="J203" s="4" t="s">
        <v>303</v>
      </c>
      <c r="K203" s="4" t="s">
        <v>112</v>
      </c>
      <c r="L203" s="5">
        <v>0.63194444444444442</v>
      </c>
      <c r="M203" s="4" t="s">
        <v>463</v>
      </c>
      <c r="N203" s="6" t="s">
        <v>23</v>
      </c>
      <c r="O203" s="4" t="s">
        <v>24</v>
      </c>
    </row>
    <row r="204" spans="1:15" x14ac:dyDescent="0.25">
      <c r="A204" s="4" t="s">
        <v>15</v>
      </c>
      <c r="B204" s="4" t="str">
        <f>"FES1162749383"</f>
        <v>FES1162749383</v>
      </c>
      <c r="C204" s="4" t="s">
        <v>21</v>
      </c>
      <c r="D204" s="4">
        <v>1</v>
      </c>
      <c r="E204" s="4" t="str">
        <f>"2170739873"</f>
        <v>2170739873</v>
      </c>
      <c r="F204" s="4" t="s">
        <v>17</v>
      </c>
      <c r="G204" s="4" t="s">
        <v>18</v>
      </c>
      <c r="H204" s="4" t="s">
        <v>304</v>
      </c>
      <c r="I204" s="4" t="s">
        <v>305</v>
      </c>
      <c r="J204" s="4" t="s">
        <v>306</v>
      </c>
      <c r="K204" s="4" t="s">
        <v>112</v>
      </c>
      <c r="L204" s="5">
        <v>0.4375</v>
      </c>
      <c r="M204" s="4" t="s">
        <v>464</v>
      </c>
      <c r="N204" s="6" t="s">
        <v>23</v>
      </c>
      <c r="O204" s="4" t="s">
        <v>24</v>
      </c>
    </row>
    <row r="205" spans="1:15" x14ac:dyDescent="0.25">
      <c r="A205" s="4" t="s">
        <v>15</v>
      </c>
      <c r="B205" s="4" t="str">
        <f>"FES1162749319"</f>
        <v>FES1162749319</v>
      </c>
      <c r="C205" s="4" t="s">
        <v>21</v>
      </c>
      <c r="D205" s="4">
        <v>1</v>
      </c>
      <c r="E205" s="4" t="str">
        <f>"2170739142"</f>
        <v>2170739142</v>
      </c>
      <c r="F205" s="4" t="s">
        <v>17</v>
      </c>
      <c r="G205" s="4" t="s">
        <v>18</v>
      </c>
      <c r="H205" s="4" t="s">
        <v>32</v>
      </c>
      <c r="I205" s="4" t="s">
        <v>106</v>
      </c>
      <c r="J205" s="4" t="s">
        <v>107</v>
      </c>
      <c r="K205" s="4" t="s">
        <v>112</v>
      </c>
      <c r="L205" s="5">
        <v>0.55555555555555558</v>
      </c>
      <c r="M205" s="4" t="s">
        <v>465</v>
      </c>
      <c r="N205" s="6" t="s">
        <v>23</v>
      </c>
      <c r="O205" s="4" t="s">
        <v>24</v>
      </c>
    </row>
    <row r="206" spans="1:15" x14ac:dyDescent="0.25">
      <c r="A206" s="4" t="s">
        <v>15</v>
      </c>
      <c r="B206" s="4" t="str">
        <f>"FES1162749304"</f>
        <v>FES1162749304</v>
      </c>
      <c r="C206" s="4" t="s">
        <v>21</v>
      </c>
      <c r="D206" s="4">
        <v>1</v>
      </c>
      <c r="E206" s="4" t="str">
        <f>"2170738611"</f>
        <v>2170738611</v>
      </c>
      <c r="F206" s="4" t="s">
        <v>17</v>
      </c>
      <c r="G206" s="4" t="s">
        <v>18</v>
      </c>
      <c r="H206" s="4" t="s">
        <v>18</v>
      </c>
      <c r="I206" s="4" t="s">
        <v>307</v>
      </c>
      <c r="J206" s="4" t="s">
        <v>308</v>
      </c>
      <c r="K206" s="4" t="s">
        <v>112</v>
      </c>
      <c r="L206" s="5">
        <v>0.43055555555555558</v>
      </c>
      <c r="M206" s="4" t="s">
        <v>466</v>
      </c>
      <c r="N206" s="6" t="s">
        <v>23</v>
      </c>
      <c r="O206" s="4" t="s">
        <v>24</v>
      </c>
    </row>
    <row r="207" spans="1:15" x14ac:dyDescent="0.25">
      <c r="A207" s="4" t="s">
        <v>15</v>
      </c>
      <c r="B207" s="4" t="str">
        <f>"FES1162749342"</f>
        <v>FES1162749342</v>
      </c>
      <c r="C207" s="4" t="s">
        <v>21</v>
      </c>
      <c r="D207" s="4">
        <v>1</v>
      </c>
      <c r="E207" s="4" t="str">
        <f>"2170739550"</f>
        <v>2170739550</v>
      </c>
      <c r="F207" s="4" t="s">
        <v>17</v>
      </c>
      <c r="G207" s="4" t="s">
        <v>18</v>
      </c>
      <c r="H207" s="4" t="s">
        <v>18</v>
      </c>
      <c r="I207" s="4" t="s">
        <v>309</v>
      </c>
      <c r="J207" s="4" t="s">
        <v>310</v>
      </c>
      <c r="K207" s="4" t="s">
        <v>112</v>
      </c>
      <c r="L207" s="5">
        <v>0.33333333333333331</v>
      </c>
      <c r="M207" s="4" t="s">
        <v>467</v>
      </c>
      <c r="N207" s="6" t="s">
        <v>23</v>
      </c>
      <c r="O207" s="4" t="s">
        <v>24</v>
      </c>
    </row>
    <row r="208" spans="1:15" x14ac:dyDescent="0.25">
      <c r="A208" s="4" t="s">
        <v>15</v>
      </c>
      <c r="B208" s="4" t="str">
        <f>"FES1162749301"</f>
        <v>FES1162749301</v>
      </c>
      <c r="C208" s="4" t="s">
        <v>21</v>
      </c>
      <c r="D208" s="4">
        <v>1</v>
      </c>
      <c r="E208" s="4" t="str">
        <f>"2170738520"</f>
        <v>2170738520</v>
      </c>
      <c r="F208" s="4" t="s">
        <v>17</v>
      </c>
      <c r="G208" s="4" t="s">
        <v>18</v>
      </c>
      <c r="H208" s="4" t="s">
        <v>18</v>
      </c>
      <c r="I208" s="4" t="s">
        <v>147</v>
      </c>
      <c r="J208" s="4" t="s">
        <v>299</v>
      </c>
      <c r="K208" s="4" t="s">
        <v>112</v>
      </c>
      <c r="L208" s="5">
        <v>0.40763888888888888</v>
      </c>
      <c r="M208" s="4" t="s">
        <v>450</v>
      </c>
      <c r="N208" s="6" t="s">
        <v>23</v>
      </c>
      <c r="O208" s="4" t="s">
        <v>24</v>
      </c>
    </row>
    <row r="209" spans="1:15" x14ac:dyDescent="0.25">
      <c r="A209" s="4" t="s">
        <v>15</v>
      </c>
      <c r="B209" s="4" t="str">
        <f>"FES1162749292"</f>
        <v>FES1162749292</v>
      </c>
      <c r="C209" s="4" t="s">
        <v>21</v>
      </c>
      <c r="D209" s="4">
        <v>1</v>
      </c>
      <c r="E209" s="4" t="str">
        <f>"2170737947"</f>
        <v>2170737947</v>
      </c>
      <c r="F209" s="4" t="s">
        <v>17</v>
      </c>
      <c r="G209" s="4" t="s">
        <v>18</v>
      </c>
      <c r="H209" s="4" t="s">
        <v>18</v>
      </c>
      <c r="I209" s="4" t="s">
        <v>311</v>
      </c>
      <c r="J209" s="4" t="s">
        <v>299</v>
      </c>
      <c r="K209" s="4" t="s">
        <v>112</v>
      </c>
      <c r="L209" s="5">
        <v>0.33333333333333331</v>
      </c>
      <c r="M209" s="4" t="s">
        <v>468</v>
      </c>
      <c r="N209" s="6" t="s">
        <v>23</v>
      </c>
      <c r="O209" s="4" t="s">
        <v>24</v>
      </c>
    </row>
    <row r="210" spans="1:15" x14ac:dyDescent="0.25">
      <c r="A210" s="11" t="s">
        <v>15</v>
      </c>
      <c r="B210" s="11" t="str">
        <f>"FES1162749294"</f>
        <v>FES1162749294</v>
      </c>
      <c r="C210" s="11" t="s">
        <v>21</v>
      </c>
      <c r="D210" s="11">
        <v>1</v>
      </c>
      <c r="E210" s="11" t="str">
        <f>"217073807"</f>
        <v>217073807</v>
      </c>
      <c r="F210" s="11" t="s">
        <v>17</v>
      </c>
      <c r="G210" s="11" t="s">
        <v>18</v>
      </c>
      <c r="H210" s="11" t="s">
        <v>18</v>
      </c>
      <c r="I210" s="11" t="s">
        <v>292</v>
      </c>
      <c r="J210" s="11" t="s">
        <v>312</v>
      </c>
      <c r="K210" s="11" t="s">
        <v>112</v>
      </c>
      <c r="L210" s="12">
        <v>0.41666666666666669</v>
      </c>
      <c r="M210" s="11" t="s">
        <v>469</v>
      </c>
      <c r="N210" s="13" t="s">
        <v>23</v>
      </c>
      <c r="O210" s="11" t="s">
        <v>24</v>
      </c>
    </row>
    <row r="211" spans="1:15" x14ac:dyDescent="0.25">
      <c r="A211" s="11" t="s">
        <v>15</v>
      </c>
      <c r="B211" s="11" t="str">
        <f>"FES1162749314"</f>
        <v>FES1162749314</v>
      </c>
      <c r="C211" s="11" t="s">
        <v>21</v>
      </c>
      <c r="D211" s="11">
        <v>1</v>
      </c>
      <c r="E211" s="11" t="str">
        <f>"2170738979"</f>
        <v>2170738979</v>
      </c>
      <c r="F211" s="11" t="s">
        <v>17</v>
      </c>
      <c r="G211" s="11" t="s">
        <v>18</v>
      </c>
      <c r="H211" s="11" t="s">
        <v>18</v>
      </c>
      <c r="I211" s="11" t="s">
        <v>147</v>
      </c>
      <c r="J211" s="11" t="s">
        <v>299</v>
      </c>
      <c r="K211" s="11" t="s">
        <v>112</v>
      </c>
      <c r="L211" s="12">
        <v>0.33333333333333331</v>
      </c>
      <c r="M211" s="11" t="s">
        <v>470</v>
      </c>
      <c r="N211" s="13" t="s">
        <v>23</v>
      </c>
      <c r="O211" s="11" t="s">
        <v>24</v>
      </c>
    </row>
    <row r="212" spans="1:15" x14ac:dyDescent="0.25">
      <c r="A212" s="11" t="s">
        <v>15</v>
      </c>
      <c r="B212" s="11" t="str">
        <f>"FES1162749326"</f>
        <v>FES1162749326</v>
      </c>
      <c r="C212" s="11" t="s">
        <v>21</v>
      </c>
      <c r="D212" s="11">
        <v>1</v>
      </c>
      <c r="E212" s="11" t="str">
        <f>"2170739342"</f>
        <v>2170739342</v>
      </c>
      <c r="F212" s="11" t="s">
        <v>17</v>
      </c>
      <c r="G212" s="11" t="s">
        <v>18</v>
      </c>
      <c r="H212" s="11" t="s">
        <v>18</v>
      </c>
      <c r="I212" s="11" t="s">
        <v>97</v>
      </c>
      <c r="J212" s="11" t="s">
        <v>313</v>
      </c>
      <c r="K212" s="11" t="s">
        <v>112</v>
      </c>
      <c r="L212" s="12">
        <v>0.33333333333333331</v>
      </c>
      <c r="M212" s="11" t="s">
        <v>649</v>
      </c>
      <c r="N212" s="13" t="s">
        <v>23</v>
      </c>
      <c r="O212" s="11" t="s">
        <v>641</v>
      </c>
    </row>
    <row r="213" spans="1:15" x14ac:dyDescent="0.25">
      <c r="A213" s="11" t="s">
        <v>15</v>
      </c>
      <c r="B213" s="11" t="str">
        <f>"FES1162749379"</f>
        <v>FES1162749379</v>
      </c>
      <c r="C213" s="11" t="s">
        <v>21</v>
      </c>
      <c r="D213" s="11">
        <v>1</v>
      </c>
      <c r="E213" s="11" t="str">
        <f>"2170739861"</f>
        <v>2170739861</v>
      </c>
      <c r="F213" s="11" t="s">
        <v>17</v>
      </c>
      <c r="G213" s="11" t="s">
        <v>18</v>
      </c>
      <c r="H213" s="11" t="s">
        <v>18</v>
      </c>
      <c r="I213" s="11" t="s">
        <v>29</v>
      </c>
      <c r="J213" s="11" t="s">
        <v>302</v>
      </c>
      <c r="K213" s="11" t="s">
        <v>112</v>
      </c>
      <c r="L213" s="12">
        <v>0.33333333333333331</v>
      </c>
      <c r="M213" s="11" t="s">
        <v>462</v>
      </c>
      <c r="N213" s="13" t="s">
        <v>23</v>
      </c>
      <c r="O213" s="11" t="s">
        <v>24</v>
      </c>
    </row>
    <row r="214" spans="1:15" x14ac:dyDescent="0.25">
      <c r="A214" s="4" t="s">
        <v>15</v>
      </c>
      <c r="B214" s="4" t="str">
        <f>"FES1162749373"</f>
        <v>FES1162749373</v>
      </c>
      <c r="C214" s="4" t="s">
        <v>21</v>
      </c>
      <c r="D214" s="4">
        <v>1</v>
      </c>
      <c r="E214" s="4" t="str">
        <f>"2170739843"</f>
        <v>2170739843</v>
      </c>
      <c r="F214" s="4" t="s">
        <v>17</v>
      </c>
      <c r="G214" s="4" t="s">
        <v>18</v>
      </c>
      <c r="H214" s="4" t="s">
        <v>18</v>
      </c>
      <c r="I214" s="4" t="s">
        <v>58</v>
      </c>
      <c r="J214" s="4" t="s">
        <v>34</v>
      </c>
      <c r="K214" s="4" t="s">
        <v>112</v>
      </c>
      <c r="L214" s="5">
        <v>0.3527777777777778</v>
      </c>
      <c r="M214" s="4" t="s">
        <v>471</v>
      </c>
      <c r="N214" s="6" t="s">
        <v>23</v>
      </c>
      <c r="O214" s="4" t="s">
        <v>24</v>
      </c>
    </row>
    <row r="215" spans="1:15" x14ac:dyDescent="0.25">
      <c r="A215" s="4" t="s">
        <v>15</v>
      </c>
      <c r="B215" s="4" t="str">
        <f>"FES1162749354"</f>
        <v>FES1162749354</v>
      </c>
      <c r="C215" s="4" t="s">
        <v>21</v>
      </c>
      <c r="D215" s="4">
        <v>1</v>
      </c>
      <c r="E215" s="4" t="str">
        <f>"2170739766"</f>
        <v>2170739766</v>
      </c>
      <c r="F215" s="4" t="s">
        <v>17</v>
      </c>
      <c r="G215" s="4" t="s">
        <v>18</v>
      </c>
      <c r="H215" s="4" t="s">
        <v>18</v>
      </c>
      <c r="I215" s="4" t="s">
        <v>147</v>
      </c>
      <c r="J215" s="4" t="s">
        <v>299</v>
      </c>
      <c r="K215" s="4" t="s">
        <v>112</v>
      </c>
      <c r="L215" s="5">
        <v>0.375</v>
      </c>
      <c r="M215" s="4" t="s">
        <v>450</v>
      </c>
      <c r="N215" s="6" t="s">
        <v>23</v>
      </c>
      <c r="O215" s="4" t="s">
        <v>24</v>
      </c>
    </row>
    <row r="216" spans="1:15" x14ac:dyDescent="0.25">
      <c r="A216" s="4" t="s">
        <v>15</v>
      </c>
      <c r="B216" s="4" t="str">
        <f>"FES1162749380"</f>
        <v>FES1162749380</v>
      </c>
      <c r="C216" s="4" t="s">
        <v>21</v>
      </c>
      <c r="D216" s="4">
        <v>1</v>
      </c>
      <c r="E216" s="4" t="str">
        <f>"2170739864"</f>
        <v>2170739864</v>
      </c>
      <c r="F216" s="4" t="s">
        <v>17</v>
      </c>
      <c r="G216" s="4" t="s">
        <v>18</v>
      </c>
      <c r="H216" s="4" t="s">
        <v>18</v>
      </c>
      <c r="I216" s="4" t="s">
        <v>309</v>
      </c>
      <c r="J216" s="4" t="s">
        <v>314</v>
      </c>
      <c r="K216" s="4" t="s">
        <v>112</v>
      </c>
      <c r="L216" s="5">
        <v>0.33333333333333331</v>
      </c>
      <c r="M216" s="4" t="s">
        <v>472</v>
      </c>
      <c r="N216" s="6" t="s">
        <v>23</v>
      </c>
      <c r="O216" s="4" t="s">
        <v>24</v>
      </c>
    </row>
    <row r="217" spans="1:15" x14ac:dyDescent="0.25">
      <c r="A217" s="4" t="s">
        <v>15</v>
      </c>
      <c r="B217" s="4" t="str">
        <f>"FES1162749376"</f>
        <v>FES1162749376</v>
      </c>
      <c r="C217" s="4" t="s">
        <v>21</v>
      </c>
      <c r="D217" s="4">
        <v>1</v>
      </c>
      <c r="E217" s="4" t="str">
        <f>"2170739849"</f>
        <v>2170739849</v>
      </c>
      <c r="F217" s="4" t="s">
        <v>17</v>
      </c>
      <c r="G217" s="4" t="s">
        <v>18</v>
      </c>
      <c r="H217" s="4" t="s">
        <v>18</v>
      </c>
      <c r="I217" s="4" t="s">
        <v>58</v>
      </c>
      <c r="J217" s="4" t="s">
        <v>34</v>
      </c>
      <c r="K217" s="4" t="s">
        <v>112</v>
      </c>
      <c r="L217" s="5">
        <v>0.3527777777777778</v>
      </c>
      <c r="M217" s="4" t="s">
        <v>471</v>
      </c>
      <c r="N217" s="6" t="s">
        <v>23</v>
      </c>
      <c r="O217" s="4" t="s">
        <v>24</v>
      </c>
    </row>
    <row r="218" spans="1:15" x14ac:dyDescent="0.25">
      <c r="A218" s="4" t="s">
        <v>15</v>
      </c>
      <c r="B218" s="4" t="str">
        <f>"FES1162749329"</f>
        <v>FES1162749329</v>
      </c>
      <c r="C218" s="4" t="s">
        <v>21</v>
      </c>
      <c r="D218" s="4">
        <v>1</v>
      </c>
      <c r="E218" s="4" t="str">
        <f>"2170739378"</f>
        <v>2170739378</v>
      </c>
      <c r="F218" s="4" t="s">
        <v>17</v>
      </c>
      <c r="G218" s="4" t="s">
        <v>18</v>
      </c>
      <c r="H218" s="4" t="s">
        <v>32</v>
      </c>
      <c r="I218" s="4" t="s">
        <v>33</v>
      </c>
      <c r="J218" s="4" t="s">
        <v>315</v>
      </c>
      <c r="K218" s="4" t="s">
        <v>112</v>
      </c>
      <c r="L218" s="5">
        <v>0.4375</v>
      </c>
      <c r="M218" s="4" t="s">
        <v>473</v>
      </c>
      <c r="N218" s="6" t="s">
        <v>23</v>
      </c>
      <c r="O218" s="4" t="s">
        <v>316</v>
      </c>
    </row>
    <row r="219" spans="1:15" x14ac:dyDescent="0.25">
      <c r="A219" s="4" t="s">
        <v>15</v>
      </c>
      <c r="B219" s="4" t="str">
        <f>"FES1162749393"</f>
        <v>FES1162749393</v>
      </c>
      <c r="C219" s="4" t="s">
        <v>21</v>
      </c>
      <c r="D219" s="4">
        <v>1</v>
      </c>
      <c r="E219" s="4" t="str">
        <f>"21707398886"</f>
        <v>21707398886</v>
      </c>
      <c r="F219" s="4" t="s">
        <v>17</v>
      </c>
      <c r="G219" s="4" t="s">
        <v>18</v>
      </c>
      <c r="H219" s="4" t="s">
        <v>32</v>
      </c>
      <c r="I219" s="4" t="s">
        <v>33</v>
      </c>
      <c r="J219" s="4" t="s">
        <v>317</v>
      </c>
      <c r="K219" s="4" t="s">
        <v>112</v>
      </c>
      <c r="L219" s="5">
        <v>0.38819444444444445</v>
      </c>
      <c r="M219" s="4" t="s">
        <v>474</v>
      </c>
      <c r="N219" s="6" t="s">
        <v>23</v>
      </c>
      <c r="O219" s="4" t="s">
        <v>24</v>
      </c>
    </row>
    <row r="220" spans="1:15" x14ac:dyDescent="0.25">
      <c r="A220" s="4" t="s">
        <v>15</v>
      </c>
      <c r="B220" s="4" t="str">
        <f>"FES1162749392"</f>
        <v>FES1162749392</v>
      </c>
      <c r="C220" s="4" t="s">
        <v>21</v>
      </c>
      <c r="D220" s="4">
        <v>1</v>
      </c>
      <c r="E220" s="4" t="str">
        <f>"2170739885"</f>
        <v>2170739885</v>
      </c>
      <c r="F220" s="4" t="s">
        <v>17</v>
      </c>
      <c r="G220" s="4" t="s">
        <v>18</v>
      </c>
      <c r="H220" s="4" t="s">
        <v>48</v>
      </c>
      <c r="I220" s="4" t="s">
        <v>49</v>
      </c>
      <c r="J220" s="4" t="s">
        <v>318</v>
      </c>
      <c r="K220" s="4" t="s">
        <v>112</v>
      </c>
      <c r="L220" s="5">
        <v>0.4375</v>
      </c>
      <c r="M220" s="4" t="s">
        <v>475</v>
      </c>
      <c r="N220" s="6" t="s">
        <v>23</v>
      </c>
      <c r="O220" s="4" t="s">
        <v>24</v>
      </c>
    </row>
    <row r="221" spans="1:15" x14ac:dyDescent="0.25">
      <c r="A221" s="4" t="s">
        <v>15</v>
      </c>
      <c r="B221" s="4" t="str">
        <f>"FES1162749395"</f>
        <v>FES1162749395</v>
      </c>
      <c r="C221" s="4" t="s">
        <v>21</v>
      </c>
      <c r="D221" s="4">
        <v>1</v>
      </c>
      <c r="E221" s="4" t="str">
        <f>"2170739887"</f>
        <v>2170739887</v>
      </c>
      <c r="F221" s="4" t="s">
        <v>17</v>
      </c>
      <c r="G221" s="4" t="s">
        <v>18</v>
      </c>
      <c r="H221" s="4" t="s">
        <v>32</v>
      </c>
      <c r="I221" s="4" t="s">
        <v>33</v>
      </c>
      <c r="J221" s="4" t="s">
        <v>319</v>
      </c>
      <c r="K221" s="4" t="s">
        <v>112</v>
      </c>
      <c r="L221" s="5">
        <v>0.41319444444444442</v>
      </c>
      <c r="M221" s="4" t="s">
        <v>476</v>
      </c>
      <c r="N221" s="6" t="s">
        <v>23</v>
      </c>
      <c r="O221" s="4" t="s">
        <v>24</v>
      </c>
    </row>
    <row r="222" spans="1:15" x14ac:dyDescent="0.25">
      <c r="A222" s="4" t="s">
        <v>15</v>
      </c>
      <c r="B222" s="4" t="str">
        <f>"FES1162749400"</f>
        <v>FES1162749400</v>
      </c>
      <c r="C222" s="4" t="s">
        <v>21</v>
      </c>
      <c r="D222" s="4">
        <v>1</v>
      </c>
      <c r="E222" s="4" t="str">
        <f>"2170739633"</f>
        <v>2170739633</v>
      </c>
      <c r="F222" s="4" t="s">
        <v>17</v>
      </c>
      <c r="G222" s="4" t="s">
        <v>18</v>
      </c>
      <c r="H222" s="4" t="s">
        <v>48</v>
      </c>
      <c r="I222" s="4" t="s">
        <v>49</v>
      </c>
      <c r="J222" s="4" t="s">
        <v>252</v>
      </c>
      <c r="K222" s="4" t="s">
        <v>112</v>
      </c>
      <c r="L222" s="5">
        <v>0.38125000000000003</v>
      </c>
      <c r="M222" s="4" t="s">
        <v>477</v>
      </c>
      <c r="N222" s="6" t="s">
        <v>23</v>
      </c>
      <c r="O222" s="4" t="s">
        <v>24</v>
      </c>
    </row>
    <row r="223" spans="1:15" x14ac:dyDescent="0.25">
      <c r="A223" s="4" t="s">
        <v>15</v>
      </c>
      <c r="B223" s="4" t="str">
        <f>"FES1162749410"</f>
        <v>FES1162749410</v>
      </c>
      <c r="C223" s="4" t="s">
        <v>21</v>
      </c>
      <c r="D223" s="4">
        <v>1</v>
      </c>
      <c r="E223" s="4" t="str">
        <f>"2170739907"</f>
        <v>2170739907</v>
      </c>
      <c r="F223" s="4" t="s">
        <v>17</v>
      </c>
      <c r="G223" s="4" t="s">
        <v>18</v>
      </c>
      <c r="H223" s="4" t="s">
        <v>25</v>
      </c>
      <c r="I223" s="4" t="s">
        <v>83</v>
      </c>
      <c r="J223" s="4" t="s">
        <v>84</v>
      </c>
      <c r="K223" s="4" t="s">
        <v>112</v>
      </c>
      <c r="L223" s="4" t="s">
        <v>478</v>
      </c>
      <c r="M223" s="4" t="s">
        <v>479</v>
      </c>
      <c r="N223" s="6" t="s">
        <v>23</v>
      </c>
      <c r="O223" s="4" t="s">
        <v>24</v>
      </c>
    </row>
    <row r="224" spans="1:15" x14ac:dyDescent="0.25">
      <c r="A224" s="4" t="s">
        <v>15</v>
      </c>
      <c r="B224" s="4" t="str">
        <f>"FES1162749323"</f>
        <v>FES1162749323</v>
      </c>
      <c r="C224" s="4" t="s">
        <v>21</v>
      </c>
      <c r="D224" s="4">
        <v>1</v>
      </c>
      <c r="E224" s="4" t="str">
        <f>"2170739244"</f>
        <v>2170739244</v>
      </c>
      <c r="F224" s="4" t="s">
        <v>17</v>
      </c>
      <c r="G224" s="4" t="s">
        <v>18</v>
      </c>
      <c r="H224" s="4" t="s">
        <v>48</v>
      </c>
      <c r="I224" s="4" t="s">
        <v>49</v>
      </c>
      <c r="J224" s="4" t="s">
        <v>320</v>
      </c>
      <c r="K224" s="4" t="s">
        <v>112</v>
      </c>
      <c r="L224" s="5">
        <v>0.3354166666666667</v>
      </c>
      <c r="M224" s="4" t="s">
        <v>321</v>
      </c>
      <c r="N224" s="6" t="s">
        <v>23</v>
      </c>
      <c r="O224" s="4" t="s">
        <v>24</v>
      </c>
    </row>
    <row r="225" spans="1:15" x14ac:dyDescent="0.25">
      <c r="A225" s="4" t="s">
        <v>15</v>
      </c>
      <c r="B225" s="4" t="str">
        <f>"FES1162749407"</f>
        <v>FES1162749407</v>
      </c>
      <c r="C225" s="4" t="s">
        <v>21</v>
      </c>
      <c r="D225" s="4">
        <v>1</v>
      </c>
      <c r="E225" s="4" t="str">
        <f>"2170739880"</f>
        <v>2170739880</v>
      </c>
      <c r="F225" s="4" t="s">
        <v>17</v>
      </c>
      <c r="G225" s="4" t="s">
        <v>18</v>
      </c>
      <c r="H225" s="4" t="s">
        <v>48</v>
      </c>
      <c r="I225" s="4" t="s">
        <v>49</v>
      </c>
      <c r="J225" s="4" t="s">
        <v>322</v>
      </c>
      <c r="K225" s="4" t="s">
        <v>112</v>
      </c>
      <c r="L225" s="5">
        <v>0.3430555555555555</v>
      </c>
      <c r="M225" s="4" t="s">
        <v>323</v>
      </c>
      <c r="N225" s="6" t="s">
        <v>23</v>
      </c>
      <c r="O225" s="4" t="s">
        <v>24</v>
      </c>
    </row>
    <row r="226" spans="1:15" x14ac:dyDescent="0.25">
      <c r="A226" s="4" t="s">
        <v>15</v>
      </c>
      <c r="B226" s="4" t="str">
        <f>"FES1162749408"</f>
        <v>FES1162749408</v>
      </c>
      <c r="C226" s="4" t="s">
        <v>21</v>
      </c>
      <c r="D226" s="4">
        <v>1</v>
      </c>
      <c r="E226" s="4" t="str">
        <f>"2170739882"</f>
        <v>2170739882</v>
      </c>
      <c r="F226" s="4" t="s">
        <v>17</v>
      </c>
      <c r="G226" s="4" t="s">
        <v>18</v>
      </c>
      <c r="H226" s="4" t="s">
        <v>48</v>
      </c>
      <c r="I226" s="4" t="s">
        <v>49</v>
      </c>
      <c r="J226" s="4" t="s">
        <v>324</v>
      </c>
      <c r="K226" s="4" t="s">
        <v>112</v>
      </c>
      <c r="L226" s="5">
        <v>0.4375</v>
      </c>
      <c r="M226" s="4" t="s">
        <v>480</v>
      </c>
      <c r="N226" s="6" t="s">
        <v>23</v>
      </c>
      <c r="O226" s="4" t="s">
        <v>24</v>
      </c>
    </row>
    <row r="227" spans="1:15" x14ac:dyDescent="0.25">
      <c r="A227" s="4" t="s">
        <v>15</v>
      </c>
      <c r="B227" s="4" t="str">
        <f>"FES1162749411"</f>
        <v>FES1162749411</v>
      </c>
      <c r="C227" s="4" t="s">
        <v>21</v>
      </c>
      <c r="D227" s="4">
        <v>1</v>
      </c>
      <c r="E227" s="4" t="str">
        <f>"2170739912"</f>
        <v>2170739912</v>
      </c>
      <c r="F227" s="4" t="s">
        <v>17</v>
      </c>
      <c r="G227" s="4" t="s">
        <v>18</v>
      </c>
      <c r="H227" s="4" t="s">
        <v>167</v>
      </c>
      <c r="I227" s="4" t="s">
        <v>168</v>
      </c>
      <c r="J227" s="4" t="s">
        <v>169</v>
      </c>
      <c r="K227" s="4" t="s">
        <v>112</v>
      </c>
      <c r="L227" s="5">
        <v>0.41666666666666669</v>
      </c>
      <c r="M227" s="4" t="s">
        <v>169</v>
      </c>
      <c r="N227" s="6" t="s">
        <v>23</v>
      </c>
      <c r="O227" s="4" t="s">
        <v>24</v>
      </c>
    </row>
    <row r="228" spans="1:15" x14ac:dyDescent="0.25">
      <c r="A228" s="4" t="s">
        <v>15</v>
      </c>
      <c r="B228" s="4" t="str">
        <f>"FES1162749429"</f>
        <v>FES1162749429</v>
      </c>
      <c r="C228" s="4" t="s">
        <v>21</v>
      </c>
      <c r="D228" s="4">
        <v>1</v>
      </c>
      <c r="E228" s="4" t="str">
        <f>"2170739928"</f>
        <v>2170739928</v>
      </c>
      <c r="F228" s="4" t="s">
        <v>17</v>
      </c>
      <c r="G228" s="4" t="s">
        <v>18</v>
      </c>
      <c r="H228" s="4" t="s">
        <v>18</v>
      </c>
      <c r="I228" s="4" t="s">
        <v>309</v>
      </c>
      <c r="J228" s="4" t="s">
        <v>325</v>
      </c>
      <c r="K228" s="4" t="s">
        <v>112</v>
      </c>
      <c r="L228" s="5">
        <v>0.33333333333333331</v>
      </c>
      <c r="M228" s="4" t="s">
        <v>481</v>
      </c>
      <c r="N228" s="6" t="s">
        <v>23</v>
      </c>
      <c r="O228" s="4" t="s">
        <v>24</v>
      </c>
    </row>
    <row r="229" spans="1:15" x14ac:dyDescent="0.25">
      <c r="A229" s="11" t="s">
        <v>15</v>
      </c>
      <c r="B229" s="11" t="str">
        <f>"FES1162749449"</f>
        <v>FES1162749449</v>
      </c>
      <c r="C229" s="11" t="s">
        <v>21</v>
      </c>
      <c r="D229" s="11">
        <v>1</v>
      </c>
      <c r="E229" s="11" t="str">
        <f>"2170739662"</f>
        <v>2170739662</v>
      </c>
      <c r="F229" s="11" t="s">
        <v>17</v>
      </c>
      <c r="G229" s="11" t="s">
        <v>18</v>
      </c>
      <c r="H229" s="11" t="s">
        <v>25</v>
      </c>
      <c r="I229" s="11" t="s">
        <v>83</v>
      </c>
      <c r="J229" s="11" t="s">
        <v>84</v>
      </c>
      <c r="K229" s="11" t="s">
        <v>112</v>
      </c>
      <c r="L229" s="11" t="s">
        <v>478</v>
      </c>
      <c r="M229" s="11" t="s">
        <v>479</v>
      </c>
      <c r="N229" s="13" t="s">
        <v>23</v>
      </c>
      <c r="O229" s="11" t="s">
        <v>24</v>
      </c>
    </row>
    <row r="230" spans="1:15" x14ac:dyDescent="0.25">
      <c r="A230" s="11" t="s">
        <v>15</v>
      </c>
      <c r="B230" s="11" t="str">
        <f>"FES1162749432"</f>
        <v>FES1162749432</v>
      </c>
      <c r="C230" s="11" t="s">
        <v>21</v>
      </c>
      <c r="D230" s="11">
        <v>1</v>
      </c>
      <c r="E230" s="11" t="str">
        <f>"2170721806"</f>
        <v>2170721806</v>
      </c>
      <c r="F230" s="11" t="s">
        <v>17</v>
      </c>
      <c r="G230" s="11" t="s">
        <v>18</v>
      </c>
      <c r="H230" s="11" t="s">
        <v>326</v>
      </c>
      <c r="I230" s="11" t="s">
        <v>327</v>
      </c>
      <c r="J230" s="11" t="s">
        <v>328</v>
      </c>
      <c r="K230" s="11" t="s">
        <v>112</v>
      </c>
      <c r="L230" s="11" t="s">
        <v>478</v>
      </c>
      <c r="M230" s="11" t="s">
        <v>650</v>
      </c>
      <c r="N230" s="13" t="s">
        <v>23</v>
      </c>
      <c r="O230" s="11" t="s">
        <v>24</v>
      </c>
    </row>
    <row r="231" spans="1:15" x14ac:dyDescent="0.25">
      <c r="A231" s="11" t="s">
        <v>15</v>
      </c>
      <c r="B231" s="11" t="str">
        <f>"FES1162749415"</f>
        <v>FES1162749415</v>
      </c>
      <c r="C231" s="11" t="s">
        <v>21</v>
      </c>
      <c r="D231" s="11">
        <v>1</v>
      </c>
      <c r="E231" s="11" t="str">
        <f>"2170736227"</f>
        <v>2170736227</v>
      </c>
      <c r="F231" s="11" t="s">
        <v>17</v>
      </c>
      <c r="G231" s="11" t="s">
        <v>18</v>
      </c>
      <c r="H231" s="11" t="s">
        <v>48</v>
      </c>
      <c r="I231" s="11" t="s">
        <v>329</v>
      </c>
      <c r="J231" s="11" t="s">
        <v>330</v>
      </c>
      <c r="K231" s="11" t="s">
        <v>112</v>
      </c>
      <c r="L231" s="11" t="s">
        <v>478</v>
      </c>
      <c r="M231" s="11" t="s">
        <v>1114</v>
      </c>
      <c r="N231" s="13" t="s">
        <v>23</v>
      </c>
      <c r="O231" s="11" t="s">
        <v>826</v>
      </c>
    </row>
    <row r="232" spans="1:15" x14ac:dyDescent="0.25">
      <c r="A232" s="11" t="s">
        <v>15</v>
      </c>
      <c r="B232" s="11" t="str">
        <f>"FES1162749416"</f>
        <v>FES1162749416</v>
      </c>
      <c r="C232" s="11" t="s">
        <v>21</v>
      </c>
      <c r="D232" s="11">
        <v>1</v>
      </c>
      <c r="E232" s="11" t="str">
        <f>"2170737560"</f>
        <v>2170737560</v>
      </c>
      <c r="F232" s="11" t="s">
        <v>17</v>
      </c>
      <c r="G232" s="11" t="s">
        <v>18</v>
      </c>
      <c r="H232" s="11" t="s">
        <v>48</v>
      </c>
      <c r="I232" s="11" t="s">
        <v>49</v>
      </c>
      <c r="J232" s="11" t="s">
        <v>331</v>
      </c>
      <c r="K232" s="11" t="s">
        <v>112</v>
      </c>
      <c r="L232" s="12">
        <v>0.47569444444444442</v>
      </c>
      <c r="M232" s="11" t="s">
        <v>482</v>
      </c>
      <c r="N232" s="13" t="s">
        <v>23</v>
      </c>
      <c r="O232" s="11" t="s">
        <v>24</v>
      </c>
    </row>
    <row r="233" spans="1:15" x14ac:dyDescent="0.25">
      <c r="A233" s="11" t="s">
        <v>15</v>
      </c>
      <c r="B233" s="11" t="str">
        <f>"FES1162749417"</f>
        <v>FES1162749417</v>
      </c>
      <c r="C233" s="11" t="s">
        <v>21</v>
      </c>
      <c r="D233" s="11">
        <v>1</v>
      </c>
      <c r="E233" s="11" t="str">
        <f>"2170738146"</f>
        <v>2170738146</v>
      </c>
      <c r="F233" s="11" t="s">
        <v>17</v>
      </c>
      <c r="G233" s="11" t="s">
        <v>18</v>
      </c>
      <c r="H233" s="11" t="s">
        <v>326</v>
      </c>
      <c r="I233" s="11" t="s">
        <v>332</v>
      </c>
      <c r="J233" s="11" t="s">
        <v>333</v>
      </c>
      <c r="K233" s="11" t="s">
        <v>112</v>
      </c>
      <c r="L233" s="12">
        <v>0.41388888888888892</v>
      </c>
      <c r="M233" s="11" t="s">
        <v>483</v>
      </c>
      <c r="N233" s="13" t="s">
        <v>23</v>
      </c>
      <c r="O233" s="11" t="s">
        <v>24</v>
      </c>
    </row>
    <row r="234" spans="1:15" x14ac:dyDescent="0.25">
      <c r="A234" s="11" t="s">
        <v>15</v>
      </c>
      <c r="B234" s="11" t="str">
        <f>"FES1162749419"</f>
        <v>FES1162749419</v>
      </c>
      <c r="C234" s="11" t="s">
        <v>21</v>
      </c>
      <c r="D234" s="11">
        <v>1</v>
      </c>
      <c r="E234" s="11" t="str">
        <f>"2170738325"</f>
        <v>2170738325</v>
      </c>
      <c r="F234" s="11" t="s">
        <v>17</v>
      </c>
      <c r="G234" s="11" t="s">
        <v>18</v>
      </c>
      <c r="H234" s="11" t="s">
        <v>48</v>
      </c>
      <c r="I234" s="11" t="s">
        <v>49</v>
      </c>
      <c r="J234" s="11" t="s">
        <v>334</v>
      </c>
      <c r="K234" s="11" t="s">
        <v>112</v>
      </c>
      <c r="L234" s="12">
        <v>0.40208333333333335</v>
      </c>
      <c r="M234" s="11" t="s">
        <v>484</v>
      </c>
      <c r="N234" s="13" t="s">
        <v>23</v>
      </c>
      <c r="O234" s="11" t="s">
        <v>24</v>
      </c>
    </row>
    <row r="235" spans="1:15" x14ac:dyDescent="0.25">
      <c r="A235" s="11" t="s">
        <v>15</v>
      </c>
      <c r="B235" s="11" t="str">
        <f>"FES1162749451"</f>
        <v>FES1162749451</v>
      </c>
      <c r="C235" s="11" t="s">
        <v>21</v>
      </c>
      <c r="D235" s="11">
        <v>1</v>
      </c>
      <c r="E235" s="11" t="str">
        <f>"2170739948"</f>
        <v>2170739948</v>
      </c>
      <c r="F235" s="11" t="s">
        <v>17</v>
      </c>
      <c r="G235" s="11" t="s">
        <v>18</v>
      </c>
      <c r="H235" s="11" t="s">
        <v>48</v>
      </c>
      <c r="I235" s="11" t="s">
        <v>49</v>
      </c>
      <c r="J235" s="11" t="s">
        <v>119</v>
      </c>
      <c r="K235" s="11" t="s">
        <v>112</v>
      </c>
      <c r="L235" s="12">
        <v>0.3972222222222222</v>
      </c>
      <c r="M235" s="11" t="s">
        <v>120</v>
      </c>
      <c r="N235" s="13" t="s">
        <v>23</v>
      </c>
      <c r="O235" s="11" t="s">
        <v>24</v>
      </c>
    </row>
    <row r="236" spans="1:15" x14ac:dyDescent="0.25">
      <c r="A236" s="4" t="s">
        <v>15</v>
      </c>
      <c r="B236" s="4" t="str">
        <f>"FES1162749437"</f>
        <v>FES1162749437</v>
      </c>
      <c r="C236" s="4" t="s">
        <v>21</v>
      </c>
      <c r="D236" s="4">
        <v>1</v>
      </c>
      <c r="E236" s="4" t="str">
        <f>"2170733644"</f>
        <v>2170733644</v>
      </c>
      <c r="F236" s="4" t="s">
        <v>17</v>
      </c>
      <c r="G236" s="4" t="s">
        <v>18</v>
      </c>
      <c r="H236" s="4" t="s">
        <v>48</v>
      </c>
      <c r="I236" s="4" t="s">
        <v>49</v>
      </c>
      <c r="J236" s="4" t="s">
        <v>335</v>
      </c>
      <c r="K236" s="4" t="s">
        <v>112</v>
      </c>
      <c r="L236" s="5">
        <v>0.33819444444444446</v>
      </c>
      <c r="M236" s="4" t="s">
        <v>336</v>
      </c>
      <c r="N236" s="6" t="s">
        <v>23</v>
      </c>
      <c r="O236" s="4" t="s">
        <v>24</v>
      </c>
    </row>
    <row r="237" spans="1:15" x14ac:dyDescent="0.25">
      <c r="A237" s="4" t="s">
        <v>15</v>
      </c>
      <c r="B237" s="4" t="str">
        <f>"FES1162749439"</f>
        <v>FES1162749439</v>
      </c>
      <c r="C237" s="4" t="s">
        <v>21</v>
      </c>
      <c r="D237" s="4">
        <v>1</v>
      </c>
      <c r="E237" s="4" t="str">
        <f>"2170733874"</f>
        <v>2170733874</v>
      </c>
      <c r="F237" s="4" t="s">
        <v>17</v>
      </c>
      <c r="G237" s="4" t="s">
        <v>18</v>
      </c>
      <c r="H237" s="4" t="s">
        <v>48</v>
      </c>
      <c r="I237" s="4" t="s">
        <v>49</v>
      </c>
      <c r="J237" s="4" t="s">
        <v>337</v>
      </c>
      <c r="K237" s="4" t="s">
        <v>112</v>
      </c>
      <c r="L237" s="5">
        <v>0.44305555555555554</v>
      </c>
      <c r="M237" s="4" t="s">
        <v>485</v>
      </c>
      <c r="N237" s="6" t="s">
        <v>23</v>
      </c>
      <c r="O237" s="4" t="s">
        <v>24</v>
      </c>
    </row>
    <row r="238" spans="1:15" x14ac:dyDescent="0.25">
      <c r="A238" s="4" t="s">
        <v>15</v>
      </c>
      <c r="B238" s="4" t="str">
        <f>"FES1162749436"</f>
        <v>FES1162749436</v>
      </c>
      <c r="C238" s="4" t="s">
        <v>21</v>
      </c>
      <c r="D238" s="4">
        <v>1</v>
      </c>
      <c r="E238" s="4" t="str">
        <f>"2170733032"</f>
        <v>2170733032</v>
      </c>
      <c r="F238" s="4" t="s">
        <v>17</v>
      </c>
      <c r="G238" s="4" t="s">
        <v>18</v>
      </c>
      <c r="H238" s="4" t="s">
        <v>48</v>
      </c>
      <c r="I238" s="4" t="s">
        <v>49</v>
      </c>
      <c r="J238" s="4" t="s">
        <v>338</v>
      </c>
      <c r="K238" s="4" t="s">
        <v>112</v>
      </c>
      <c r="L238" s="5">
        <v>0.38680555555555557</v>
      </c>
      <c r="M238" s="4" t="s">
        <v>486</v>
      </c>
      <c r="N238" s="6" t="s">
        <v>23</v>
      </c>
      <c r="O238" s="4" t="s">
        <v>24</v>
      </c>
    </row>
    <row r="239" spans="1:15" x14ac:dyDescent="0.25">
      <c r="A239" s="4" t="s">
        <v>15</v>
      </c>
      <c r="B239" s="4" t="str">
        <f>"FES1162749422"</f>
        <v>FES1162749422</v>
      </c>
      <c r="C239" s="4" t="s">
        <v>21</v>
      </c>
      <c r="D239" s="4">
        <v>1</v>
      </c>
      <c r="E239" s="4" t="str">
        <f>"2170739134"</f>
        <v>2170739134</v>
      </c>
      <c r="F239" s="4" t="s">
        <v>17</v>
      </c>
      <c r="G239" s="4" t="s">
        <v>18</v>
      </c>
      <c r="H239" s="4" t="s">
        <v>48</v>
      </c>
      <c r="I239" s="4" t="s">
        <v>49</v>
      </c>
      <c r="J239" s="4" t="s">
        <v>339</v>
      </c>
      <c r="K239" s="4" t="s">
        <v>112</v>
      </c>
      <c r="L239" s="5">
        <v>0.43541666666666662</v>
      </c>
      <c r="M239" s="4" t="s">
        <v>487</v>
      </c>
      <c r="N239" s="6" t="s">
        <v>23</v>
      </c>
      <c r="O239" s="4" t="s">
        <v>24</v>
      </c>
    </row>
    <row r="240" spans="1:15" x14ac:dyDescent="0.25">
      <c r="A240" s="4" t="s">
        <v>15</v>
      </c>
      <c r="B240" s="4" t="str">
        <f>"FES1162749420"</f>
        <v>FES1162749420</v>
      </c>
      <c r="C240" s="4" t="s">
        <v>21</v>
      </c>
      <c r="D240" s="4">
        <v>1</v>
      </c>
      <c r="E240" s="4" t="str">
        <f>"2170738899"</f>
        <v>2170738899</v>
      </c>
      <c r="F240" s="4" t="s">
        <v>17</v>
      </c>
      <c r="G240" s="4" t="s">
        <v>18</v>
      </c>
      <c r="H240" s="4" t="s">
        <v>326</v>
      </c>
      <c r="I240" s="4" t="s">
        <v>332</v>
      </c>
      <c r="J240" s="4" t="s">
        <v>333</v>
      </c>
      <c r="K240" s="4" t="s">
        <v>112</v>
      </c>
      <c r="L240" s="5">
        <v>0.4145833333333333</v>
      </c>
      <c r="M240" s="4" t="s">
        <v>483</v>
      </c>
      <c r="N240" s="6" t="s">
        <v>23</v>
      </c>
      <c r="O240" s="4" t="s">
        <v>24</v>
      </c>
    </row>
    <row r="241" spans="1:15" x14ac:dyDescent="0.25">
      <c r="A241" s="4" t="s">
        <v>15</v>
      </c>
      <c r="B241" s="4" t="str">
        <f>"FES1162749435"</f>
        <v>FES1162749435</v>
      </c>
      <c r="C241" s="4" t="s">
        <v>21</v>
      </c>
      <c r="D241" s="4">
        <v>1</v>
      </c>
      <c r="E241" s="4" t="str">
        <f>"2170732755"</f>
        <v>2170732755</v>
      </c>
      <c r="F241" s="4" t="s">
        <v>17</v>
      </c>
      <c r="G241" s="4" t="s">
        <v>18</v>
      </c>
      <c r="H241" s="4" t="s">
        <v>48</v>
      </c>
      <c r="I241" s="4" t="s">
        <v>49</v>
      </c>
      <c r="J241" s="4" t="s">
        <v>340</v>
      </c>
      <c r="K241" s="4" t="s">
        <v>112</v>
      </c>
      <c r="L241" s="5">
        <v>0.47083333333333338</v>
      </c>
      <c r="M241" s="4" t="s">
        <v>488</v>
      </c>
      <c r="N241" s="6" t="s">
        <v>23</v>
      </c>
      <c r="O241" s="4" t="s">
        <v>24</v>
      </c>
    </row>
    <row r="242" spans="1:15" x14ac:dyDescent="0.25">
      <c r="A242" s="4" t="s">
        <v>15</v>
      </c>
      <c r="B242" s="4" t="str">
        <f>"FES1162749414"</f>
        <v>FES1162749414</v>
      </c>
      <c r="C242" s="4" t="s">
        <v>21</v>
      </c>
      <c r="D242" s="4">
        <v>1</v>
      </c>
      <c r="E242" s="4" t="str">
        <f>"2170739920"</f>
        <v>2170739920</v>
      </c>
      <c r="F242" s="4" t="s">
        <v>17</v>
      </c>
      <c r="G242" s="4" t="s">
        <v>18</v>
      </c>
      <c r="H242" s="4" t="s">
        <v>48</v>
      </c>
      <c r="I242" s="4" t="s">
        <v>49</v>
      </c>
      <c r="J242" s="4" t="s">
        <v>100</v>
      </c>
      <c r="K242" s="4" t="s">
        <v>112</v>
      </c>
      <c r="L242" s="5">
        <v>0.37083333333333335</v>
      </c>
      <c r="M242" s="4" t="s">
        <v>341</v>
      </c>
      <c r="N242" s="6" t="s">
        <v>23</v>
      </c>
      <c r="O242" s="4" t="s">
        <v>24</v>
      </c>
    </row>
    <row r="243" spans="1:15" x14ac:dyDescent="0.25">
      <c r="A243" s="4" t="s">
        <v>15</v>
      </c>
      <c r="B243" s="4" t="str">
        <f>"FES1162749433"</f>
        <v>FES1162749433</v>
      </c>
      <c r="C243" s="4" t="s">
        <v>21</v>
      </c>
      <c r="D243" s="4">
        <v>1</v>
      </c>
      <c r="E243" s="4" t="str">
        <f>"2170731100"</f>
        <v>2170731100</v>
      </c>
      <c r="F243" s="4" t="s">
        <v>17</v>
      </c>
      <c r="G243" s="4" t="s">
        <v>18</v>
      </c>
      <c r="H243" s="4" t="s">
        <v>48</v>
      </c>
      <c r="I243" s="4" t="s">
        <v>49</v>
      </c>
      <c r="J243" s="4" t="s">
        <v>342</v>
      </c>
      <c r="K243" s="4" t="s">
        <v>112</v>
      </c>
      <c r="L243" s="5">
        <v>0.35902777777777778</v>
      </c>
      <c r="M243" s="4" t="s">
        <v>343</v>
      </c>
      <c r="N243" s="6" t="s">
        <v>23</v>
      </c>
      <c r="O243" s="4" t="s">
        <v>24</v>
      </c>
    </row>
    <row r="244" spans="1:15" x14ac:dyDescent="0.25">
      <c r="A244" s="4" t="s">
        <v>15</v>
      </c>
      <c r="B244" s="4" t="str">
        <f>"FES1162749444"</f>
        <v>FES1162749444</v>
      </c>
      <c r="C244" s="4" t="s">
        <v>21</v>
      </c>
      <c r="D244" s="4">
        <v>1</v>
      </c>
      <c r="E244" s="4" t="str">
        <f>"2170739930"</f>
        <v>2170739930</v>
      </c>
      <c r="F244" s="4" t="s">
        <v>17</v>
      </c>
      <c r="G244" s="4" t="s">
        <v>18</v>
      </c>
      <c r="H244" s="4" t="s">
        <v>25</v>
      </c>
      <c r="I244" s="4" t="s">
        <v>92</v>
      </c>
      <c r="J244" s="4" t="s">
        <v>344</v>
      </c>
      <c r="K244" s="4" t="s">
        <v>112</v>
      </c>
      <c r="L244" s="5">
        <v>0.34027777777777773</v>
      </c>
      <c r="M244" s="4" t="s">
        <v>345</v>
      </c>
      <c r="N244" s="6" t="s">
        <v>23</v>
      </c>
      <c r="O244" s="4" t="s">
        <v>24</v>
      </c>
    </row>
    <row r="245" spans="1:15" x14ac:dyDescent="0.25">
      <c r="A245" s="4" t="s">
        <v>15</v>
      </c>
      <c r="B245" s="4" t="str">
        <f>"FES1162749324"</f>
        <v>FES1162749324</v>
      </c>
      <c r="C245" s="4" t="s">
        <v>21</v>
      </c>
      <c r="D245" s="4">
        <v>1</v>
      </c>
      <c r="E245" s="4" t="str">
        <f>"2170739249"</f>
        <v>2170739249</v>
      </c>
      <c r="F245" s="4" t="s">
        <v>17</v>
      </c>
      <c r="G245" s="4" t="s">
        <v>18</v>
      </c>
      <c r="H245" s="4" t="s">
        <v>18</v>
      </c>
      <c r="I245" s="4" t="s">
        <v>19</v>
      </c>
      <c r="J245" s="4" t="s">
        <v>346</v>
      </c>
      <c r="K245" s="4" t="s">
        <v>112</v>
      </c>
      <c r="L245" s="5">
        <v>0.375</v>
      </c>
      <c r="M245" s="4" t="s">
        <v>489</v>
      </c>
      <c r="N245" s="6" t="s">
        <v>23</v>
      </c>
      <c r="O245" s="4" t="s">
        <v>24</v>
      </c>
    </row>
    <row r="246" spans="1:15" x14ac:dyDescent="0.25">
      <c r="A246" s="4" t="s">
        <v>15</v>
      </c>
      <c r="B246" s="4" t="str">
        <f>"FES1162749295"</f>
        <v>FES1162749295</v>
      </c>
      <c r="C246" s="4" t="s">
        <v>21</v>
      </c>
      <c r="D246" s="4">
        <v>1</v>
      </c>
      <c r="E246" s="4" t="str">
        <f>"2170738147"</f>
        <v>2170738147</v>
      </c>
      <c r="F246" s="4" t="s">
        <v>17</v>
      </c>
      <c r="G246" s="4" t="s">
        <v>18</v>
      </c>
      <c r="H246" s="4" t="s">
        <v>18</v>
      </c>
      <c r="I246" s="4" t="s">
        <v>309</v>
      </c>
      <c r="J246" s="4" t="s">
        <v>347</v>
      </c>
      <c r="K246" s="4" t="s">
        <v>112</v>
      </c>
      <c r="L246" s="5">
        <v>0.33333333333333331</v>
      </c>
      <c r="M246" s="4" t="s">
        <v>490</v>
      </c>
      <c r="N246" s="6" t="s">
        <v>23</v>
      </c>
      <c r="O246" s="4" t="s">
        <v>24</v>
      </c>
    </row>
    <row r="247" spans="1:15" x14ac:dyDescent="0.25">
      <c r="A247" s="11" t="s">
        <v>15</v>
      </c>
      <c r="B247" s="11" t="str">
        <f>"FES1162749317"</f>
        <v>FES1162749317</v>
      </c>
      <c r="C247" s="11" t="s">
        <v>21</v>
      </c>
      <c r="D247" s="11">
        <v>1</v>
      </c>
      <c r="E247" s="11" t="str">
        <f>"2170739062"</f>
        <v>2170739062</v>
      </c>
      <c r="F247" s="11" t="s">
        <v>17</v>
      </c>
      <c r="G247" s="11" t="s">
        <v>18</v>
      </c>
      <c r="H247" s="11" t="s">
        <v>18</v>
      </c>
      <c r="I247" s="11" t="s">
        <v>29</v>
      </c>
      <c r="J247" s="11" t="s">
        <v>348</v>
      </c>
      <c r="K247" s="11" t="s">
        <v>112</v>
      </c>
      <c r="L247" s="12">
        <v>0.42708333333333331</v>
      </c>
      <c r="M247" s="11" t="s">
        <v>491</v>
      </c>
      <c r="N247" s="13" t="s">
        <v>23</v>
      </c>
      <c r="O247" s="11" t="s">
        <v>24</v>
      </c>
    </row>
    <row r="248" spans="1:15" x14ac:dyDescent="0.25">
      <c r="A248" s="11" t="s">
        <v>15</v>
      </c>
      <c r="B248" s="11" t="str">
        <f>"FES1162749293"</f>
        <v>FES1162749293</v>
      </c>
      <c r="C248" s="11" t="s">
        <v>21</v>
      </c>
      <c r="D248" s="11">
        <v>1</v>
      </c>
      <c r="E248" s="11" t="str">
        <f>"2170730869"</f>
        <v>2170730869</v>
      </c>
      <c r="F248" s="11" t="s">
        <v>135</v>
      </c>
      <c r="G248" s="11" t="s">
        <v>18</v>
      </c>
      <c r="H248" s="11" t="s">
        <v>85</v>
      </c>
      <c r="I248" s="11" t="s">
        <v>86</v>
      </c>
      <c r="J248" s="11" t="s">
        <v>87</v>
      </c>
      <c r="K248" s="11" t="s">
        <v>112</v>
      </c>
      <c r="L248" s="12">
        <v>0.50347222222222221</v>
      </c>
      <c r="M248" s="11" t="s">
        <v>492</v>
      </c>
      <c r="N248" s="13" t="s">
        <v>23</v>
      </c>
      <c r="O248" s="11" t="s">
        <v>24</v>
      </c>
    </row>
    <row r="249" spans="1:15" x14ac:dyDescent="0.25">
      <c r="A249" s="11" t="s">
        <v>15</v>
      </c>
      <c r="B249" s="11" t="str">
        <f>"FES1162749345"</f>
        <v>FES1162749345</v>
      </c>
      <c r="C249" s="11" t="s">
        <v>21</v>
      </c>
      <c r="D249" s="11">
        <v>1</v>
      </c>
      <c r="E249" s="11" t="str">
        <f>"2170739588"</f>
        <v>2170739588</v>
      </c>
      <c r="F249" s="11" t="s">
        <v>17</v>
      </c>
      <c r="G249" s="11" t="s">
        <v>18</v>
      </c>
      <c r="H249" s="11" t="s">
        <v>349</v>
      </c>
      <c r="I249" s="11" t="s">
        <v>350</v>
      </c>
      <c r="J249" s="11" t="s">
        <v>351</v>
      </c>
      <c r="K249" s="11" t="s">
        <v>112</v>
      </c>
      <c r="L249" s="12">
        <v>0.50347222222222221</v>
      </c>
      <c r="M249" s="11" t="s">
        <v>1111</v>
      </c>
      <c r="N249" s="13" t="s">
        <v>23</v>
      </c>
      <c r="O249" s="11" t="s">
        <v>24</v>
      </c>
    </row>
    <row r="250" spans="1:15" x14ac:dyDescent="0.25">
      <c r="A250" s="11" t="s">
        <v>15</v>
      </c>
      <c r="B250" s="11" t="str">
        <f>"FES1162749452"</f>
        <v>FES1162749452</v>
      </c>
      <c r="C250" s="11" t="s">
        <v>21</v>
      </c>
      <c r="D250" s="11">
        <v>1</v>
      </c>
      <c r="E250" s="11" t="str">
        <f>"2170739953"</f>
        <v>2170739953</v>
      </c>
      <c r="F250" s="11" t="s">
        <v>17</v>
      </c>
      <c r="G250" s="11" t="s">
        <v>18</v>
      </c>
      <c r="H250" s="11" t="s">
        <v>18</v>
      </c>
      <c r="I250" s="11" t="s">
        <v>147</v>
      </c>
      <c r="J250" s="11" t="s">
        <v>352</v>
      </c>
      <c r="K250" s="11" t="s">
        <v>112</v>
      </c>
      <c r="L250" s="12">
        <v>0.33333333333333331</v>
      </c>
      <c r="M250" s="11" t="s">
        <v>493</v>
      </c>
      <c r="N250" s="13" t="s">
        <v>23</v>
      </c>
      <c r="O250" s="11" t="s">
        <v>24</v>
      </c>
    </row>
    <row r="251" spans="1:15" x14ac:dyDescent="0.25">
      <c r="A251" s="11" t="s">
        <v>15</v>
      </c>
      <c r="B251" s="11" t="str">
        <f>"FES1162749426"</f>
        <v>FES1162749426</v>
      </c>
      <c r="C251" s="11" t="s">
        <v>21</v>
      </c>
      <c r="D251" s="11">
        <v>1</v>
      </c>
      <c r="E251" s="11" t="str">
        <f>"2170739925"</f>
        <v>2170739925</v>
      </c>
      <c r="F251" s="11" t="s">
        <v>17</v>
      </c>
      <c r="G251" s="11" t="s">
        <v>18</v>
      </c>
      <c r="H251" s="11" t="s">
        <v>18</v>
      </c>
      <c r="I251" s="11" t="s">
        <v>183</v>
      </c>
      <c r="J251" s="11" t="s">
        <v>353</v>
      </c>
      <c r="K251" s="11" t="s">
        <v>112</v>
      </c>
      <c r="L251" s="12">
        <v>0.34722222222222227</v>
      </c>
      <c r="M251" s="11" t="s">
        <v>354</v>
      </c>
      <c r="N251" s="13" t="s">
        <v>23</v>
      </c>
      <c r="O251" s="11" t="s">
        <v>24</v>
      </c>
    </row>
    <row r="252" spans="1:15" x14ac:dyDescent="0.25">
      <c r="A252" s="4" t="s">
        <v>15</v>
      </c>
      <c r="B252" s="4" t="str">
        <f>"FES1162749339"</f>
        <v>FES1162749339</v>
      </c>
      <c r="C252" s="4" t="s">
        <v>21</v>
      </c>
      <c r="D252" s="4">
        <v>1</v>
      </c>
      <c r="E252" s="4" t="str">
        <f>"2170739527"</f>
        <v>2170739527</v>
      </c>
      <c r="F252" s="4" t="s">
        <v>17</v>
      </c>
      <c r="G252" s="4" t="s">
        <v>18</v>
      </c>
      <c r="H252" s="4" t="s">
        <v>18</v>
      </c>
      <c r="I252" s="4" t="s">
        <v>19</v>
      </c>
      <c r="J252" s="4" t="s">
        <v>355</v>
      </c>
      <c r="K252" s="4" t="s">
        <v>112</v>
      </c>
      <c r="L252" s="5">
        <v>0.375</v>
      </c>
      <c r="M252" s="4" t="s">
        <v>494</v>
      </c>
      <c r="N252" s="6" t="s">
        <v>23</v>
      </c>
      <c r="O252" s="4" t="s">
        <v>24</v>
      </c>
    </row>
    <row r="253" spans="1:15" x14ac:dyDescent="0.25">
      <c r="A253" s="4" t="s">
        <v>15</v>
      </c>
      <c r="B253" s="4" t="str">
        <f>"FES1162749361"</f>
        <v>FES1162749361</v>
      </c>
      <c r="C253" s="4" t="s">
        <v>21</v>
      </c>
      <c r="D253" s="4">
        <v>1</v>
      </c>
      <c r="E253" s="4" t="str">
        <f>"2170739831"</f>
        <v>2170739831</v>
      </c>
      <c r="F253" s="4" t="s">
        <v>17</v>
      </c>
      <c r="G253" s="4" t="s">
        <v>18</v>
      </c>
      <c r="H253" s="4" t="s">
        <v>18</v>
      </c>
      <c r="I253" s="4" t="s">
        <v>19</v>
      </c>
      <c r="J253" s="4" t="s">
        <v>355</v>
      </c>
      <c r="K253" s="4" t="s">
        <v>112</v>
      </c>
      <c r="L253" s="5">
        <v>0.375</v>
      </c>
      <c r="M253" s="4" t="s">
        <v>494</v>
      </c>
      <c r="N253" s="6" t="s">
        <v>23</v>
      </c>
      <c r="O253" s="4" t="s">
        <v>24</v>
      </c>
    </row>
    <row r="254" spans="1:15" x14ac:dyDescent="0.25">
      <c r="A254" s="11" t="s">
        <v>15</v>
      </c>
      <c r="B254" s="11" t="str">
        <f>"FES1162749327"</f>
        <v>FES1162749327</v>
      </c>
      <c r="C254" s="11" t="s">
        <v>21</v>
      </c>
      <c r="D254" s="11">
        <v>1</v>
      </c>
      <c r="E254" s="11" t="str">
        <f>"2170739369"</f>
        <v>2170739369</v>
      </c>
      <c r="F254" s="11" t="s">
        <v>17</v>
      </c>
      <c r="G254" s="11" t="s">
        <v>18</v>
      </c>
      <c r="H254" s="11" t="s">
        <v>85</v>
      </c>
      <c r="I254" s="11" t="s">
        <v>356</v>
      </c>
      <c r="J254" s="11" t="s">
        <v>357</v>
      </c>
      <c r="K254" s="11" t="s">
        <v>112</v>
      </c>
      <c r="L254" s="12">
        <v>0.5708333333333333</v>
      </c>
      <c r="M254" s="11" t="s">
        <v>495</v>
      </c>
      <c r="N254" s="13" t="s">
        <v>23</v>
      </c>
      <c r="O254" s="11" t="s">
        <v>24</v>
      </c>
    </row>
    <row r="255" spans="1:15" x14ac:dyDescent="0.25">
      <c r="A255" s="11" t="s">
        <v>15</v>
      </c>
      <c r="B255" s="11" t="str">
        <f>"FES1162749316"</f>
        <v>FES1162749316</v>
      </c>
      <c r="C255" s="11" t="s">
        <v>21</v>
      </c>
      <c r="D255" s="11">
        <v>1</v>
      </c>
      <c r="E255" s="11" t="str">
        <f>"2170739058"</f>
        <v>2170739058</v>
      </c>
      <c r="F255" s="11" t="s">
        <v>17</v>
      </c>
      <c r="G255" s="11" t="s">
        <v>18</v>
      </c>
      <c r="H255" s="11" t="s">
        <v>40</v>
      </c>
      <c r="I255" s="11" t="s">
        <v>41</v>
      </c>
      <c r="J255" s="11" t="s">
        <v>358</v>
      </c>
      <c r="K255" s="11" t="s">
        <v>112</v>
      </c>
      <c r="L255" s="12">
        <v>0.5708333333333333</v>
      </c>
      <c r="M255" s="11" t="s">
        <v>1429</v>
      </c>
      <c r="N255" s="13" t="s">
        <v>23</v>
      </c>
      <c r="O255" s="11" t="s">
        <v>24</v>
      </c>
    </row>
    <row r="256" spans="1:15" x14ac:dyDescent="0.25">
      <c r="A256" s="11" t="s">
        <v>15</v>
      </c>
      <c r="B256" s="11" t="str">
        <f>"FES1162749306"</f>
        <v>FES1162749306</v>
      </c>
      <c r="C256" s="11" t="s">
        <v>21</v>
      </c>
      <c r="D256" s="11">
        <v>1</v>
      </c>
      <c r="E256" s="11" t="str">
        <f>"217073738737"</f>
        <v>217073738737</v>
      </c>
      <c r="F256" s="11" t="s">
        <v>17</v>
      </c>
      <c r="G256" s="11" t="s">
        <v>18</v>
      </c>
      <c r="H256" s="11" t="s">
        <v>40</v>
      </c>
      <c r="I256" s="11" t="s">
        <v>41</v>
      </c>
      <c r="J256" s="11" t="s">
        <v>359</v>
      </c>
      <c r="K256" s="11" t="s">
        <v>112</v>
      </c>
      <c r="L256" s="12">
        <v>0.33333333333333331</v>
      </c>
      <c r="M256" s="11" t="s">
        <v>651</v>
      </c>
      <c r="N256" s="11" t="s">
        <v>23</v>
      </c>
      <c r="O256" s="11" t="s">
        <v>24</v>
      </c>
    </row>
    <row r="257" spans="1:15" x14ac:dyDescent="0.25">
      <c r="A257" s="11" t="s">
        <v>15</v>
      </c>
      <c r="B257" s="11" t="str">
        <f>"FES1162749311"</f>
        <v>FES1162749311</v>
      </c>
      <c r="C257" s="11" t="s">
        <v>21</v>
      </c>
      <c r="D257" s="11">
        <v>1</v>
      </c>
      <c r="E257" s="11" t="str">
        <f>"2170738945"</f>
        <v>2170738945</v>
      </c>
      <c r="F257" s="11" t="s">
        <v>17</v>
      </c>
      <c r="G257" s="11" t="s">
        <v>18</v>
      </c>
      <c r="H257" s="11" t="s">
        <v>85</v>
      </c>
      <c r="I257" s="11" t="s">
        <v>144</v>
      </c>
      <c r="J257" s="11" t="s">
        <v>360</v>
      </c>
      <c r="K257" s="11" t="s">
        <v>112</v>
      </c>
      <c r="L257" s="12">
        <v>0.42638888888888887</v>
      </c>
      <c r="M257" s="11" t="s">
        <v>496</v>
      </c>
      <c r="N257" s="13" t="s">
        <v>23</v>
      </c>
      <c r="O257" s="11" t="s">
        <v>24</v>
      </c>
    </row>
    <row r="258" spans="1:15" x14ac:dyDescent="0.25">
      <c r="A258" s="11" t="s">
        <v>15</v>
      </c>
      <c r="B258" s="11" t="str">
        <f>"FES1162749328"</f>
        <v>FES1162749328</v>
      </c>
      <c r="C258" s="11" t="s">
        <v>21</v>
      </c>
      <c r="D258" s="11">
        <v>1</v>
      </c>
      <c r="E258" s="11" t="str">
        <f>"2170739373"</f>
        <v>2170739373</v>
      </c>
      <c r="F258" s="11" t="s">
        <v>17</v>
      </c>
      <c r="G258" s="11" t="s">
        <v>18</v>
      </c>
      <c r="H258" s="11" t="s">
        <v>85</v>
      </c>
      <c r="I258" s="11" t="s">
        <v>144</v>
      </c>
      <c r="J258" s="11" t="s">
        <v>361</v>
      </c>
      <c r="K258" s="11" t="s">
        <v>112</v>
      </c>
      <c r="L258" s="12">
        <v>0.53055555555555556</v>
      </c>
      <c r="M258" s="11" t="s">
        <v>497</v>
      </c>
      <c r="N258" s="13" t="s">
        <v>23</v>
      </c>
      <c r="O258" s="11" t="s">
        <v>24</v>
      </c>
    </row>
    <row r="259" spans="1:15" x14ac:dyDescent="0.25">
      <c r="A259" s="11" t="s">
        <v>15</v>
      </c>
      <c r="B259" s="11" t="str">
        <f>"FES1162749427"</f>
        <v>FES1162749427</v>
      </c>
      <c r="C259" s="11" t="s">
        <v>21</v>
      </c>
      <c r="D259" s="11">
        <v>1</v>
      </c>
      <c r="E259" s="11" t="str">
        <f>"2170739926"</f>
        <v>2170739926</v>
      </c>
      <c r="F259" s="11" t="s">
        <v>17</v>
      </c>
      <c r="G259" s="11" t="s">
        <v>18</v>
      </c>
      <c r="H259" s="11" t="s">
        <v>85</v>
      </c>
      <c r="I259" s="11" t="s">
        <v>362</v>
      </c>
      <c r="J259" s="11" t="s">
        <v>363</v>
      </c>
      <c r="K259" s="11" t="s">
        <v>112</v>
      </c>
      <c r="L259" s="12">
        <v>0.48958333333333331</v>
      </c>
      <c r="M259" s="11" t="s">
        <v>498</v>
      </c>
      <c r="N259" s="13" t="s">
        <v>23</v>
      </c>
      <c r="O259" s="11" t="s">
        <v>24</v>
      </c>
    </row>
    <row r="260" spans="1:15" x14ac:dyDescent="0.25">
      <c r="A260" s="11" t="s">
        <v>15</v>
      </c>
      <c r="B260" s="11" t="str">
        <f>"FES1162749375"</f>
        <v>FES1162749375</v>
      </c>
      <c r="C260" s="11" t="s">
        <v>21</v>
      </c>
      <c r="D260" s="11">
        <v>1</v>
      </c>
      <c r="E260" s="11" t="str">
        <f>"2170739848"</f>
        <v>2170739848</v>
      </c>
      <c r="F260" s="11" t="s">
        <v>17</v>
      </c>
      <c r="G260" s="11" t="s">
        <v>18</v>
      </c>
      <c r="H260" s="11" t="s">
        <v>85</v>
      </c>
      <c r="I260" s="11" t="s">
        <v>144</v>
      </c>
      <c r="J260" s="11" t="s">
        <v>364</v>
      </c>
      <c r="K260" s="11" t="s">
        <v>112</v>
      </c>
      <c r="L260" s="12">
        <v>0.41666666666666669</v>
      </c>
      <c r="M260" s="11" t="s">
        <v>499</v>
      </c>
      <c r="N260" s="13" t="s">
        <v>23</v>
      </c>
      <c r="O260" s="11" t="s">
        <v>24</v>
      </c>
    </row>
    <row r="261" spans="1:15" x14ac:dyDescent="0.25">
      <c r="A261" s="11" t="s">
        <v>15</v>
      </c>
      <c r="B261" s="11" t="str">
        <f>"FES1162749309"</f>
        <v>FES1162749309</v>
      </c>
      <c r="C261" s="11" t="s">
        <v>21</v>
      </c>
      <c r="D261" s="11">
        <v>1</v>
      </c>
      <c r="E261" s="11" t="str">
        <f>"2170738881"</f>
        <v>2170738881</v>
      </c>
      <c r="F261" s="11" t="s">
        <v>17</v>
      </c>
      <c r="G261" s="11" t="s">
        <v>18</v>
      </c>
      <c r="H261" s="11" t="s">
        <v>85</v>
      </c>
      <c r="I261" s="11" t="s">
        <v>356</v>
      </c>
      <c r="J261" s="11" t="s">
        <v>357</v>
      </c>
      <c r="K261" s="11" t="s">
        <v>112</v>
      </c>
      <c r="L261" s="12">
        <v>0.5708333333333333</v>
      </c>
      <c r="M261" s="11" t="s">
        <v>495</v>
      </c>
      <c r="N261" s="13" t="s">
        <v>23</v>
      </c>
      <c r="O261" s="11" t="s">
        <v>24</v>
      </c>
    </row>
    <row r="262" spans="1:15" x14ac:dyDescent="0.25">
      <c r="A262" s="11" t="s">
        <v>15</v>
      </c>
      <c r="B262" s="11" t="str">
        <f>"FES1162749330"</f>
        <v>FES1162749330</v>
      </c>
      <c r="C262" s="11" t="s">
        <v>21</v>
      </c>
      <c r="D262" s="11">
        <v>1</v>
      </c>
      <c r="E262" s="11" t="str">
        <f>"2170739385"</f>
        <v>2170739385</v>
      </c>
      <c r="F262" s="11" t="s">
        <v>17</v>
      </c>
      <c r="G262" s="11" t="s">
        <v>18</v>
      </c>
      <c r="H262" s="11" t="s">
        <v>85</v>
      </c>
      <c r="I262" s="11" t="s">
        <v>207</v>
      </c>
      <c r="J262" s="11" t="s">
        <v>365</v>
      </c>
      <c r="K262" s="11" t="s">
        <v>112</v>
      </c>
      <c r="L262" s="12">
        <v>0.4777777777777778</v>
      </c>
      <c r="M262" s="11" t="s">
        <v>500</v>
      </c>
      <c r="N262" s="13" t="s">
        <v>23</v>
      </c>
      <c r="O262" s="11" t="s">
        <v>24</v>
      </c>
    </row>
    <row r="263" spans="1:15" x14ac:dyDescent="0.25">
      <c r="A263" s="11" t="s">
        <v>15</v>
      </c>
      <c r="B263" s="11" t="str">
        <f>"FES1162749438"</f>
        <v>FES1162749438</v>
      </c>
      <c r="C263" s="11" t="s">
        <v>21</v>
      </c>
      <c r="D263" s="11">
        <v>1</v>
      </c>
      <c r="E263" s="11" t="str">
        <f>"2170733765"</f>
        <v>2170733765</v>
      </c>
      <c r="F263" s="11" t="s">
        <v>17</v>
      </c>
      <c r="G263" s="11" t="s">
        <v>18</v>
      </c>
      <c r="H263" s="11" t="s">
        <v>48</v>
      </c>
      <c r="I263" s="11" t="s">
        <v>366</v>
      </c>
      <c r="J263" s="11" t="s">
        <v>367</v>
      </c>
      <c r="K263" s="11" t="s">
        <v>112</v>
      </c>
      <c r="L263" s="12">
        <v>0.4777777777777778</v>
      </c>
      <c r="M263" s="11" t="s">
        <v>1113</v>
      </c>
      <c r="N263" s="13" t="s">
        <v>23</v>
      </c>
      <c r="O263" s="11" t="s">
        <v>837</v>
      </c>
    </row>
    <row r="264" spans="1:15" x14ac:dyDescent="0.25">
      <c r="A264" s="11" t="s">
        <v>15</v>
      </c>
      <c r="B264" s="11" t="str">
        <f>"FES1162749434"</f>
        <v>FES1162749434</v>
      </c>
      <c r="C264" s="11" t="s">
        <v>21</v>
      </c>
      <c r="D264" s="11">
        <v>1</v>
      </c>
      <c r="E264" s="11" t="str">
        <f>"2170732047"</f>
        <v>2170732047</v>
      </c>
      <c r="F264" s="11" t="s">
        <v>17</v>
      </c>
      <c r="G264" s="11" t="s">
        <v>18</v>
      </c>
      <c r="H264" s="11" t="s">
        <v>48</v>
      </c>
      <c r="I264" s="11" t="s">
        <v>366</v>
      </c>
      <c r="J264" s="11" t="s">
        <v>367</v>
      </c>
      <c r="K264" s="11" t="s">
        <v>112</v>
      </c>
      <c r="L264" s="12">
        <v>0.4777777777777778</v>
      </c>
      <c r="M264" s="11" t="s">
        <v>1113</v>
      </c>
      <c r="N264" s="13" t="s">
        <v>23</v>
      </c>
      <c r="O264" s="11" t="s">
        <v>837</v>
      </c>
    </row>
    <row r="265" spans="1:15" x14ac:dyDescent="0.25">
      <c r="A265" s="11" t="s">
        <v>15</v>
      </c>
      <c r="B265" s="11" t="str">
        <f>"FES1162749458"</f>
        <v>FES1162749458</v>
      </c>
      <c r="C265" s="11" t="s">
        <v>21</v>
      </c>
      <c r="D265" s="11">
        <v>1</v>
      </c>
      <c r="E265" s="11" t="str">
        <f>"2170739960"</f>
        <v>2170739960</v>
      </c>
      <c r="F265" s="11" t="s">
        <v>17</v>
      </c>
      <c r="G265" s="11" t="s">
        <v>18</v>
      </c>
      <c r="H265" s="11" t="s">
        <v>25</v>
      </c>
      <c r="I265" s="11" t="s">
        <v>281</v>
      </c>
      <c r="J265" s="11" t="s">
        <v>368</v>
      </c>
      <c r="K265" s="11" t="s">
        <v>112</v>
      </c>
      <c r="L265" s="12">
        <v>0.4458333333333333</v>
      </c>
      <c r="M265" s="11" t="s">
        <v>501</v>
      </c>
      <c r="N265" s="13" t="s">
        <v>23</v>
      </c>
      <c r="O265" s="11" t="s">
        <v>24</v>
      </c>
    </row>
    <row r="266" spans="1:15" x14ac:dyDescent="0.25">
      <c r="A266" s="11" t="s">
        <v>15</v>
      </c>
      <c r="B266" s="11" t="str">
        <f>"FES1162749457"</f>
        <v>FES1162749457</v>
      </c>
      <c r="C266" s="11" t="s">
        <v>21</v>
      </c>
      <c r="D266" s="11">
        <v>1</v>
      </c>
      <c r="E266" s="11" t="str">
        <f>"2170739956"</f>
        <v>2170739956</v>
      </c>
      <c r="F266" s="11" t="s">
        <v>17</v>
      </c>
      <c r="G266" s="11" t="s">
        <v>18</v>
      </c>
      <c r="H266" s="11" t="s">
        <v>52</v>
      </c>
      <c r="I266" s="11" t="s">
        <v>53</v>
      </c>
      <c r="J266" s="11" t="s">
        <v>56</v>
      </c>
      <c r="K266" s="11" t="s">
        <v>112</v>
      </c>
      <c r="L266" s="12">
        <v>0.43541666666666662</v>
      </c>
      <c r="M266" s="11" t="s">
        <v>57</v>
      </c>
      <c r="N266" s="13" t="s">
        <v>23</v>
      </c>
      <c r="O266" s="11" t="s">
        <v>24</v>
      </c>
    </row>
    <row r="267" spans="1:15" x14ac:dyDescent="0.25">
      <c r="A267" s="11" t="s">
        <v>15</v>
      </c>
      <c r="B267" s="11" t="str">
        <f>"FES1162749356"</f>
        <v>FES1162749356</v>
      </c>
      <c r="C267" s="11" t="s">
        <v>21</v>
      </c>
      <c r="D267" s="11">
        <v>1</v>
      </c>
      <c r="E267" s="11" t="str">
        <f>"2170739821"</f>
        <v>2170739821</v>
      </c>
      <c r="F267" s="11" t="s">
        <v>135</v>
      </c>
      <c r="G267" s="11" t="s">
        <v>18</v>
      </c>
      <c r="H267" s="11" t="s">
        <v>18</v>
      </c>
      <c r="I267" s="11" t="s">
        <v>183</v>
      </c>
      <c r="J267" s="11" t="s">
        <v>369</v>
      </c>
      <c r="K267" s="11" t="s">
        <v>112</v>
      </c>
      <c r="L267" s="12">
        <v>0.43541666666666662</v>
      </c>
      <c r="M267" s="11" t="s">
        <v>836</v>
      </c>
      <c r="N267" s="13" t="s">
        <v>23</v>
      </c>
      <c r="O267" s="11" t="s">
        <v>24</v>
      </c>
    </row>
    <row r="268" spans="1:15" x14ac:dyDescent="0.25">
      <c r="A268" s="11" t="s">
        <v>15</v>
      </c>
      <c r="B268" s="11" t="str">
        <f>"FES1162749297"</f>
        <v>FES1162749297</v>
      </c>
      <c r="C268" s="11" t="s">
        <v>21</v>
      </c>
      <c r="D268" s="11">
        <v>1</v>
      </c>
      <c r="E268" s="11" t="str">
        <f>"2170738272"</f>
        <v>2170738272</v>
      </c>
      <c r="F268" s="11" t="s">
        <v>17</v>
      </c>
      <c r="G268" s="11" t="s">
        <v>18</v>
      </c>
      <c r="H268" s="11" t="s">
        <v>85</v>
      </c>
      <c r="I268" s="11" t="s">
        <v>295</v>
      </c>
      <c r="J268" s="11" t="s">
        <v>370</v>
      </c>
      <c r="K268" s="11" t="s">
        <v>112</v>
      </c>
      <c r="L268" s="12">
        <v>0.51458333333333328</v>
      </c>
      <c r="M268" s="11" t="s">
        <v>502</v>
      </c>
      <c r="N268" s="13" t="s">
        <v>23</v>
      </c>
      <c r="O268" s="11" t="s">
        <v>24</v>
      </c>
    </row>
    <row r="269" spans="1:15" x14ac:dyDescent="0.25">
      <c r="A269" s="11" t="s">
        <v>15</v>
      </c>
      <c r="B269" s="11" t="str">
        <f>"FES1162749363"</f>
        <v>FES1162749363</v>
      </c>
      <c r="C269" s="11" t="s">
        <v>21</v>
      </c>
      <c r="D269" s="11">
        <v>1</v>
      </c>
      <c r="E269" s="11" t="str">
        <f>"2170739834"</f>
        <v>2170739834</v>
      </c>
      <c r="F269" s="11" t="s">
        <v>17</v>
      </c>
      <c r="G269" s="11" t="s">
        <v>18</v>
      </c>
      <c r="H269" s="11" t="s">
        <v>85</v>
      </c>
      <c r="I269" s="11" t="s">
        <v>362</v>
      </c>
      <c r="J269" s="11" t="s">
        <v>363</v>
      </c>
      <c r="K269" s="11" t="s">
        <v>112</v>
      </c>
      <c r="L269" s="12">
        <v>0.48958333333333331</v>
      </c>
      <c r="M269" s="11" t="s">
        <v>498</v>
      </c>
      <c r="N269" s="13" t="s">
        <v>23</v>
      </c>
      <c r="O269" s="11" t="s">
        <v>24</v>
      </c>
    </row>
    <row r="270" spans="1:15" x14ac:dyDescent="0.25">
      <c r="A270" s="11" t="s">
        <v>15</v>
      </c>
      <c r="B270" s="11" t="str">
        <f>"FES1162749484"</f>
        <v>FES1162749484</v>
      </c>
      <c r="C270" s="11" t="s">
        <v>21</v>
      </c>
      <c r="D270" s="11">
        <v>1</v>
      </c>
      <c r="E270" s="11" t="str">
        <f>"2170739967"</f>
        <v>2170739967</v>
      </c>
      <c r="F270" s="11" t="s">
        <v>17</v>
      </c>
      <c r="G270" s="11" t="s">
        <v>18</v>
      </c>
      <c r="H270" s="11" t="s">
        <v>167</v>
      </c>
      <c r="I270" s="11" t="s">
        <v>168</v>
      </c>
      <c r="J270" s="11" t="s">
        <v>169</v>
      </c>
      <c r="K270" s="11" t="s">
        <v>112</v>
      </c>
      <c r="L270" s="12">
        <v>0.41666666666666669</v>
      </c>
      <c r="M270" s="11" t="s">
        <v>503</v>
      </c>
      <c r="N270" s="13" t="s">
        <v>23</v>
      </c>
      <c r="O270" s="11" t="s">
        <v>24</v>
      </c>
    </row>
    <row r="271" spans="1:15" x14ac:dyDescent="0.25">
      <c r="A271" s="11" t="s">
        <v>15</v>
      </c>
      <c r="B271" s="11" t="str">
        <f>"FES1162749331"</f>
        <v>FES1162749331</v>
      </c>
      <c r="C271" s="11" t="s">
        <v>21</v>
      </c>
      <c r="D271" s="11">
        <v>1</v>
      </c>
      <c r="E271" s="11" t="str">
        <f>"217073934"</f>
        <v>217073934</v>
      </c>
      <c r="F271" s="11" t="s">
        <v>17</v>
      </c>
      <c r="G271" s="11" t="s">
        <v>18</v>
      </c>
      <c r="H271" s="11" t="s">
        <v>85</v>
      </c>
      <c r="I271" s="11" t="s">
        <v>144</v>
      </c>
      <c r="J271" s="11" t="s">
        <v>361</v>
      </c>
      <c r="K271" s="11" t="s">
        <v>112</v>
      </c>
      <c r="L271" s="12">
        <v>0.53055555555555556</v>
      </c>
      <c r="M271" s="11" t="s">
        <v>497</v>
      </c>
      <c r="N271" s="13" t="s">
        <v>23</v>
      </c>
      <c r="O271" s="11" t="s">
        <v>24</v>
      </c>
    </row>
    <row r="272" spans="1:15" x14ac:dyDescent="0.25">
      <c r="A272" s="4" t="s">
        <v>15</v>
      </c>
      <c r="B272" s="4" t="str">
        <f>"FES1162749391"</f>
        <v>FES1162749391</v>
      </c>
      <c r="C272" s="4" t="s">
        <v>21</v>
      </c>
      <c r="D272" s="4">
        <v>1</v>
      </c>
      <c r="E272" s="4" t="str">
        <f>"2170739883"</f>
        <v>2170739883</v>
      </c>
      <c r="F272" s="4" t="s">
        <v>17</v>
      </c>
      <c r="G272" s="4" t="s">
        <v>18</v>
      </c>
      <c r="H272" s="4" t="s">
        <v>85</v>
      </c>
      <c r="I272" s="4" t="s">
        <v>152</v>
      </c>
      <c r="J272" s="4" t="s">
        <v>371</v>
      </c>
      <c r="K272" s="4" t="s">
        <v>112</v>
      </c>
      <c r="L272" s="5">
        <v>0.47013888888888888</v>
      </c>
      <c r="M272" s="4" t="s">
        <v>504</v>
      </c>
      <c r="N272" s="6" t="s">
        <v>23</v>
      </c>
      <c r="O272" s="4" t="s">
        <v>24</v>
      </c>
    </row>
    <row r="273" spans="1:15" x14ac:dyDescent="0.25">
      <c r="A273" s="4" t="s">
        <v>15</v>
      </c>
      <c r="B273" s="4" t="str">
        <f>"FES1162749368"</f>
        <v>FES1162749368</v>
      </c>
      <c r="C273" s="4" t="s">
        <v>21</v>
      </c>
      <c r="D273" s="4">
        <v>1</v>
      </c>
      <c r="E273" s="4" t="str">
        <f>"2170739847"</f>
        <v>2170739847</v>
      </c>
      <c r="F273" s="4" t="s">
        <v>17</v>
      </c>
      <c r="G273" s="4" t="s">
        <v>18</v>
      </c>
      <c r="H273" s="4" t="s">
        <v>85</v>
      </c>
      <c r="I273" s="4" t="s">
        <v>144</v>
      </c>
      <c r="J273" s="4" t="s">
        <v>372</v>
      </c>
      <c r="K273" s="4" t="s">
        <v>112</v>
      </c>
      <c r="L273" s="5">
        <v>0.49722222222222223</v>
      </c>
      <c r="M273" s="4" t="s">
        <v>505</v>
      </c>
      <c r="N273" s="6" t="s">
        <v>23</v>
      </c>
      <c r="O273" s="4" t="s">
        <v>24</v>
      </c>
    </row>
    <row r="274" spans="1:15" x14ac:dyDescent="0.25">
      <c r="A274" s="4" t="s">
        <v>15</v>
      </c>
      <c r="B274" s="4" t="str">
        <f>"FES1162749456"</f>
        <v>FES1162749456</v>
      </c>
      <c r="C274" s="4" t="s">
        <v>21</v>
      </c>
      <c r="D274" s="4">
        <v>1</v>
      </c>
      <c r="E274" s="4" t="str">
        <f>"2170739939"</f>
        <v>2170739939</v>
      </c>
      <c r="F274" s="4" t="s">
        <v>17</v>
      </c>
      <c r="G274" s="4" t="s">
        <v>18</v>
      </c>
      <c r="H274" s="4" t="s">
        <v>48</v>
      </c>
      <c r="I274" s="4" t="s">
        <v>49</v>
      </c>
      <c r="J274" s="4" t="s">
        <v>324</v>
      </c>
      <c r="K274" s="4" t="s">
        <v>112</v>
      </c>
      <c r="L274" s="5">
        <v>0.4375</v>
      </c>
      <c r="M274" s="4" t="s">
        <v>480</v>
      </c>
      <c r="N274" s="6" t="s">
        <v>23</v>
      </c>
      <c r="O274" s="4" t="s">
        <v>24</v>
      </c>
    </row>
    <row r="275" spans="1:15" x14ac:dyDescent="0.25">
      <c r="A275" s="4" t="s">
        <v>15</v>
      </c>
      <c r="B275" s="4" t="str">
        <f>"FES1162749337"</f>
        <v>FES1162749337</v>
      </c>
      <c r="C275" s="4" t="s">
        <v>21</v>
      </c>
      <c r="D275" s="4">
        <v>1</v>
      </c>
      <c r="E275" s="4" t="str">
        <f>"2170739521"</f>
        <v>2170739521</v>
      </c>
      <c r="F275" s="4" t="s">
        <v>17</v>
      </c>
      <c r="G275" s="4" t="s">
        <v>18</v>
      </c>
      <c r="H275" s="4" t="s">
        <v>18</v>
      </c>
      <c r="I275" s="4" t="s">
        <v>89</v>
      </c>
      <c r="J275" s="4" t="s">
        <v>373</v>
      </c>
      <c r="K275" s="4" t="s">
        <v>112</v>
      </c>
      <c r="L275" s="5">
        <v>0.375</v>
      </c>
      <c r="M275" s="4" t="s">
        <v>506</v>
      </c>
      <c r="N275" s="6" t="s">
        <v>23</v>
      </c>
      <c r="O275" s="4" t="s">
        <v>24</v>
      </c>
    </row>
    <row r="276" spans="1:15" x14ac:dyDescent="0.25">
      <c r="A276" s="4" t="s">
        <v>15</v>
      </c>
      <c r="B276" s="4" t="str">
        <f>"FES1162749454"</f>
        <v>FES1162749454</v>
      </c>
      <c r="C276" s="4" t="s">
        <v>21</v>
      </c>
      <c r="D276" s="4">
        <v>1</v>
      </c>
      <c r="E276" s="4" t="str">
        <f>"2170739510"</f>
        <v>2170739510</v>
      </c>
      <c r="F276" s="4" t="s">
        <v>17</v>
      </c>
      <c r="G276" s="4" t="s">
        <v>18</v>
      </c>
      <c r="H276" s="4" t="s">
        <v>48</v>
      </c>
      <c r="I276" s="4" t="s">
        <v>49</v>
      </c>
      <c r="J276" s="4" t="s">
        <v>374</v>
      </c>
      <c r="K276" s="4" t="s">
        <v>112</v>
      </c>
      <c r="L276" s="5">
        <v>0.41666666666666669</v>
      </c>
      <c r="M276" s="4" t="s">
        <v>507</v>
      </c>
      <c r="N276" s="6" t="s">
        <v>23</v>
      </c>
      <c r="O276" s="4" t="s">
        <v>24</v>
      </c>
    </row>
    <row r="277" spans="1:15" x14ac:dyDescent="0.25">
      <c r="A277" s="4" t="s">
        <v>15</v>
      </c>
      <c r="B277" s="4" t="str">
        <f>"FES1162749390"</f>
        <v>FES1162749390</v>
      </c>
      <c r="C277" s="4" t="s">
        <v>21</v>
      </c>
      <c r="D277" s="4">
        <v>1</v>
      </c>
      <c r="E277" s="4" t="str">
        <f>"2170739881"</f>
        <v>2170739881</v>
      </c>
      <c r="F277" s="4" t="s">
        <v>17</v>
      </c>
      <c r="G277" s="4" t="s">
        <v>18</v>
      </c>
      <c r="H277" s="4" t="s">
        <v>18</v>
      </c>
      <c r="I277" s="4" t="s">
        <v>89</v>
      </c>
      <c r="J277" s="4" t="s">
        <v>373</v>
      </c>
      <c r="K277" s="4" t="s">
        <v>112</v>
      </c>
      <c r="L277" s="5">
        <v>0.375</v>
      </c>
      <c r="M277" s="4" t="s">
        <v>508</v>
      </c>
      <c r="N277" s="6" t="s">
        <v>23</v>
      </c>
      <c r="O277" s="4" t="s">
        <v>24</v>
      </c>
    </row>
    <row r="278" spans="1:15" x14ac:dyDescent="0.25">
      <c r="A278" s="4" t="s">
        <v>15</v>
      </c>
      <c r="B278" s="4" t="str">
        <f>"FES1162749421"</f>
        <v>FES1162749421</v>
      </c>
      <c r="C278" s="4" t="s">
        <v>21</v>
      </c>
      <c r="D278" s="4">
        <v>1</v>
      </c>
      <c r="E278" s="4" t="str">
        <f>"2170739123"</f>
        <v>2170739123</v>
      </c>
      <c r="F278" s="4" t="s">
        <v>17</v>
      </c>
      <c r="G278" s="4" t="s">
        <v>18</v>
      </c>
      <c r="H278" s="4" t="s">
        <v>18</v>
      </c>
      <c r="I278" s="4" t="s">
        <v>126</v>
      </c>
      <c r="J278" s="4" t="s">
        <v>375</v>
      </c>
      <c r="K278" s="4" t="s">
        <v>112</v>
      </c>
      <c r="L278" s="5">
        <v>0.375</v>
      </c>
      <c r="M278" s="4" t="s">
        <v>652</v>
      </c>
      <c r="N278" s="6" t="s">
        <v>23</v>
      </c>
      <c r="O278" s="4" t="s">
        <v>24</v>
      </c>
    </row>
    <row r="279" spans="1:15" x14ac:dyDescent="0.25">
      <c r="A279" s="4" t="s">
        <v>15</v>
      </c>
      <c r="B279" s="4" t="str">
        <f>"FES1162749460"</f>
        <v>FES1162749460</v>
      </c>
      <c r="C279" s="4" t="s">
        <v>21</v>
      </c>
      <c r="D279" s="4">
        <v>1</v>
      </c>
      <c r="E279" s="4" t="str">
        <f>"2170739962"</f>
        <v>2170739962</v>
      </c>
      <c r="F279" s="4" t="s">
        <v>17</v>
      </c>
      <c r="G279" s="4" t="s">
        <v>18</v>
      </c>
      <c r="H279" s="4" t="s">
        <v>25</v>
      </c>
      <c r="I279" s="4" t="s">
        <v>281</v>
      </c>
      <c r="J279" s="4" t="s">
        <v>368</v>
      </c>
      <c r="K279" s="4" t="s">
        <v>112</v>
      </c>
      <c r="L279" s="5">
        <v>0.4375</v>
      </c>
      <c r="M279" s="4" t="s">
        <v>501</v>
      </c>
      <c r="N279" s="6" t="s">
        <v>23</v>
      </c>
      <c r="O279" s="4" t="s">
        <v>24</v>
      </c>
    </row>
    <row r="280" spans="1:15" x14ac:dyDescent="0.25">
      <c r="A280" s="4" t="s">
        <v>15</v>
      </c>
      <c r="B280" s="4" t="str">
        <f>"FES1162749459"</f>
        <v>FES1162749459</v>
      </c>
      <c r="C280" s="4" t="s">
        <v>21</v>
      </c>
      <c r="D280" s="4">
        <v>1</v>
      </c>
      <c r="E280" s="4" t="str">
        <f>"2170739961"</f>
        <v>2170739961</v>
      </c>
      <c r="F280" s="4" t="s">
        <v>17</v>
      </c>
      <c r="G280" s="4" t="s">
        <v>18</v>
      </c>
      <c r="H280" s="4" t="s">
        <v>48</v>
      </c>
      <c r="I280" s="4" t="s">
        <v>49</v>
      </c>
      <c r="J280" s="4" t="s">
        <v>376</v>
      </c>
      <c r="K280" s="4" t="s">
        <v>112</v>
      </c>
      <c r="L280" s="5">
        <v>0.42430555555555555</v>
      </c>
      <c r="M280" s="4" t="s">
        <v>509</v>
      </c>
      <c r="N280" s="6" t="s">
        <v>23</v>
      </c>
      <c r="O280" s="4" t="s">
        <v>24</v>
      </c>
    </row>
    <row r="281" spans="1:15" x14ac:dyDescent="0.25">
      <c r="A281" s="4" t="s">
        <v>15</v>
      </c>
      <c r="B281" s="4" t="str">
        <f>"FES1162749482"</f>
        <v>FES1162749482</v>
      </c>
      <c r="C281" s="4" t="s">
        <v>21</v>
      </c>
      <c r="D281" s="4">
        <v>1</v>
      </c>
      <c r="E281" s="4" t="str">
        <f>"2170739952"</f>
        <v>2170739952</v>
      </c>
      <c r="F281" s="4" t="s">
        <v>17</v>
      </c>
      <c r="G281" s="4" t="s">
        <v>18</v>
      </c>
      <c r="H281" s="4" t="s">
        <v>48</v>
      </c>
      <c r="I281" s="4" t="s">
        <v>49</v>
      </c>
      <c r="J281" s="4" t="s">
        <v>322</v>
      </c>
      <c r="K281" s="4" t="s">
        <v>112</v>
      </c>
      <c r="L281" s="5">
        <v>0.3430555555555555</v>
      </c>
      <c r="M281" s="4" t="s">
        <v>323</v>
      </c>
      <c r="N281" s="6" t="s">
        <v>23</v>
      </c>
      <c r="O281" s="4" t="s">
        <v>24</v>
      </c>
    </row>
    <row r="282" spans="1:15" x14ac:dyDescent="0.25">
      <c r="A282" s="4" t="s">
        <v>15</v>
      </c>
      <c r="B282" s="4" t="str">
        <f>"FES1162749344"</f>
        <v>FES1162749344</v>
      </c>
      <c r="C282" s="4" t="s">
        <v>21</v>
      </c>
      <c r="D282" s="4">
        <v>1</v>
      </c>
      <c r="E282" s="4" t="str">
        <f>"217073583"</f>
        <v>217073583</v>
      </c>
      <c r="F282" s="4" t="s">
        <v>17</v>
      </c>
      <c r="G282" s="4" t="s">
        <v>18</v>
      </c>
      <c r="H282" s="4" t="s">
        <v>85</v>
      </c>
      <c r="I282" s="4" t="s">
        <v>207</v>
      </c>
      <c r="J282" s="4" t="s">
        <v>377</v>
      </c>
      <c r="K282" s="4" t="s">
        <v>112</v>
      </c>
      <c r="L282" s="5">
        <v>0.51111111111111118</v>
      </c>
      <c r="M282" s="4" t="s">
        <v>510</v>
      </c>
      <c r="N282" s="6" t="s">
        <v>23</v>
      </c>
      <c r="O282" s="4" t="s">
        <v>24</v>
      </c>
    </row>
    <row r="283" spans="1:15" x14ac:dyDescent="0.25">
      <c r="A283" s="4" t="s">
        <v>15</v>
      </c>
      <c r="B283" s="4" t="str">
        <f>"FES1162749483"</f>
        <v>FES1162749483</v>
      </c>
      <c r="C283" s="4" t="s">
        <v>21</v>
      </c>
      <c r="D283" s="4">
        <v>1</v>
      </c>
      <c r="E283" s="4" t="str">
        <f>"2170739965"</f>
        <v>2170739965</v>
      </c>
      <c r="F283" s="4" t="s">
        <v>17</v>
      </c>
      <c r="G283" s="4" t="s">
        <v>18</v>
      </c>
      <c r="H283" s="4" t="s">
        <v>32</v>
      </c>
      <c r="I283" s="4" t="s">
        <v>33</v>
      </c>
      <c r="J283" s="4" t="s">
        <v>378</v>
      </c>
      <c r="K283" s="4" t="s">
        <v>112</v>
      </c>
      <c r="L283" s="5">
        <v>0.54166666666666663</v>
      </c>
      <c r="M283" s="4" t="s">
        <v>511</v>
      </c>
      <c r="N283" s="6" t="s">
        <v>23</v>
      </c>
      <c r="O283" s="4" t="s">
        <v>24</v>
      </c>
    </row>
    <row r="284" spans="1:15" x14ac:dyDescent="0.25">
      <c r="A284" s="4" t="s">
        <v>15</v>
      </c>
      <c r="B284" s="4" t="str">
        <f>"FES1162749425"</f>
        <v>FES1162749425</v>
      </c>
      <c r="C284" s="4" t="s">
        <v>21</v>
      </c>
      <c r="D284" s="4">
        <v>1</v>
      </c>
      <c r="E284" s="4" t="str">
        <f>"2170739923"</f>
        <v>2170739923</v>
      </c>
      <c r="F284" s="4" t="s">
        <v>17</v>
      </c>
      <c r="G284" s="4" t="s">
        <v>18</v>
      </c>
      <c r="H284" s="4" t="s">
        <v>18</v>
      </c>
      <c r="I284" s="4" t="s">
        <v>68</v>
      </c>
      <c r="J284" s="4" t="s">
        <v>379</v>
      </c>
      <c r="K284" s="4" t="s">
        <v>112</v>
      </c>
      <c r="L284" s="5">
        <v>0.33333333333333331</v>
      </c>
      <c r="M284" s="4" t="s">
        <v>128</v>
      </c>
      <c r="N284" s="6" t="s">
        <v>23</v>
      </c>
      <c r="O284" s="4" t="s">
        <v>24</v>
      </c>
    </row>
    <row r="285" spans="1:15" x14ac:dyDescent="0.25">
      <c r="A285" s="4" t="s">
        <v>15</v>
      </c>
      <c r="B285" s="4" t="str">
        <f>"FES1162749487"</f>
        <v>FES1162749487</v>
      </c>
      <c r="C285" s="4" t="s">
        <v>21</v>
      </c>
      <c r="D285" s="4">
        <v>1</v>
      </c>
      <c r="E285" s="4" t="str">
        <f>"2170733238"</f>
        <v>2170733238</v>
      </c>
      <c r="F285" s="4" t="s">
        <v>17</v>
      </c>
      <c r="G285" s="4" t="s">
        <v>18</v>
      </c>
      <c r="H285" s="4" t="s">
        <v>18</v>
      </c>
      <c r="I285" s="4" t="s">
        <v>309</v>
      </c>
      <c r="J285" s="4" t="s">
        <v>380</v>
      </c>
      <c r="K285" s="4" t="s">
        <v>112</v>
      </c>
      <c r="L285" s="5">
        <v>0.43472222222222223</v>
      </c>
      <c r="M285" s="4" t="s">
        <v>512</v>
      </c>
      <c r="N285" s="6" t="s">
        <v>23</v>
      </c>
      <c r="O285" s="4" t="s">
        <v>24</v>
      </c>
    </row>
    <row r="286" spans="1:15" x14ac:dyDescent="0.25">
      <c r="A286" s="4" t="s">
        <v>15</v>
      </c>
      <c r="B286" s="4" t="str">
        <f>"FES1162749494"</f>
        <v>FES1162749494</v>
      </c>
      <c r="C286" s="4" t="s">
        <v>21</v>
      </c>
      <c r="D286" s="4">
        <v>1</v>
      </c>
      <c r="E286" s="4" t="str">
        <f>"2170739982"</f>
        <v>2170739982</v>
      </c>
      <c r="F286" s="4" t="s">
        <v>17</v>
      </c>
      <c r="G286" s="4" t="s">
        <v>18</v>
      </c>
      <c r="H286" s="4" t="s">
        <v>18</v>
      </c>
      <c r="I286" s="4" t="s">
        <v>292</v>
      </c>
      <c r="J286" s="4" t="s">
        <v>293</v>
      </c>
      <c r="K286" s="4" t="s">
        <v>112</v>
      </c>
      <c r="L286" s="5">
        <v>0.41666666666666669</v>
      </c>
      <c r="M286" s="4" t="s">
        <v>454</v>
      </c>
      <c r="N286" s="6" t="s">
        <v>23</v>
      </c>
      <c r="O286" s="4" t="s">
        <v>24</v>
      </c>
    </row>
    <row r="287" spans="1:15" x14ac:dyDescent="0.25">
      <c r="A287" s="11" t="s">
        <v>15</v>
      </c>
      <c r="B287" s="11" t="str">
        <f>"FES1162749358"</f>
        <v>FES1162749358</v>
      </c>
      <c r="C287" s="11" t="s">
        <v>21</v>
      </c>
      <c r="D287" s="11">
        <v>1</v>
      </c>
      <c r="E287" s="11" t="str">
        <f>"2170739826"</f>
        <v>2170739826</v>
      </c>
      <c r="F287" s="11" t="s">
        <v>17</v>
      </c>
      <c r="G287" s="11" t="s">
        <v>18</v>
      </c>
      <c r="H287" s="11" t="s">
        <v>18</v>
      </c>
      <c r="I287" s="11" t="s">
        <v>19</v>
      </c>
      <c r="J287" s="11" t="s">
        <v>381</v>
      </c>
      <c r="K287" s="11" t="s">
        <v>112</v>
      </c>
      <c r="L287" s="12">
        <v>0.40486111111111112</v>
      </c>
      <c r="M287" s="11" t="s">
        <v>513</v>
      </c>
      <c r="N287" s="13" t="s">
        <v>23</v>
      </c>
      <c r="O287" s="11" t="s">
        <v>24</v>
      </c>
    </row>
    <row r="288" spans="1:15" x14ac:dyDescent="0.25">
      <c r="A288" s="11" t="s">
        <v>15</v>
      </c>
      <c r="B288" s="11" t="str">
        <f>"FES1162749359"</f>
        <v>FES1162749359</v>
      </c>
      <c r="C288" s="11" t="s">
        <v>21</v>
      </c>
      <c r="D288" s="11">
        <v>1</v>
      </c>
      <c r="E288" s="11" t="str">
        <f>"217079329"</f>
        <v>217079329</v>
      </c>
      <c r="F288" s="11" t="s">
        <v>17</v>
      </c>
      <c r="G288" s="11" t="s">
        <v>18</v>
      </c>
      <c r="H288" s="11" t="s">
        <v>18</v>
      </c>
      <c r="I288" s="11" t="s">
        <v>19</v>
      </c>
      <c r="J288" s="11" t="s">
        <v>355</v>
      </c>
      <c r="K288" s="11" t="s">
        <v>112</v>
      </c>
      <c r="L288" s="12">
        <v>0.375</v>
      </c>
      <c r="M288" s="11" t="s">
        <v>494</v>
      </c>
      <c r="N288" s="13" t="s">
        <v>23</v>
      </c>
      <c r="O288" s="11" t="s">
        <v>24</v>
      </c>
    </row>
    <row r="289" spans="1:15" x14ac:dyDescent="0.25">
      <c r="A289" s="11" t="s">
        <v>15</v>
      </c>
      <c r="B289" s="11" t="str">
        <f>"FES1162749488"</f>
        <v>FES1162749488</v>
      </c>
      <c r="C289" s="11" t="s">
        <v>21</v>
      </c>
      <c r="D289" s="11">
        <v>1</v>
      </c>
      <c r="E289" s="11" t="str">
        <f>"2170734385"</f>
        <v>2170734385</v>
      </c>
      <c r="F289" s="11" t="s">
        <v>17</v>
      </c>
      <c r="G289" s="11" t="s">
        <v>18</v>
      </c>
      <c r="H289" s="11" t="s">
        <v>18</v>
      </c>
      <c r="I289" s="11" t="s">
        <v>382</v>
      </c>
      <c r="J289" s="11" t="s">
        <v>383</v>
      </c>
      <c r="K289" s="11" t="s">
        <v>112</v>
      </c>
      <c r="L289" s="12">
        <v>0.375</v>
      </c>
      <c r="M289" s="11" t="s">
        <v>835</v>
      </c>
      <c r="N289" s="13" t="s">
        <v>23</v>
      </c>
      <c r="O289" s="11" t="s">
        <v>24</v>
      </c>
    </row>
    <row r="290" spans="1:15" x14ac:dyDescent="0.25">
      <c r="A290" s="11" t="s">
        <v>15</v>
      </c>
      <c r="B290" s="11" t="str">
        <f>"FES1162749493"</f>
        <v>FES1162749493</v>
      </c>
      <c r="C290" s="11" t="s">
        <v>21</v>
      </c>
      <c r="D290" s="11">
        <v>1</v>
      </c>
      <c r="E290" s="11" t="str">
        <f>"21707373682"</f>
        <v>21707373682</v>
      </c>
      <c r="F290" s="11" t="s">
        <v>17</v>
      </c>
      <c r="G290" s="11" t="s">
        <v>18</v>
      </c>
      <c r="H290" s="11" t="s">
        <v>18</v>
      </c>
      <c r="I290" s="11" t="s">
        <v>147</v>
      </c>
      <c r="J290" s="11" t="s">
        <v>384</v>
      </c>
      <c r="K290" s="11" t="s">
        <v>112</v>
      </c>
      <c r="L290" s="12">
        <v>0.33611111111111108</v>
      </c>
      <c r="M290" s="11" t="s">
        <v>385</v>
      </c>
      <c r="N290" s="13" t="s">
        <v>23</v>
      </c>
      <c r="O290" s="11" t="s">
        <v>24</v>
      </c>
    </row>
    <row r="291" spans="1:15" x14ac:dyDescent="0.25">
      <c r="A291" s="11" t="s">
        <v>15</v>
      </c>
      <c r="B291" s="11" t="str">
        <f>"FES1162749490"</f>
        <v>FES1162749490</v>
      </c>
      <c r="C291" s="11" t="s">
        <v>21</v>
      </c>
      <c r="D291" s="11">
        <v>1</v>
      </c>
      <c r="E291" s="11" t="str">
        <f>"2170734730"</f>
        <v>2170734730</v>
      </c>
      <c r="F291" s="11" t="s">
        <v>17</v>
      </c>
      <c r="G291" s="11" t="s">
        <v>18</v>
      </c>
      <c r="H291" s="11" t="s">
        <v>18</v>
      </c>
      <c r="I291" s="11" t="s">
        <v>382</v>
      </c>
      <c r="J291" s="11" t="s">
        <v>386</v>
      </c>
      <c r="K291" s="11" t="s">
        <v>112</v>
      </c>
      <c r="L291" s="12">
        <v>0.43055555555555558</v>
      </c>
      <c r="M291" s="11" t="s">
        <v>514</v>
      </c>
      <c r="N291" s="13" t="s">
        <v>23</v>
      </c>
      <c r="O291" s="11" t="s">
        <v>24</v>
      </c>
    </row>
    <row r="292" spans="1:15" x14ac:dyDescent="0.25">
      <c r="A292" s="11" t="s">
        <v>15</v>
      </c>
      <c r="B292" s="11" t="str">
        <f>"FES1162749428"</f>
        <v>FES1162749428</v>
      </c>
      <c r="C292" s="11" t="s">
        <v>21</v>
      </c>
      <c r="D292" s="11">
        <v>1</v>
      </c>
      <c r="E292" s="11" t="str">
        <f>"2170739927"</f>
        <v>2170739927</v>
      </c>
      <c r="F292" s="11" t="s">
        <v>17</v>
      </c>
      <c r="G292" s="11" t="s">
        <v>18</v>
      </c>
      <c r="H292" s="11" t="s">
        <v>18</v>
      </c>
      <c r="I292" s="11" t="s">
        <v>89</v>
      </c>
      <c r="J292" s="11" t="s">
        <v>373</v>
      </c>
      <c r="K292" s="11" t="s">
        <v>112</v>
      </c>
      <c r="L292" s="12">
        <v>0.375</v>
      </c>
      <c r="M292" s="11" t="s">
        <v>508</v>
      </c>
      <c r="N292" s="13" t="s">
        <v>23</v>
      </c>
      <c r="O292" s="11" t="s">
        <v>24</v>
      </c>
    </row>
    <row r="293" spans="1:15" x14ac:dyDescent="0.25">
      <c r="A293" s="11" t="s">
        <v>15</v>
      </c>
      <c r="B293" s="11" t="str">
        <f>"FES1162749413"</f>
        <v>FES1162749413</v>
      </c>
      <c r="C293" s="11" t="s">
        <v>21</v>
      </c>
      <c r="D293" s="11">
        <v>1</v>
      </c>
      <c r="E293" s="11" t="str">
        <f>"2170739918"</f>
        <v>2170739918</v>
      </c>
      <c r="F293" s="11" t="s">
        <v>17</v>
      </c>
      <c r="G293" s="11" t="s">
        <v>18</v>
      </c>
      <c r="H293" s="11" t="s">
        <v>18</v>
      </c>
      <c r="I293" s="11" t="s">
        <v>121</v>
      </c>
      <c r="J293" s="11" t="s">
        <v>387</v>
      </c>
      <c r="K293" s="11" t="s">
        <v>112</v>
      </c>
      <c r="L293" s="12">
        <v>0.4236111111111111</v>
      </c>
      <c r="M293" s="11" t="s">
        <v>515</v>
      </c>
      <c r="N293" s="13" t="s">
        <v>23</v>
      </c>
      <c r="O293" s="11" t="s">
        <v>24</v>
      </c>
    </row>
    <row r="294" spans="1:15" x14ac:dyDescent="0.25">
      <c r="A294" s="11" t="s">
        <v>15</v>
      </c>
      <c r="B294" s="11" t="str">
        <f>"FES1162749518"</f>
        <v>FES1162749518</v>
      </c>
      <c r="C294" s="11" t="s">
        <v>21</v>
      </c>
      <c r="D294" s="11">
        <v>1</v>
      </c>
      <c r="E294" s="11" t="str">
        <f>"21707399997"</f>
        <v>21707399997</v>
      </c>
      <c r="F294" s="11" t="s">
        <v>17</v>
      </c>
      <c r="G294" s="11" t="s">
        <v>18</v>
      </c>
      <c r="H294" s="11" t="s">
        <v>32</v>
      </c>
      <c r="I294" s="11" t="s">
        <v>33</v>
      </c>
      <c r="J294" s="11" t="s">
        <v>388</v>
      </c>
      <c r="K294" s="11" t="s">
        <v>112</v>
      </c>
      <c r="L294" s="12">
        <v>0.40902777777777777</v>
      </c>
      <c r="M294" s="11" t="s">
        <v>516</v>
      </c>
      <c r="N294" s="13" t="s">
        <v>23</v>
      </c>
      <c r="O294" s="11" t="s">
        <v>24</v>
      </c>
    </row>
    <row r="295" spans="1:15" x14ac:dyDescent="0.25">
      <c r="A295" s="11" t="s">
        <v>15</v>
      </c>
      <c r="B295" s="11" t="str">
        <f>"FES1162749465"</f>
        <v>FES1162749465</v>
      </c>
      <c r="C295" s="11" t="s">
        <v>21</v>
      </c>
      <c r="D295" s="11">
        <v>1</v>
      </c>
      <c r="E295" s="11" t="str">
        <f>"2170739968"</f>
        <v>2170739968</v>
      </c>
      <c r="F295" s="11" t="s">
        <v>17</v>
      </c>
      <c r="G295" s="11" t="s">
        <v>18</v>
      </c>
      <c r="H295" s="11" t="s">
        <v>32</v>
      </c>
      <c r="I295" s="11" t="s">
        <v>33</v>
      </c>
      <c r="J295" s="11" t="s">
        <v>272</v>
      </c>
      <c r="K295" s="11" t="s">
        <v>112</v>
      </c>
      <c r="L295" s="12">
        <v>0.38541666666666669</v>
      </c>
      <c r="M295" s="11" t="s">
        <v>481</v>
      </c>
      <c r="N295" s="13" t="s">
        <v>23</v>
      </c>
      <c r="O295" s="11" t="s">
        <v>24</v>
      </c>
    </row>
    <row r="296" spans="1:15" x14ac:dyDescent="0.25">
      <c r="A296" s="4" t="s">
        <v>15</v>
      </c>
      <c r="B296" s="4" t="str">
        <f>"FES1162749481"</f>
        <v>FES1162749481</v>
      </c>
      <c r="C296" s="4" t="s">
        <v>21</v>
      </c>
      <c r="D296" s="4">
        <v>1</v>
      </c>
      <c r="E296" s="4" t="str">
        <f>"2170739093"</f>
        <v>2170739093</v>
      </c>
      <c r="F296" s="4" t="s">
        <v>17</v>
      </c>
      <c r="G296" s="4" t="s">
        <v>18</v>
      </c>
      <c r="H296" s="4" t="s">
        <v>18</v>
      </c>
      <c r="I296" s="4" t="s">
        <v>29</v>
      </c>
      <c r="J296" s="4" t="s">
        <v>389</v>
      </c>
      <c r="K296" s="4" t="s">
        <v>112</v>
      </c>
      <c r="L296" s="5">
        <v>0.33333333333333331</v>
      </c>
      <c r="M296" s="4" t="s">
        <v>517</v>
      </c>
      <c r="N296" s="6" t="s">
        <v>23</v>
      </c>
      <c r="O296" s="4" t="s">
        <v>24</v>
      </c>
    </row>
    <row r="297" spans="1:15" x14ac:dyDescent="0.25">
      <c r="A297" s="4" t="s">
        <v>15</v>
      </c>
      <c r="B297" s="4" t="str">
        <f>"FES1162749491"</f>
        <v>FES1162749491</v>
      </c>
      <c r="C297" s="4" t="s">
        <v>21</v>
      </c>
      <c r="D297" s="4">
        <v>1</v>
      </c>
      <c r="E297" s="4" t="str">
        <f>"2170734962"</f>
        <v>2170734962</v>
      </c>
      <c r="F297" s="4" t="s">
        <v>17</v>
      </c>
      <c r="G297" s="4" t="s">
        <v>18</v>
      </c>
      <c r="H297" s="4" t="s">
        <v>48</v>
      </c>
      <c r="I297" s="4" t="s">
        <v>390</v>
      </c>
      <c r="J297" s="4" t="s">
        <v>391</v>
      </c>
      <c r="K297" s="4" t="s">
        <v>112</v>
      </c>
      <c r="L297" s="5">
        <v>0.56458333333333333</v>
      </c>
      <c r="M297" s="4" t="s">
        <v>518</v>
      </c>
      <c r="N297" s="6" t="s">
        <v>23</v>
      </c>
      <c r="O297" s="4" t="s">
        <v>24</v>
      </c>
    </row>
    <row r="298" spans="1:15" x14ac:dyDescent="0.25">
      <c r="A298" s="4" t="s">
        <v>15</v>
      </c>
      <c r="B298" s="4" t="str">
        <f>"FES1162749479"</f>
        <v>FES1162749479</v>
      </c>
      <c r="C298" s="4" t="s">
        <v>21</v>
      </c>
      <c r="D298" s="4">
        <v>1</v>
      </c>
      <c r="E298" s="4" t="str">
        <f>"2170739201"</f>
        <v>2170739201</v>
      </c>
      <c r="F298" s="4" t="s">
        <v>17</v>
      </c>
      <c r="G298" s="4" t="s">
        <v>18</v>
      </c>
      <c r="H298" s="4" t="s">
        <v>18</v>
      </c>
      <c r="I298" s="4" t="s">
        <v>29</v>
      </c>
      <c r="J298" s="4" t="s">
        <v>389</v>
      </c>
      <c r="K298" s="4" t="s">
        <v>112</v>
      </c>
      <c r="L298" s="5">
        <v>0.33333333333333331</v>
      </c>
      <c r="M298" s="4" t="s">
        <v>517</v>
      </c>
      <c r="N298" s="6" t="s">
        <v>23</v>
      </c>
      <c r="O298" s="4" t="s">
        <v>24</v>
      </c>
    </row>
    <row r="299" spans="1:15" x14ac:dyDescent="0.25">
      <c r="A299" s="4" t="s">
        <v>15</v>
      </c>
      <c r="B299" s="4" t="str">
        <f>"FES1162749471"</f>
        <v>FES1162749471</v>
      </c>
      <c r="C299" s="4" t="s">
        <v>21</v>
      </c>
      <c r="D299" s="4">
        <v>1</v>
      </c>
      <c r="E299" s="4" t="str">
        <f>"2170739196"</f>
        <v>2170739196</v>
      </c>
      <c r="F299" s="4" t="s">
        <v>17</v>
      </c>
      <c r="G299" s="4" t="s">
        <v>18</v>
      </c>
      <c r="H299" s="4" t="s">
        <v>18</v>
      </c>
      <c r="I299" s="4" t="s">
        <v>29</v>
      </c>
      <c r="J299" s="4" t="s">
        <v>389</v>
      </c>
      <c r="K299" s="4" t="s">
        <v>112</v>
      </c>
      <c r="L299" s="5">
        <v>0.33333333333333331</v>
      </c>
      <c r="M299" s="4" t="s">
        <v>517</v>
      </c>
      <c r="N299" s="6" t="s">
        <v>23</v>
      </c>
      <c r="O299" s="4" t="s">
        <v>24</v>
      </c>
    </row>
    <row r="300" spans="1:15" x14ac:dyDescent="0.25">
      <c r="A300" s="4" t="s">
        <v>15</v>
      </c>
      <c r="B300" s="4" t="str">
        <f>"FES1162749489"</f>
        <v>FES1162749489</v>
      </c>
      <c r="C300" s="4" t="s">
        <v>21</v>
      </c>
      <c r="D300" s="4">
        <v>1</v>
      </c>
      <c r="E300" s="4" t="str">
        <f>"2170734415"</f>
        <v>2170734415</v>
      </c>
      <c r="F300" s="4" t="s">
        <v>17</v>
      </c>
      <c r="G300" s="4" t="s">
        <v>18</v>
      </c>
      <c r="H300" s="4" t="s">
        <v>48</v>
      </c>
      <c r="I300" s="4" t="s">
        <v>199</v>
      </c>
      <c r="J300" s="4" t="s">
        <v>392</v>
      </c>
      <c r="K300" s="4" t="s">
        <v>112</v>
      </c>
      <c r="L300" s="5">
        <v>0.4284722222222222</v>
      </c>
      <c r="M300" s="4" t="s">
        <v>519</v>
      </c>
      <c r="N300" s="6" t="s">
        <v>23</v>
      </c>
      <c r="O300" s="4" t="s">
        <v>24</v>
      </c>
    </row>
    <row r="301" spans="1:15" x14ac:dyDescent="0.25">
      <c r="A301" s="4" t="s">
        <v>15</v>
      </c>
      <c r="B301" s="4" t="str">
        <f>"FES1162749492"</f>
        <v>FES1162749492</v>
      </c>
      <c r="C301" s="4" t="s">
        <v>21</v>
      </c>
      <c r="D301" s="4">
        <v>1</v>
      </c>
      <c r="E301" s="4" t="str">
        <f>"2170735039"</f>
        <v>2170735039</v>
      </c>
      <c r="F301" s="4" t="s">
        <v>17</v>
      </c>
      <c r="G301" s="4" t="s">
        <v>18</v>
      </c>
      <c r="H301" s="4" t="s">
        <v>48</v>
      </c>
      <c r="I301" s="4" t="s">
        <v>49</v>
      </c>
      <c r="J301" s="4" t="s">
        <v>393</v>
      </c>
      <c r="K301" s="4" t="s">
        <v>112</v>
      </c>
      <c r="L301" s="5">
        <v>0.47500000000000003</v>
      </c>
      <c r="M301" s="4" t="s">
        <v>520</v>
      </c>
      <c r="N301" s="6" t="s">
        <v>23</v>
      </c>
      <c r="O301" s="4" t="s">
        <v>24</v>
      </c>
    </row>
    <row r="302" spans="1:15" x14ac:dyDescent="0.25">
      <c r="A302" s="4" t="s">
        <v>15</v>
      </c>
      <c r="B302" s="4" t="str">
        <f>"FES1162749519"</f>
        <v>FES1162749519</v>
      </c>
      <c r="C302" s="4" t="s">
        <v>21</v>
      </c>
      <c r="D302" s="4">
        <v>1</v>
      </c>
      <c r="E302" s="4" t="str">
        <f>"21707399999"</f>
        <v>21707399999</v>
      </c>
      <c r="F302" s="4" t="s">
        <v>17</v>
      </c>
      <c r="G302" s="4" t="s">
        <v>18</v>
      </c>
      <c r="H302" s="4" t="s">
        <v>32</v>
      </c>
      <c r="I302" s="4" t="s">
        <v>33</v>
      </c>
      <c r="J302" s="4" t="s">
        <v>317</v>
      </c>
      <c r="K302" s="4" t="s">
        <v>112</v>
      </c>
      <c r="L302" s="5">
        <v>0.38819444444444445</v>
      </c>
      <c r="M302" s="4" t="s">
        <v>474</v>
      </c>
      <c r="N302" s="6" t="s">
        <v>23</v>
      </c>
      <c r="O302" s="4" t="s">
        <v>24</v>
      </c>
    </row>
    <row r="303" spans="1:15" x14ac:dyDescent="0.25">
      <c r="A303" s="4" t="s">
        <v>15</v>
      </c>
      <c r="B303" s="4" t="str">
        <f>"FES1162749516"</f>
        <v>FES1162749516</v>
      </c>
      <c r="C303" s="4" t="s">
        <v>21</v>
      </c>
      <c r="D303" s="4">
        <v>1</v>
      </c>
      <c r="E303" s="4" t="str">
        <f>"2170739993"</f>
        <v>2170739993</v>
      </c>
      <c r="F303" s="4" t="s">
        <v>17</v>
      </c>
      <c r="G303" s="4" t="s">
        <v>18</v>
      </c>
      <c r="H303" s="4" t="s">
        <v>32</v>
      </c>
      <c r="I303" s="4" t="s">
        <v>33</v>
      </c>
      <c r="J303" s="4" t="s">
        <v>272</v>
      </c>
      <c r="K303" s="4" t="s">
        <v>112</v>
      </c>
      <c r="L303" s="5">
        <v>0.38541666666666669</v>
      </c>
      <c r="M303" s="4" t="s">
        <v>439</v>
      </c>
      <c r="N303" s="6" t="s">
        <v>23</v>
      </c>
      <c r="O303" s="4" t="s">
        <v>24</v>
      </c>
    </row>
    <row r="304" spans="1:15" x14ac:dyDescent="0.25">
      <c r="A304" s="4" t="s">
        <v>15</v>
      </c>
      <c r="B304" s="4" t="str">
        <f>"FES1162749506"</f>
        <v>FES1162749506</v>
      </c>
      <c r="C304" s="4" t="s">
        <v>21</v>
      </c>
      <c r="D304" s="4">
        <v>2</v>
      </c>
      <c r="E304" s="4" t="str">
        <f>"2170739727"</f>
        <v>2170739727</v>
      </c>
      <c r="F304" s="4" t="s">
        <v>135</v>
      </c>
      <c r="G304" s="4" t="s">
        <v>18</v>
      </c>
      <c r="H304" s="4" t="s">
        <v>40</v>
      </c>
      <c r="I304" s="4" t="s">
        <v>41</v>
      </c>
      <c r="J304" s="4" t="s">
        <v>99</v>
      </c>
      <c r="K304" s="4" t="s">
        <v>112</v>
      </c>
      <c r="L304" s="5">
        <v>0.38541666666666669</v>
      </c>
      <c r="M304" s="4" t="s">
        <v>653</v>
      </c>
      <c r="N304" s="6" t="s">
        <v>23</v>
      </c>
      <c r="O304" s="4" t="s">
        <v>24</v>
      </c>
    </row>
    <row r="305" spans="1:15" x14ac:dyDescent="0.25">
      <c r="A305" s="4" t="s">
        <v>15</v>
      </c>
      <c r="B305" s="4" t="str">
        <f>"FES1162749502"</f>
        <v>FES1162749502</v>
      </c>
      <c r="C305" s="4" t="s">
        <v>21</v>
      </c>
      <c r="D305" s="4">
        <v>1</v>
      </c>
      <c r="E305" s="4" t="str">
        <f>"2170739114"</f>
        <v>2170739114</v>
      </c>
      <c r="F305" s="4" t="s">
        <v>17</v>
      </c>
      <c r="G305" s="4" t="s">
        <v>18</v>
      </c>
      <c r="H305" s="4" t="s">
        <v>48</v>
      </c>
      <c r="I305" s="4" t="s">
        <v>390</v>
      </c>
      <c r="J305" s="4" t="s">
        <v>391</v>
      </c>
      <c r="K305" s="4" t="s">
        <v>112</v>
      </c>
      <c r="L305" s="5">
        <v>0.56458333333333333</v>
      </c>
      <c r="M305" s="4" t="s">
        <v>518</v>
      </c>
      <c r="N305" s="6" t="s">
        <v>23</v>
      </c>
      <c r="O305" s="4" t="s">
        <v>24</v>
      </c>
    </row>
    <row r="306" spans="1:15" x14ac:dyDescent="0.25">
      <c r="A306" s="4" t="s">
        <v>15</v>
      </c>
      <c r="B306" s="4" t="str">
        <f>"FES1162749473"</f>
        <v>FES1162749473</v>
      </c>
      <c r="C306" s="4" t="s">
        <v>21</v>
      </c>
      <c r="D306" s="4">
        <v>1</v>
      </c>
      <c r="E306" s="4" t="str">
        <f>"2170739969"</f>
        <v>2170739969</v>
      </c>
      <c r="F306" s="4" t="s">
        <v>17</v>
      </c>
      <c r="G306" s="4" t="s">
        <v>18</v>
      </c>
      <c r="H306" s="4" t="s">
        <v>85</v>
      </c>
      <c r="I306" s="4" t="s">
        <v>362</v>
      </c>
      <c r="J306" s="4" t="s">
        <v>363</v>
      </c>
      <c r="K306" s="4" t="s">
        <v>112</v>
      </c>
      <c r="L306" s="5">
        <v>0.48958333333333331</v>
      </c>
      <c r="M306" s="4" t="s">
        <v>498</v>
      </c>
      <c r="N306" s="6" t="s">
        <v>23</v>
      </c>
      <c r="O306" s="4" t="s">
        <v>24</v>
      </c>
    </row>
    <row r="307" spans="1:15" x14ac:dyDescent="0.25">
      <c r="A307" s="4" t="s">
        <v>15</v>
      </c>
      <c r="B307" s="4" t="str">
        <f>"FES1162749510"</f>
        <v>FES1162749510</v>
      </c>
      <c r="C307" s="4" t="s">
        <v>21</v>
      </c>
      <c r="D307" s="4">
        <v>1</v>
      </c>
      <c r="E307" s="4" t="str">
        <f>"2170738131"</f>
        <v>2170738131</v>
      </c>
      <c r="F307" s="4" t="s">
        <v>17</v>
      </c>
      <c r="G307" s="4" t="s">
        <v>18</v>
      </c>
      <c r="H307" s="4" t="s">
        <v>25</v>
      </c>
      <c r="I307" s="4" t="s">
        <v>394</v>
      </c>
      <c r="J307" s="4" t="s">
        <v>395</v>
      </c>
      <c r="K307" s="4" t="s">
        <v>112</v>
      </c>
      <c r="L307" s="4" t="s">
        <v>521</v>
      </c>
      <c r="M307" s="4" t="s">
        <v>522</v>
      </c>
      <c r="N307" s="6" t="s">
        <v>23</v>
      </c>
      <c r="O307" s="4" t="s">
        <v>24</v>
      </c>
    </row>
    <row r="308" spans="1:15" x14ac:dyDescent="0.25">
      <c r="A308" s="4" t="s">
        <v>15</v>
      </c>
      <c r="B308" s="4" t="str">
        <f>"FES1162749499"</f>
        <v>FES1162749499</v>
      </c>
      <c r="C308" s="4" t="s">
        <v>21</v>
      </c>
      <c r="D308" s="4">
        <v>1</v>
      </c>
      <c r="E308" s="4" t="str">
        <f>"2170738127"</f>
        <v>2170738127</v>
      </c>
      <c r="F308" s="4" t="s">
        <v>17</v>
      </c>
      <c r="G308" s="4" t="s">
        <v>18</v>
      </c>
      <c r="H308" s="4" t="s">
        <v>25</v>
      </c>
      <c r="I308" s="4" t="s">
        <v>394</v>
      </c>
      <c r="J308" s="4" t="s">
        <v>395</v>
      </c>
      <c r="K308" s="4" t="s">
        <v>112</v>
      </c>
      <c r="L308" s="4" t="s">
        <v>521</v>
      </c>
      <c r="M308" s="4" t="s">
        <v>522</v>
      </c>
      <c r="N308" s="6" t="s">
        <v>23</v>
      </c>
      <c r="O308" s="4" t="s">
        <v>24</v>
      </c>
    </row>
    <row r="309" spans="1:15" x14ac:dyDescent="0.25">
      <c r="A309" s="11" t="s">
        <v>15</v>
      </c>
      <c r="B309" s="11" t="str">
        <f>"009940069272"</f>
        <v>009940069272</v>
      </c>
      <c r="C309" s="11" t="s">
        <v>21</v>
      </c>
      <c r="D309" s="11">
        <v>1</v>
      </c>
      <c r="E309" s="11" t="str">
        <f>"NA"</f>
        <v>NA</v>
      </c>
      <c r="F309" s="11" t="s">
        <v>135</v>
      </c>
      <c r="G309" s="11" t="s">
        <v>48</v>
      </c>
      <c r="H309" s="11" t="s">
        <v>48</v>
      </c>
      <c r="I309" s="11" t="s">
        <v>73</v>
      </c>
      <c r="J309" s="11" t="s">
        <v>396</v>
      </c>
      <c r="K309" s="11" t="s">
        <v>112</v>
      </c>
      <c r="L309" s="12">
        <v>0.50763888888888886</v>
      </c>
      <c r="M309" s="11" t="s">
        <v>161</v>
      </c>
      <c r="N309" s="13" t="s">
        <v>23</v>
      </c>
      <c r="O309" s="11" t="s">
        <v>24</v>
      </c>
    </row>
    <row r="310" spans="1:15" x14ac:dyDescent="0.25">
      <c r="A310" s="11" t="s">
        <v>15</v>
      </c>
      <c r="B310" s="11" t="str">
        <f>"FES1162749485"</f>
        <v>FES1162749485</v>
      </c>
      <c r="C310" s="11" t="s">
        <v>21</v>
      </c>
      <c r="D310" s="11">
        <v>1</v>
      </c>
      <c r="E310" s="11" t="str">
        <f>"2170739980"</f>
        <v>2170739980</v>
      </c>
      <c r="F310" s="11" t="s">
        <v>17</v>
      </c>
      <c r="G310" s="11" t="s">
        <v>18</v>
      </c>
      <c r="H310" s="11" t="s">
        <v>85</v>
      </c>
      <c r="I310" s="11" t="s">
        <v>362</v>
      </c>
      <c r="J310" s="11" t="s">
        <v>363</v>
      </c>
      <c r="K310" s="11" t="s">
        <v>112</v>
      </c>
      <c r="L310" s="12">
        <v>0.48958333333333331</v>
      </c>
      <c r="M310" s="11" t="s">
        <v>498</v>
      </c>
      <c r="N310" s="13" t="s">
        <v>23</v>
      </c>
      <c r="O310" s="11" t="s">
        <v>24</v>
      </c>
    </row>
    <row r="311" spans="1:15" x14ac:dyDescent="0.25">
      <c r="A311" s="11" t="s">
        <v>15</v>
      </c>
      <c r="B311" s="11" t="str">
        <f>"FES1162749526"</f>
        <v>FES1162749526</v>
      </c>
      <c r="C311" s="11" t="s">
        <v>21</v>
      </c>
      <c r="D311" s="11">
        <v>1</v>
      </c>
      <c r="E311" s="11" t="str">
        <f>"2170740006"</f>
        <v>2170740006</v>
      </c>
      <c r="F311" s="11" t="s">
        <v>17</v>
      </c>
      <c r="G311" s="11" t="s">
        <v>18</v>
      </c>
      <c r="H311" s="11" t="s">
        <v>52</v>
      </c>
      <c r="I311" s="11" t="s">
        <v>397</v>
      </c>
      <c r="J311" s="11" t="s">
        <v>398</v>
      </c>
      <c r="K311" s="11" t="s">
        <v>112</v>
      </c>
      <c r="L311" s="12">
        <v>0.48958333333333331</v>
      </c>
      <c r="M311" s="11" t="s">
        <v>834</v>
      </c>
      <c r="N311" s="13" t="s">
        <v>23</v>
      </c>
      <c r="O311" s="11" t="s">
        <v>24</v>
      </c>
    </row>
    <row r="312" spans="1:15" x14ac:dyDescent="0.25">
      <c r="A312" s="11" t="s">
        <v>15</v>
      </c>
      <c r="B312" s="11" t="str">
        <f>"FES1162749514"</f>
        <v>FES1162749514</v>
      </c>
      <c r="C312" s="11" t="s">
        <v>21</v>
      </c>
      <c r="D312" s="11">
        <v>1</v>
      </c>
      <c r="E312" s="11" t="str">
        <f>"2170739983"</f>
        <v>2170739983</v>
      </c>
      <c r="F312" s="11" t="s">
        <v>17</v>
      </c>
      <c r="G312" s="11" t="s">
        <v>18</v>
      </c>
      <c r="H312" s="11" t="s">
        <v>48</v>
      </c>
      <c r="I312" s="11" t="s">
        <v>49</v>
      </c>
      <c r="J312" s="11" t="s">
        <v>322</v>
      </c>
      <c r="K312" s="11" t="s">
        <v>112</v>
      </c>
      <c r="L312" s="12">
        <v>0.3430555555555555</v>
      </c>
      <c r="M312" s="11" t="s">
        <v>323</v>
      </c>
      <c r="N312" s="11" t="s">
        <v>23</v>
      </c>
      <c r="O312" s="11" t="s">
        <v>24</v>
      </c>
    </row>
    <row r="313" spans="1:15" x14ac:dyDescent="0.25">
      <c r="A313" s="11" t="s">
        <v>15</v>
      </c>
      <c r="B313" s="11" t="str">
        <f>"FES1162749513"</f>
        <v>FES1162749513</v>
      </c>
      <c r="C313" s="11" t="s">
        <v>21</v>
      </c>
      <c r="D313" s="11">
        <v>1</v>
      </c>
      <c r="E313" s="11" t="str">
        <f>"2170739981"</f>
        <v>2170739981</v>
      </c>
      <c r="F313" s="11" t="s">
        <v>17</v>
      </c>
      <c r="G313" s="11" t="s">
        <v>18</v>
      </c>
      <c r="H313" s="11" t="s">
        <v>48</v>
      </c>
      <c r="I313" s="11" t="s">
        <v>73</v>
      </c>
      <c r="J313" s="11" t="s">
        <v>247</v>
      </c>
      <c r="K313" s="11" t="s">
        <v>112</v>
      </c>
      <c r="L313" s="12">
        <v>0.44027777777777777</v>
      </c>
      <c r="M313" s="11" t="s">
        <v>248</v>
      </c>
      <c r="N313" s="11" t="s">
        <v>23</v>
      </c>
      <c r="O313" s="11" t="s">
        <v>24</v>
      </c>
    </row>
    <row r="314" spans="1:15" x14ac:dyDescent="0.25">
      <c r="A314" s="11" t="s">
        <v>15</v>
      </c>
      <c r="B314" s="11" t="str">
        <f>"FES1162749496"</f>
        <v>FES1162749496</v>
      </c>
      <c r="C314" s="11" t="s">
        <v>21</v>
      </c>
      <c r="D314" s="11">
        <v>1</v>
      </c>
      <c r="E314" s="11" t="str">
        <f>"2170737774"</f>
        <v>2170737774</v>
      </c>
      <c r="F314" s="11" t="s">
        <v>17</v>
      </c>
      <c r="G314" s="11" t="s">
        <v>18</v>
      </c>
      <c r="H314" s="11" t="s">
        <v>48</v>
      </c>
      <c r="I314" s="11" t="s">
        <v>49</v>
      </c>
      <c r="J314" s="11" t="s">
        <v>399</v>
      </c>
      <c r="K314" s="11" t="s">
        <v>112</v>
      </c>
      <c r="L314" s="12">
        <v>0.38958333333333334</v>
      </c>
      <c r="M314" s="11" t="s">
        <v>523</v>
      </c>
      <c r="N314" s="11" t="s">
        <v>23</v>
      </c>
      <c r="O314" s="11" t="s">
        <v>24</v>
      </c>
    </row>
    <row r="315" spans="1:15" x14ac:dyDescent="0.25">
      <c r="A315" s="4" t="s">
        <v>15</v>
      </c>
      <c r="B315" s="4" t="str">
        <f>"FES1162749455"</f>
        <v>FES1162749455</v>
      </c>
      <c r="C315" s="4" t="s">
        <v>21</v>
      </c>
      <c r="D315" s="4">
        <v>1</v>
      </c>
      <c r="E315" s="4" t="str">
        <f>"2170739937"</f>
        <v>2170739937</v>
      </c>
      <c r="F315" s="4" t="s">
        <v>17</v>
      </c>
      <c r="G315" s="4" t="s">
        <v>18</v>
      </c>
      <c r="H315" s="4" t="s">
        <v>85</v>
      </c>
      <c r="I315" s="4" t="s">
        <v>144</v>
      </c>
      <c r="J315" s="4" t="s">
        <v>255</v>
      </c>
      <c r="K315" s="4" t="s">
        <v>112</v>
      </c>
      <c r="L315" s="5">
        <v>0.60972222222222217</v>
      </c>
      <c r="M315" s="4" t="s">
        <v>524</v>
      </c>
      <c r="N315" s="4" t="s">
        <v>23</v>
      </c>
      <c r="O315" s="4" t="s">
        <v>24</v>
      </c>
    </row>
    <row r="316" spans="1:15" x14ac:dyDescent="0.25">
      <c r="A316" s="4" t="s">
        <v>15</v>
      </c>
      <c r="B316" s="4" t="str">
        <f>"FES1162749440"</f>
        <v>FES1162749440</v>
      </c>
      <c r="C316" s="4" t="s">
        <v>21</v>
      </c>
      <c r="D316" s="4">
        <v>1</v>
      </c>
      <c r="E316" s="4" t="str">
        <f>"217073993"</f>
        <v>217073993</v>
      </c>
      <c r="F316" s="4" t="s">
        <v>17</v>
      </c>
      <c r="G316" s="4" t="s">
        <v>18</v>
      </c>
      <c r="H316" s="4" t="s">
        <v>40</v>
      </c>
      <c r="I316" s="4" t="s">
        <v>41</v>
      </c>
      <c r="J316" s="4" t="s">
        <v>99</v>
      </c>
      <c r="K316" s="4" t="s">
        <v>112</v>
      </c>
      <c r="L316" s="5">
        <v>0.60972222222222217</v>
      </c>
      <c r="M316" s="4" t="s">
        <v>653</v>
      </c>
      <c r="N316" s="4" t="s">
        <v>23</v>
      </c>
      <c r="O316" s="4" t="s">
        <v>24</v>
      </c>
    </row>
    <row r="317" spans="1:15" x14ac:dyDescent="0.25">
      <c r="A317" s="4" t="s">
        <v>15</v>
      </c>
      <c r="B317" s="4" t="str">
        <f>"FES1162749521"</f>
        <v>FES1162749521</v>
      </c>
      <c r="C317" s="4" t="s">
        <v>21</v>
      </c>
      <c r="D317" s="4">
        <v>1</v>
      </c>
      <c r="E317" s="4" t="str">
        <f>"2170740005"</f>
        <v>2170740005</v>
      </c>
      <c r="F317" s="4" t="s">
        <v>17</v>
      </c>
      <c r="G317" s="4" t="s">
        <v>18</v>
      </c>
      <c r="H317" s="4" t="s">
        <v>52</v>
      </c>
      <c r="I317" s="4" t="s">
        <v>53</v>
      </c>
      <c r="J317" s="4" t="s">
        <v>400</v>
      </c>
      <c r="K317" s="4" t="s">
        <v>112</v>
      </c>
      <c r="L317" s="5">
        <v>0.42083333333333334</v>
      </c>
      <c r="M317" s="4" t="s">
        <v>525</v>
      </c>
      <c r="N317" s="6" t="s">
        <v>23</v>
      </c>
      <c r="O317" s="4" t="s">
        <v>24</v>
      </c>
    </row>
    <row r="318" spans="1:15" x14ac:dyDescent="0.25">
      <c r="A318" s="4" t="s">
        <v>15</v>
      </c>
      <c r="B318" s="4" t="str">
        <f>"FES1162749450"</f>
        <v>FES1162749450</v>
      </c>
      <c r="C318" s="4" t="s">
        <v>21</v>
      </c>
      <c r="D318" s="4">
        <v>1</v>
      </c>
      <c r="E318" s="4" t="str">
        <f>"2170739787"</f>
        <v>2170739787</v>
      </c>
      <c r="F318" s="4" t="s">
        <v>17</v>
      </c>
      <c r="G318" s="4" t="s">
        <v>18</v>
      </c>
      <c r="H318" s="4" t="s">
        <v>85</v>
      </c>
      <c r="I318" s="4" t="s">
        <v>207</v>
      </c>
      <c r="J318" s="4" t="s">
        <v>245</v>
      </c>
      <c r="K318" s="4" t="s">
        <v>112</v>
      </c>
      <c r="L318" s="5">
        <v>0.59375</v>
      </c>
      <c r="M318" s="4" t="s">
        <v>526</v>
      </c>
      <c r="N318" s="6" t="s">
        <v>23</v>
      </c>
      <c r="O318" s="4" t="s">
        <v>24</v>
      </c>
    </row>
    <row r="319" spans="1:15" x14ac:dyDescent="0.25">
      <c r="A319" s="4" t="s">
        <v>15</v>
      </c>
      <c r="B319" s="4" t="str">
        <f>"FES1162749497"</f>
        <v>FES1162749497</v>
      </c>
      <c r="C319" s="4" t="s">
        <v>21</v>
      </c>
      <c r="D319" s="4">
        <v>1</v>
      </c>
      <c r="E319" s="4" t="str">
        <f>"2170737843"</f>
        <v>2170737843</v>
      </c>
      <c r="F319" s="4" t="s">
        <v>17</v>
      </c>
      <c r="G319" s="4" t="s">
        <v>18</v>
      </c>
      <c r="H319" s="4" t="s">
        <v>48</v>
      </c>
      <c r="I319" s="4" t="s">
        <v>49</v>
      </c>
      <c r="J319" s="4" t="s">
        <v>401</v>
      </c>
      <c r="K319" s="4" t="s">
        <v>112</v>
      </c>
      <c r="L319" s="5">
        <v>0.47152777777777777</v>
      </c>
      <c r="M319" s="4" t="s">
        <v>527</v>
      </c>
      <c r="N319" s="6" t="s">
        <v>23</v>
      </c>
      <c r="O319" s="4" t="s">
        <v>24</v>
      </c>
    </row>
    <row r="320" spans="1:15" x14ac:dyDescent="0.25">
      <c r="A320" s="4" t="s">
        <v>15</v>
      </c>
      <c r="B320" s="4" t="str">
        <f>"FES1162749476"</f>
        <v>FES1162749476</v>
      </c>
      <c r="C320" s="4" t="s">
        <v>21</v>
      </c>
      <c r="D320" s="4">
        <v>1</v>
      </c>
      <c r="E320" s="4" t="str">
        <f>"2170739975"</f>
        <v>2170739975</v>
      </c>
      <c r="F320" s="4" t="s">
        <v>17</v>
      </c>
      <c r="G320" s="4" t="s">
        <v>18</v>
      </c>
      <c r="H320" s="4" t="s">
        <v>85</v>
      </c>
      <c r="I320" s="4" t="s">
        <v>362</v>
      </c>
      <c r="J320" s="4" t="s">
        <v>363</v>
      </c>
      <c r="K320" s="4" t="s">
        <v>112</v>
      </c>
      <c r="L320" s="5">
        <v>0.48958333333333331</v>
      </c>
      <c r="M320" s="4" t="s">
        <v>498</v>
      </c>
      <c r="N320" s="6" t="s">
        <v>23</v>
      </c>
      <c r="O320" s="4" t="s">
        <v>24</v>
      </c>
    </row>
    <row r="321" spans="1:15" x14ac:dyDescent="0.25">
      <c r="A321" s="4" t="s">
        <v>15</v>
      </c>
      <c r="B321" s="4" t="str">
        <f>"FES1162749464"</f>
        <v>FES1162749464</v>
      </c>
      <c r="C321" s="4" t="s">
        <v>21</v>
      </c>
      <c r="D321" s="4">
        <v>1</v>
      </c>
      <c r="E321" s="4" t="str">
        <f>"2170739966"</f>
        <v>2170739966</v>
      </c>
      <c r="F321" s="4" t="s">
        <v>17</v>
      </c>
      <c r="G321" s="4" t="s">
        <v>18</v>
      </c>
      <c r="H321" s="4" t="s">
        <v>40</v>
      </c>
      <c r="I321" s="4" t="s">
        <v>41</v>
      </c>
      <c r="J321" s="4" t="s">
        <v>99</v>
      </c>
      <c r="K321" s="4" t="s">
        <v>112</v>
      </c>
      <c r="L321" s="5">
        <v>0.48958333333333331</v>
      </c>
      <c r="M321" s="4" t="s">
        <v>654</v>
      </c>
      <c r="N321" s="6" t="s">
        <v>23</v>
      </c>
      <c r="O321" s="4" t="s">
        <v>24</v>
      </c>
    </row>
    <row r="322" spans="1:15" x14ac:dyDescent="0.25">
      <c r="A322" s="4" t="s">
        <v>15</v>
      </c>
      <c r="B322" s="4" t="str">
        <f>"FES1162749507"</f>
        <v>FES1162749507</v>
      </c>
      <c r="C322" s="4" t="s">
        <v>21</v>
      </c>
      <c r="D322" s="4">
        <v>1</v>
      </c>
      <c r="E322" s="4" t="str">
        <f>"2170739987"</f>
        <v>2170739987</v>
      </c>
      <c r="F322" s="4" t="s">
        <v>17</v>
      </c>
      <c r="G322" s="4" t="s">
        <v>18</v>
      </c>
      <c r="H322" s="4" t="s">
        <v>85</v>
      </c>
      <c r="I322" s="4" t="s">
        <v>362</v>
      </c>
      <c r="J322" s="4" t="s">
        <v>363</v>
      </c>
      <c r="K322" s="4" t="s">
        <v>112</v>
      </c>
      <c r="L322" s="5">
        <v>0.48958333333333331</v>
      </c>
      <c r="M322" s="4" t="s">
        <v>498</v>
      </c>
      <c r="N322" s="6" t="s">
        <v>23</v>
      </c>
      <c r="O322" s="4" t="s">
        <v>24</v>
      </c>
    </row>
    <row r="323" spans="1:15" x14ac:dyDescent="0.25">
      <c r="A323" s="4" t="s">
        <v>15</v>
      </c>
      <c r="B323" s="4" t="str">
        <f>"FES1162749505"</f>
        <v>FES1162749505</v>
      </c>
      <c r="C323" s="4" t="s">
        <v>21</v>
      </c>
      <c r="D323" s="4">
        <v>1</v>
      </c>
      <c r="E323" s="4" t="str">
        <f>"2170739648"</f>
        <v>2170739648</v>
      </c>
      <c r="F323" s="4" t="s">
        <v>17</v>
      </c>
      <c r="G323" s="4" t="s">
        <v>18</v>
      </c>
      <c r="H323" s="4" t="s">
        <v>18</v>
      </c>
      <c r="I323" s="4" t="s">
        <v>147</v>
      </c>
      <c r="J323" s="4" t="s">
        <v>384</v>
      </c>
      <c r="K323" s="4" t="s">
        <v>112</v>
      </c>
      <c r="L323" s="5">
        <v>0.33333333333333331</v>
      </c>
      <c r="M323" s="4" t="s">
        <v>528</v>
      </c>
      <c r="N323" s="6" t="s">
        <v>23</v>
      </c>
      <c r="O323" s="4" t="s">
        <v>24</v>
      </c>
    </row>
    <row r="324" spans="1:15" x14ac:dyDescent="0.25">
      <c r="A324" s="4" t="s">
        <v>15</v>
      </c>
      <c r="B324" s="4" t="str">
        <f>"FES1162749500"</f>
        <v>FES1162749500</v>
      </c>
      <c r="C324" s="4" t="s">
        <v>21</v>
      </c>
      <c r="D324" s="4">
        <v>1</v>
      </c>
      <c r="E324" s="4" t="str">
        <f>"2170738922"</f>
        <v>2170738922</v>
      </c>
      <c r="F324" s="4" t="s">
        <v>17</v>
      </c>
      <c r="G324" s="4" t="s">
        <v>18</v>
      </c>
      <c r="H324" s="4" t="s">
        <v>18</v>
      </c>
      <c r="I324" s="4" t="s">
        <v>97</v>
      </c>
      <c r="J324" s="4" t="s">
        <v>402</v>
      </c>
      <c r="K324" s="4" t="s">
        <v>112</v>
      </c>
      <c r="L324" s="5">
        <v>0.63194444444444442</v>
      </c>
      <c r="M324" s="4" t="s">
        <v>529</v>
      </c>
      <c r="N324" s="6" t="s">
        <v>23</v>
      </c>
      <c r="O324" s="4" t="s">
        <v>24</v>
      </c>
    </row>
    <row r="325" spans="1:15" x14ac:dyDescent="0.25">
      <c r="A325" s="4" t="s">
        <v>15</v>
      </c>
      <c r="B325" s="4" t="str">
        <f>"FES1162749504"</f>
        <v>FES1162749504</v>
      </c>
      <c r="C325" s="4" t="s">
        <v>21</v>
      </c>
      <c r="D325" s="4">
        <v>1</v>
      </c>
      <c r="E325" s="4" t="str">
        <f>"2170739576"</f>
        <v>2170739576</v>
      </c>
      <c r="F325" s="4" t="s">
        <v>17</v>
      </c>
      <c r="G325" s="4" t="s">
        <v>18</v>
      </c>
      <c r="H325" s="4" t="s">
        <v>18</v>
      </c>
      <c r="I325" s="4" t="s">
        <v>121</v>
      </c>
      <c r="J325" s="4" t="s">
        <v>403</v>
      </c>
      <c r="K325" s="4" t="s">
        <v>112</v>
      </c>
      <c r="L325" s="5">
        <v>0.55555555555555558</v>
      </c>
      <c r="M325" s="4" t="s">
        <v>530</v>
      </c>
      <c r="N325" s="6" t="s">
        <v>23</v>
      </c>
      <c r="O325" s="4" t="s">
        <v>24</v>
      </c>
    </row>
    <row r="326" spans="1:15" x14ac:dyDescent="0.25">
      <c r="A326" s="4" t="s">
        <v>15</v>
      </c>
      <c r="B326" s="4" t="str">
        <f>"FES1162749498"</f>
        <v>FES1162749498</v>
      </c>
      <c r="C326" s="4" t="s">
        <v>21</v>
      </c>
      <c r="D326" s="4">
        <v>1</v>
      </c>
      <c r="E326" s="4" t="str">
        <f>"2170737985"</f>
        <v>2170737985</v>
      </c>
      <c r="F326" s="4" t="s">
        <v>17</v>
      </c>
      <c r="G326" s="4" t="s">
        <v>18</v>
      </c>
      <c r="H326" s="4" t="s">
        <v>18</v>
      </c>
      <c r="I326" s="4" t="s">
        <v>97</v>
      </c>
      <c r="J326" s="4" t="s">
        <v>402</v>
      </c>
      <c r="K326" s="4" t="s">
        <v>112</v>
      </c>
      <c r="L326" s="5">
        <v>0.63263888888888886</v>
      </c>
      <c r="M326" s="4" t="s">
        <v>531</v>
      </c>
      <c r="N326" s="6" t="s">
        <v>23</v>
      </c>
      <c r="O326" s="4" t="s">
        <v>24</v>
      </c>
    </row>
    <row r="327" spans="1:15" x14ac:dyDescent="0.25">
      <c r="A327" s="4" t="s">
        <v>15</v>
      </c>
      <c r="B327" s="4" t="str">
        <f>"FES1162749520"</f>
        <v>FES1162749520</v>
      </c>
      <c r="C327" s="4" t="s">
        <v>21</v>
      </c>
      <c r="D327" s="4">
        <v>1</v>
      </c>
      <c r="E327" s="4" t="str">
        <f>"2170740001"</f>
        <v>2170740001</v>
      </c>
      <c r="F327" s="4" t="s">
        <v>17</v>
      </c>
      <c r="G327" s="4" t="s">
        <v>18</v>
      </c>
      <c r="H327" s="4" t="s">
        <v>48</v>
      </c>
      <c r="I327" s="4" t="s">
        <v>49</v>
      </c>
      <c r="J327" s="4" t="s">
        <v>100</v>
      </c>
      <c r="K327" s="4" t="s">
        <v>112</v>
      </c>
      <c r="L327" s="5">
        <v>0.37152777777777773</v>
      </c>
      <c r="M327" s="4" t="s">
        <v>341</v>
      </c>
      <c r="N327" s="6" t="s">
        <v>23</v>
      </c>
      <c r="O327" s="4" t="s">
        <v>24</v>
      </c>
    </row>
    <row r="328" spans="1:15" x14ac:dyDescent="0.25">
      <c r="A328" s="4" t="s">
        <v>15</v>
      </c>
      <c r="B328" s="4" t="str">
        <f>"FES1162749501"</f>
        <v>FES1162749501</v>
      </c>
      <c r="C328" s="4" t="s">
        <v>21</v>
      </c>
      <c r="D328" s="4">
        <v>1</v>
      </c>
      <c r="E328" s="4" t="str">
        <f>"2170739073"</f>
        <v>2170739073</v>
      </c>
      <c r="F328" s="4" t="s">
        <v>17</v>
      </c>
      <c r="G328" s="4" t="s">
        <v>18</v>
      </c>
      <c r="H328" s="4" t="s">
        <v>18</v>
      </c>
      <c r="I328" s="4" t="s">
        <v>121</v>
      </c>
      <c r="J328" s="4" t="s">
        <v>403</v>
      </c>
      <c r="K328" s="4" t="s">
        <v>112</v>
      </c>
      <c r="L328" s="5">
        <v>0.55555555555555558</v>
      </c>
      <c r="M328" s="4" t="s">
        <v>530</v>
      </c>
      <c r="N328" s="6" t="s">
        <v>23</v>
      </c>
      <c r="O328" s="4" t="s">
        <v>24</v>
      </c>
    </row>
    <row r="329" spans="1:15" x14ac:dyDescent="0.25">
      <c r="A329" s="4" t="s">
        <v>15</v>
      </c>
      <c r="B329" s="4" t="str">
        <f>"FES1162749509"</f>
        <v>FES1162749509</v>
      </c>
      <c r="C329" s="4" t="s">
        <v>21</v>
      </c>
      <c r="D329" s="4">
        <v>1</v>
      </c>
      <c r="E329" s="4" t="str">
        <f>"21707399992"</f>
        <v>21707399992</v>
      </c>
      <c r="F329" s="4" t="s">
        <v>17</v>
      </c>
      <c r="G329" s="4" t="s">
        <v>18</v>
      </c>
      <c r="H329" s="4" t="s">
        <v>167</v>
      </c>
      <c r="I329" s="4" t="s">
        <v>168</v>
      </c>
      <c r="J329" s="4" t="s">
        <v>169</v>
      </c>
      <c r="K329" s="4" t="s">
        <v>112</v>
      </c>
      <c r="L329" s="5">
        <v>0.41666666666666669</v>
      </c>
      <c r="M329" s="4" t="s">
        <v>503</v>
      </c>
      <c r="N329" s="6" t="s">
        <v>23</v>
      </c>
      <c r="O329" s="4" t="s">
        <v>24</v>
      </c>
    </row>
    <row r="330" spans="1:15" x14ac:dyDescent="0.25">
      <c r="A330" s="4" t="s">
        <v>15</v>
      </c>
      <c r="B330" s="4" t="str">
        <f>"FES1162749530"</f>
        <v>FES1162749530</v>
      </c>
      <c r="C330" s="4" t="s">
        <v>21</v>
      </c>
      <c r="D330" s="4">
        <v>1</v>
      </c>
      <c r="E330" s="4" t="str">
        <f>"217073854"</f>
        <v>217073854</v>
      </c>
      <c r="F330" s="4" t="s">
        <v>17</v>
      </c>
      <c r="G330" s="4" t="s">
        <v>18</v>
      </c>
      <c r="H330" s="4" t="s">
        <v>25</v>
      </c>
      <c r="I330" s="4" t="s">
        <v>26</v>
      </c>
      <c r="J330" s="4" t="s">
        <v>283</v>
      </c>
      <c r="K330" s="4" t="s">
        <v>112</v>
      </c>
      <c r="L330" s="5">
        <v>0.33680555555555558</v>
      </c>
      <c r="M330" s="4" t="s">
        <v>404</v>
      </c>
      <c r="N330" s="6" t="s">
        <v>23</v>
      </c>
      <c r="O330" s="4" t="s">
        <v>24</v>
      </c>
    </row>
    <row r="331" spans="1:15" x14ac:dyDescent="0.25">
      <c r="A331" s="4" t="s">
        <v>15</v>
      </c>
      <c r="B331" s="4" t="str">
        <f>"FES1162749503"</f>
        <v>FES1162749503</v>
      </c>
      <c r="C331" s="4" t="s">
        <v>21</v>
      </c>
      <c r="D331" s="4">
        <v>1</v>
      </c>
      <c r="E331" s="4" t="str">
        <f>"2170739481"</f>
        <v>2170739481</v>
      </c>
      <c r="F331" s="4" t="s">
        <v>17</v>
      </c>
      <c r="G331" s="4" t="s">
        <v>18</v>
      </c>
      <c r="H331" s="4" t="s">
        <v>48</v>
      </c>
      <c r="I331" s="4" t="s">
        <v>49</v>
      </c>
      <c r="J331" s="4" t="s">
        <v>405</v>
      </c>
      <c r="K331" s="4" t="s">
        <v>112</v>
      </c>
      <c r="L331" s="5">
        <v>0.40972222222222227</v>
      </c>
      <c r="M331" s="4" t="s">
        <v>532</v>
      </c>
      <c r="N331" s="6" t="s">
        <v>23</v>
      </c>
      <c r="O331" s="4" t="s">
        <v>24</v>
      </c>
    </row>
    <row r="332" spans="1:15" x14ac:dyDescent="0.25">
      <c r="A332" s="4" t="s">
        <v>15</v>
      </c>
      <c r="B332" s="4" t="str">
        <f>"FES1162749528"</f>
        <v>FES1162749528</v>
      </c>
      <c r="C332" s="4" t="s">
        <v>21</v>
      </c>
      <c r="D332" s="4">
        <v>1</v>
      </c>
      <c r="E332" s="4" t="str">
        <f>"2170739562"</f>
        <v>2170739562</v>
      </c>
      <c r="F332" s="4" t="s">
        <v>17</v>
      </c>
      <c r="G332" s="4" t="s">
        <v>18</v>
      </c>
      <c r="H332" s="4" t="s">
        <v>48</v>
      </c>
      <c r="I332" s="4" t="s">
        <v>49</v>
      </c>
      <c r="J332" s="4" t="s">
        <v>406</v>
      </c>
      <c r="K332" s="4" t="s">
        <v>112</v>
      </c>
      <c r="L332" s="5">
        <v>0.38541666666666669</v>
      </c>
      <c r="M332" s="4" t="s">
        <v>533</v>
      </c>
      <c r="N332" s="6" t="s">
        <v>23</v>
      </c>
      <c r="O332" s="4" t="s">
        <v>24</v>
      </c>
    </row>
    <row r="333" spans="1:15" x14ac:dyDescent="0.25">
      <c r="A333" s="4" t="s">
        <v>15</v>
      </c>
      <c r="B333" s="4" t="str">
        <f>"FES1162749442"</f>
        <v>FES1162749442</v>
      </c>
      <c r="C333" s="4" t="s">
        <v>21</v>
      </c>
      <c r="D333" s="4">
        <v>1</v>
      </c>
      <c r="E333" s="4" t="str">
        <f>"2170739935"</f>
        <v>2170739935</v>
      </c>
      <c r="F333" s="4" t="s">
        <v>17</v>
      </c>
      <c r="G333" s="4" t="s">
        <v>18</v>
      </c>
      <c r="H333" s="4" t="s">
        <v>85</v>
      </c>
      <c r="I333" s="4" t="s">
        <v>144</v>
      </c>
      <c r="J333" s="4" t="s">
        <v>407</v>
      </c>
      <c r="K333" s="4" t="s">
        <v>112</v>
      </c>
      <c r="L333" s="5">
        <v>0.44236111111111115</v>
      </c>
      <c r="M333" s="4" t="s">
        <v>534</v>
      </c>
      <c r="N333" s="6" t="s">
        <v>23</v>
      </c>
      <c r="O333" s="4" t="s">
        <v>24</v>
      </c>
    </row>
    <row r="334" spans="1:15" x14ac:dyDescent="0.25">
      <c r="A334" s="4" t="s">
        <v>15</v>
      </c>
      <c r="B334" s="4" t="str">
        <f>"FES1162749480"</f>
        <v>FES1162749480</v>
      </c>
      <c r="C334" s="4" t="s">
        <v>21</v>
      </c>
      <c r="D334" s="4">
        <v>1</v>
      </c>
      <c r="E334" s="4" t="str">
        <f>"21707399977"</f>
        <v>21707399977</v>
      </c>
      <c r="F334" s="4" t="s">
        <v>17</v>
      </c>
      <c r="G334" s="4" t="s">
        <v>18</v>
      </c>
      <c r="H334" s="4" t="s">
        <v>85</v>
      </c>
      <c r="I334" s="4" t="s">
        <v>408</v>
      </c>
      <c r="J334" s="4" t="s">
        <v>409</v>
      </c>
      <c r="K334" s="4" t="s">
        <v>112</v>
      </c>
      <c r="L334" s="5">
        <v>0.62708333333333333</v>
      </c>
      <c r="M334" s="4" t="s">
        <v>535</v>
      </c>
      <c r="N334" s="6" t="s">
        <v>23</v>
      </c>
      <c r="O334" s="4" t="s">
        <v>24</v>
      </c>
    </row>
    <row r="335" spans="1:15" x14ac:dyDescent="0.25">
      <c r="A335" s="4" t="s">
        <v>15</v>
      </c>
      <c r="B335" s="4" t="str">
        <f>"FES1162749524"</f>
        <v>FES1162749524</v>
      </c>
      <c r="C335" s="4" t="s">
        <v>21</v>
      </c>
      <c r="D335" s="4">
        <v>1</v>
      </c>
      <c r="E335" s="4" t="str">
        <f>"21707400002"</f>
        <v>21707400002</v>
      </c>
      <c r="F335" s="4" t="s">
        <v>17</v>
      </c>
      <c r="G335" s="4" t="s">
        <v>18</v>
      </c>
      <c r="H335" s="4" t="s">
        <v>18</v>
      </c>
      <c r="I335" s="4" t="s">
        <v>147</v>
      </c>
      <c r="J335" s="4" t="s">
        <v>410</v>
      </c>
      <c r="K335" s="4" t="s">
        <v>112</v>
      </c>
      <c r="L335" s="5">
        <v>0.375</v>
      </c>
      <c r="M335" s="4" t="s">
        <v>536</v>
      </c>
      <c r="N335" s="6" t="s">
        <v>23</v>
      </c>
      <c r="O335" s="4" t="s">
        <v>24</v>
      </c>
    </row>
    <row r="336" spans="1:15" x14ac:dyDescent="0.25">
      <c r="A336" s="4" t="s">
        <v>15</v>
      </c>
      <c r="B336" s="4" t="str">
        <f>"FES1162749453"</f>
        <v>FES1162749453</v>
      </c>
      <c r="C336" s="4" t="s">
        <v>21</v>
      </c>
      <c r="D336" s="4">
        <v>1</v>
      </c>
      <c r="E336" s="4" t="str">
        <f>"21720739955"</f>
        <v>21720739955</v>
      </c>
      <c r="F336" s="4" t="s">
        <v>17</v>
      </c>
      <c r="G336" s="4" t="s">
        <v>18</v>
      </c>
      <c r="H336" s="4" t="s">
        <v>18</v>
      </c>
      <c r="I336" s="4" t="s">
        <v>68</v>
      </c>
      <c r="J336" s="4" t="s">
        <v>379</v>
      </c>
      <c r="K336" s="4" t="s">
        <v>112</v>
      </c>
      <c r="L336" s="5">
        <v>0.33333333333333331</v>
      </c>
      <c r="M336" s="4" t="s">
        <v>537</v>
      </c>
      <c r="N336" s="6" t="s">
        <v>23</v>
      </c>
      <c r="O336" s="4" t="s">
        <v>24</v>
      </c>
    </row>
    <row r="337" spans="1:15" x14ac:dyDescent="0.25">
      <c r="A337" s="4" t="s">
        <v>15</v>
      </c>
      <c r="B337" s="4" t="str">
        <f>"FES1162749443"</f>
        <v>FES1162749443</v>
      </c>
      <c r="C337" s="4" t="s">
        <v>21</v>
      </c>
      <c r="D337" s="4">
        <v>1</v>
      </c>
      <c r="E337" s="4" t="str">
        <f>"2170739938"</f>
        <v>2170739938</v>
      </c>
      <c r="F337" s="4" t="s">
        <v>17</v>
      </c>
      <c r="G337" s="4" t="s">
        <v>18</v>
      </c>
      <c r="H337" s="4" t="s">
        <v>18</v>
      </c>
      <c r="I337" s="4" t="s">
        <v>68</v>
      </c>
      <c r="J337" s="4" t="s">
        <v>379</v>
      </c>
      <c r="K337" s="4" t="s">
        <v>112</v>
      </c>
      <c r="L337" s="5">
        <v>0.33333333333333331</v>
      </c>
      <c r="M337" s="4" t="s">
        <v>538</v>
      </c>
      <c r="N337" s="6" t="s">
        <v>23</v>
      </c>
      <c r="O337" s="4" t="s">
        <v>24</v>
      </c>
    </row>
    <row r="338" spans="1:15" x14ac:dyDescent="0.25">
      <c r="A338" s="4" t="s">
        <v>15</v>
      </c>
      <c r="B338" s="4" t="str">
        <f>"FES1162749398"</f>
        <v>FES1162749398</v>
      </c>
      <c r="C338" s="4" t="s">
        <v>21</v>
      </c>
      <c r="D338" s="4">
        <v>1</v>
      </c>
      <c r="E338" s="4" t="str">
        <f>"2170739165"</f>
        <v>2170739165</v>
      </c>
      <c r="F338" s="4" t="s">
        <v>17</v>
      </c>
      <c r="G338" s="4" t="s">
        <v>18</v>
      </c>
      <c r="H338" s="4" t="s">
        <v>18</v>
      </c>
      <c r="I338" s="4" t="s">
        <v>19</v>
      </c>
      <c r="J338" s="4" t="s">
        <v>355</v>
      </c>
      <c r="K338" s="4" t="s">
        <v>112</v>
      </c>
      <c r="L338" s="5">
        <v>0.375</v>
      </c>
      <c r="M338" s="4" t="s">
        <v>494</v>
      </c>
      <c r="N338" s="6" t="s">
        <v>23</v>
      </c>
      <c r="O338" s="4" t="s">
        <v>24</v>
      </c>
    </row>
    <row r="339" spans="1:15" x14ac:dyDescent="0.25">
      <c r="A339" s="4" t="s">
        <v>15</v>
      </c>
      <c r="B339" s="4" t="str">
        <f>"FES1162749532"</f>
        <v>FES1162749532</v>
      </c>
      <c r="C339" s="4" t="s">
        <v>21</v>
      </c>
      <c r="D339" s="4">
        <v>1</v>
      </c>
      <c r="E339" s="4" t="str">
        <f>"2170740009"</f>
        <v>2170740009</v>
      </c>
      <c r="F339" s="4" t="s">
        <v>17</v>
      </c>
      <c r="G339" s="4" t="s">
        <v>18</v>
      </c>
      <c r="H339" s="4" t="s">
        <v>25</v>
      </c>
      <c r="I339" s="4" t="s">
        <v>26</v>
      </c>
      <c r="J339" s="4" t="s">
        <v>411</v>
      </c>
      <c r="K339" s="4" t="s">
        <v>112</v>
      </c>
      <c r="L339" s="5">
        <v>0.52777777777777779</v>
      </c>
      <c r="M339" s="4" t="s">
        <v>539</v>
      </c>
      <c r="N339" s="6" t="s">
        <v>23</v>
      </c>
      <c r="O339" s="4" t="s">
        <v>24</v>
      </c>
    </row>
    <row r="340" spans="1:15" x14ac:dyDescent="0.25">
      <c r="A340" s="4" t="s">
        <v>15</v>
      </c>
      <c r="B340" s="4" t="str">
        <f>"FES1162749447"</f>
        <v>FES1162749447</v>
      </c>
      <c r="C340" s="4" t="s">
        <v>21</v>
      </c>
      <c r="D340" s="4">
        <v>1</v>
      </c>
      <c r="E340" s="4" t="str">
        <f>"2170739949"</f>
        <v>2170739949</v>
      </c>
      <c r="F340" s="4" t="s">
        <v>17</v>
      </c>
      <c r="G340" s="4" t="s">
        <v>18</v>
      </c>
      <c r="H340" s="4" t="s">
        <v>18</v>
      </c>
      <c r="I340" s="4" t="s">
        <v>45</v>
      </c>
      <c r="J340" s="4" t="s">
        <v>412</v>
      </c>
      <c r="K340" s="4" t="s">
        <v>112</v>
      </c>
      <c r="L340" s="5">
        <v>0.52777777777777779</v>
      </c>
      <c r="M340" s="4" t="s">
        <v>655</v>
      </c>
      <c r="N340" s="6" t="s">
        <v>23</v>
      </c>
      <c r="O340" s="4" t="s">
        <v>24</v>
      </c>
    </row>
    <row r="341" spans="1:15" x14ac:dyDescent="0.25">
      <c r="A341" s="4" t="s">
        <v>15</v>
      </c>
      <c r="B341" s="4" t="str">
        <f>"FES1162749531"</f>
        <v>FES1162749531</v>
      </c>
      <c r="C341" s="4" t="s">
        <v>21</v>
      </c>
      <c r="D341" s="4">
        <v>1</v>
      </c>
      <c r="E341" s="4" t="str">
        <f>"2170740008"</f>
        <v>2170740008</v>
      </c>
      <c r="F341" s="4" t="s">
        <v>17</v>
      </c>
      <c r="G341" s="4" t="s">
        <v>18</v>
      </c>
      <c r="H341" s="4" t="s">
        <v>25</v>
      </c>
      <c r="I341" s="4" t="s">
        <v>26</v>
      </c>
      <c r="J341" s="4" t="s">
        <v>413</v>
      </c>
      <c r="K341" s="4" t="s">
        <v>112</v>
      </c>
      <c r="L341" s="5">
        <v>0.41736111111111113</v>
      </c>
      <c r="M341" s="4" t="s">
        <v>540</v>
      </c>
      <c r="N341" s="6" t="s">
        <v>23</v>
      </c>
      <c r="O341" s="4" t="s">
        <v>24</v>
      </c>
    </row>
    <row r="342" spans="1:15" x14ac:dyDescent="0.25">
      <c r="A342" s="4" t="s">
        <v>15</v>
      </c>
      <c r="B342" s="4" t="str">
        <f>"FES1162749535"</f>
        <v>FES1162749535</v>
      </c>
      <c r="C342" s="4" t="s">
        <v>21</v>
      </c>
      <c r="D342" s="4">
        <v>1</v>
      </c>
      <c r="E342" s="4" t="str">
        <f>"2170740012"</f>
        <v>2170740012</v>
      </c>
      <c r="F342" s="4" t="s">
        <v>17</v>
      </c>
      <c r="G342" s="4" t="s">
        <v>18</v>
      </c>
      <c r="H342" s="4" t="s">
        <v>25</v>
      </c>
      <c r="I342" s="4" t="s">
        <v>26</v>
      </c>
      <c r="J342" s="4" t="s">
        <v>414</v>
      </c>
      <c r="K342" s="4" t="s">
        <v>112</v>
      </c>
      <c r="L342" s="5">
        <v>0.47083333333333338</v>
      </c>
      <c r="M342" s="4" t="s">
        <v>541</v>
      </c>
      <c r="N342" s="6" t="s">
        <v>23</v>
      </c>
      <c r="O342" s="4" t="s">
        <v>24</v>
      </c>
    </row>
    <row r="343" spans="1:15" x14ac:dyDescent="0.25">
      <c r="A343" s="4" t="s">
        <v>15</v>
      </c>
      <c r="B343" s="4" t="str">
        <f>"FES1162749534"</f>
        <v>FES1162749534</v>
      </c>
      <c r="C343" s="4" t="s">
        <v>21</v>
      </c>
      <c r="D343" s="4">
        <v>1</v>
      </c>
      <c r="E343" s="4" t="str">
        <f>"2170740011"</f>
        <v>2170740011</v>
      </c>
      <c r="F343" s="4" t="s">
        <v>17</v>
      </c>
      <c r="G343" s="4" t="s">
        <v>18</v>
      </c>
      <c r="H343" s="4" t="s">
        <v>48</v>
      </c>
      <c r="I343" s="4" t="s">
        <v>108</v>
      </c>
      <c r="J343" s="4" t="s">
        <v>109</v>
      </c>
      <c r="K343" s="4" t="s">
        <v>112</v>
      </c>
      <c r="L343" s="5">
        <v>0.56041666666666667</v>
      </c>
      <c r="M343" s="4" t="s">
        <v>542</v>
      </c>
      <c r="N343" s="6" t="s">
        <v>23</v>
      </c>
      <c r="O343" s="4" t="s">
        <v>24</v>
      </c>
    </row>
    <row r="344" spans="1:15" x14ac:dyDescent="0.25">
      <c r="A344" s="4" t="s">
        <v>15</v>
      </c>
      <c r="B344" s="4" t="str">
        <f>"009935712297"</f>
        <v>009935712297</v>
      </c>
      <c r="C344" s="4" t="s">
        <v>21</v>
      </c>
      <c r="D344" s="4">
        <v>1</v>
      </c>
      <c r="E344" s="4" t="str">
        <f>"116275500"</f>
        <v>116275500</v>
      </c>
      <c r="F344" s="4" t="s">
        <v>17</v>
      </c>
      <c r="G344" s="4" t="s">
        <v>18</v>
      </c>
      <c r="H344" s="4" t="s">
        <v>18</v>
      </c>
      <c r="I344" s="4" t="s">
        <v>29</v>
      </c>
      <c r="J344" s="4" t="s">
        <v>389</v>
      </c>
      <c r="K344" s="4" t="s">
        <v>112</v>
      </c>
      <c r="L344" s="5">
        <v>0.33333333333333331</v>
      </c>
      <c r="M344" s="4" t="s">
        <v>517</v>
      </c>
      <c r="N344" s="6" t="s">
        <v>23</v>
      </c>
      <c r="O344" s="4" t="s">
        <v>297</v>
      </c>
    </row>
    <row r="345" spans="1:15" x14ac:dyDescent="0.25">
      <c r="A345" s="4" t="s">
        <v>15</v>
      </c>
      <c r="B345" s="4" t="str">
        <f>"FES1162749475"</f>
        <v>FES1162749475</v>
      </c>
      <c r="C345" s="4" t="s">
        <v>21</v>
      </c>
      <c r="D345" s="4">
        <v>1</v>
      </c>
      <c r="E345" s="4" t="str">
        <f>"2170739972"</f>
        <v>2170739972</v>
      </c>
      <c r="F345" s="4" t="s">
        <v>17</v>
      </c>
      <c r="G345" s="4" t="s">
        <v>18</v>
      </c>
      <c r="H345" s="4" t="s">
        <v>18</v>
      </c>
      <c r="I345" s="4" t="s">
        <v>19</v>
      </c>
      <c r="J345" s="4" t="s">
        <v>415</v>
      </c>
      <c r="K345" s="4" t="s">
        <v>112</v>
      </c>
      <c r="L345" s="5">
        <v>0.36805555555555558</v>
      </c>
      <c r="M345" s="4" t="s">
        <v>543</v>
      </c>
      <c r="N345" s="6" t="s">
        <v>23</v>
      </c>
      <c r="O345" s="4" t="s">
        <v>24</v>
      </c>
    </row>
    <row r="346" spans="1:15" x14ac:dyDescent="0.25">
      <c r="A346" s="4" t="s">
        <v>15</v>
      </c>
      <c r="B346" s="4" t="str">
        <f>"FES1162749448"</f>
        <v>FES1162749448</v>
      </c>
      <c r="C346" s="4" t="s">
        <v>21</v>
      </c>
      <c r="D346" s="4">
        <v>1</v>
      </c>
      <c r="E346" s="4" t="str">
        <f>"2170739954"</f>
        <v>2170739954</v>
      </c>
      <c r="F346" s="4" t="s">
        <v>17</v>
      </c>
      <c r="G346" s="4" t="s">
        <v>18</v>
      </c>
      <c r="H346" s="4" t="s">
        <v>18</v>
      </c>
      <c r="I346" s="4" t="s">
        <v>121</v>
      </c>
      <c r="J346" s="4" t="s">
        <v>387</v>
      </c>
      <c r="K346" s="4" t="s">
        <v>112</v>
      </c>
      <c r="L346" s="5">
        <v>0.4236111111111111</v>
      </c>
      <c r="M346" s="4" t="s">
        <v>515</v>
      </c>
      <c r="N346" s="6" t="s">
        <v>23</v>
      </c>
      <c r="O346" s="4" t="s">
        <v>24</v>
      </c>
    </row>
    <row r="347" spans="1:15" x14ac:dyDescent="0.25">
      <c r="A347" s="4" t="s">
        <v>15</v>
      </c>
      <c r="B347" s="4" t="str">
        <f>"FES1162749525"</f>
        <v>FES1162749525</v>
      </c>
      <c r="C347" s="4" t="s">
        <v>21</v>
      </c>
      <c r="D347" s="4">
        <v>1</v>
      </c>
      <c r="E347" s="4" t="str">
        <f>"2170740003"</f>
        <v>2170740003</v>
      </c>
      <c r="F347" s="4" t="s">
        <v>17</v>
      </c>
      <c r="G347" s="4" t="s">
        <v>18</v>
      </c>
      <c r="H347" s="4" t="s">
        <v>40</v>
      </c>
      <c r="I347" s="4" t="s">
        <v>41</v>
      </c>
      <c r="J347" s="4" t="s">
        <v>99</v>
      </c>
      <c r="K347" s="4" t="s">
        <v>112</v>
      </c>
      <c r="L347" s="5">
        <v>0.4236111111111111</v>
      </c>
      <c r="M347" s="4" t="s">
        <v>653</v>
      </c>
      <c r="N347" s="6" t="s">
        <v>23</v>
      </c>
      <c r="O347" s="4" t="s">
        <v>24</v>
      </c>
    </row>
    <row r="348" spans="1:15" x14ac:dyDescent="0.25">
      <c r="A348" s="4" t="s">
        <v>15</v>
      </c>
      <c r="B348" s="4" t="str">
        <f>"FES1162749515"</f>
        <v>FES1162749515</v>
      </c>
      <c r="C348" s="4" t="s">
        <v>21</v>
      </c>
      <c r="D348" s="4">
        <v>1</v>
      </c>
      <c r="E348" s="4" t="str">
        <f>"2170739985"</f>
        <v>2170739985</v>
      </c>
      <c r="F348" s="4" t="s">
        <v>17</v>
      </c>
      <c r="G348" s="4" t="s">
        <v>18</v>
      </c>
      <c r="H348" s="4" t="s">
        <v>85</v>
      </c>
      <c r="I348" s="4" t="s">
        <v>207</v>
      </c>
      <c r="J348" s="4" t="s">
        <v>406</v>
      </c>
      <c r="K348" s="4" t="s">
        <v>112</v>
      </c>
      <c r="L348" s="5">
        <v>0.41250000000000003</v>
      </c>
      <c r="M348" s="4" t="s">
        <v>544</v>
      </c>
      <c r="N348" s="6" t="s">
        <v>23</v>
      </c>
      <c r="O348" s="4" t="s">
        <v>24</v>
      </c>
    </row>
    <row r="349" spans="1:15" x14ac:dyDescent="0.25">
      <c r="A349" s="4" t="s">
        <v>15</v>
      </c>
      <c r="B349" s="4" t="str">
        <f>"FES1162749536"</f>
        <v>FES1162749536</v>
      </c>
      <c r="C349" s="4" t="s">
        <v>21</v>
      </c>
      <c r="D349" s="4">
        <v>1</v>
      </c>
      <c r="E349" s="4" t="str">
        <f>"2170740022"</f>
        <v>2170740022</v>
      </c>
      <c r="F349" s="4" t="s">
        <v>17</v>
      </c>
      <c r="G349" s="4" t="s">
        <v>18</v>
      </c>
      <c r="H349" s="4" t="s">
        <v>25</v>
      </c>
      <c r="I349" s="4" t="s">
        <v>26</v>
      </c>
      <c r="J349" s="4" t="s">
        <v>416</v>
      </c>
      <c r="K349" s="4" t="s">
        <v>112</v>
      </c>
      <c r="L349" s="5">
        <v>0.375</v>
      </c>
      <c r="M349" s="4" t="s">
        <v>545</v>
      </c>
      <c r="N349" s="6" t="s">
        <v>23</v>
      </c>
      <c r="O349" s="4" t="s">
        <v>24</v>
      </c>
    </row>
    <row r="350" spans="1:15" x14ac:dyDescent="0.25">
      <c r="A350" s="4" t="s">
        <v>15</v>
      </c>
      <c r="B350" s="4" t="str">
        <f>"RFES1162748424"</f>
        <v>RFES1162748424</v>
      </c>
      <c r="C350" s="4" t="s">
        <v>21</v>
      </c>
      <c r="D350" s="4">
        <v>1</v>
      </c>
      <c r="E350" s="4" t="str">
        <f>"2170739016 CLIENT"</f>
        <v>2170739016 CLIENT</v>
      </c>
      <c r="F350" s="4" t="s">
        <v>17</v>
      </c>
      <c r="G350" s="4" t="s">
        <v>18</v>
      </c>
      <c r="H350" s="4" t="s">
        <v>18</v>
      </c>
      <c r="I350" s="4" t="s">
        <v>29</v>
      </c>
      <c r="J350" s="4" t="s">
        <v>417</v>
      </c>
      <c r="K350" s="4" t="s">
        <v>112</v>
      </c>
      <c r="L350" s="5">
        <v>0.38611111111111113</v>
      </c>
      <c r="M350" s="4" t="s">
        <v>546</v>
      </c>
      <c r="N350" s="6" t="s">
        <v>23</v>
      </c>
      <c r="O350" s="4" t="s">
        <v>24</v>
      </c>
    </row>
    <row r="351" spans="1:15" ht="15.75" thickBot="1" x14ac:dyDescent="0.3">
      <c r="A351" s="7" t="s">
        <v>15</v>
      </c>
      <c r="B351" s="7" t="str">
        <f>"009940066486"</f>
        <v>009940066486</v>
      </c>
      <c r="C351" s="7" t="s">
        <v>21</v>
      </c>
      <c r="D351" s="7">
        <v>1</v>
      </c>
      <c r="E351" s="7" t="str">
        <f>"JNB2006020197"</f>
        <v>JNB2006020197</v>
      </c>
      <c r="F351" s="7" t="s">
        <v>17</v>
      </c>
      <c r="G351" s="7" t="s">
        <v>48</v>
      </c>
      <c r="H351" s="7" t="s">
        <v>48</v>
      </c>
      <c r="I351" s="7" t="s">
        <v>49</v>
      </c>
      <c r="J351" s="7" t="s">
        <v>547</v>
      </c>
      <c r="K351" s="7" t="s">
        <v>112</v>
      </c>
      <c r="L351" s="8">
        <v>0.3354166666666667</v>
      </c>
      <c r="M351" s="7" t="s">
        <v>418</v>
      </c>
      <c r="N351" s="7" t="s">
        <v>23</v>
      </c>
      <c r="O351" s="7" t="s">
        <v>24</v>
      </c>
    </row>
    <row r="352" spans="1:15" x14ac:dyDescent="0.25">
      <c r="A352" s="1" t="s">
        <v>15</v>
      </c>
      <c r="B352" s="1" t="str">
        <f>"FES1162749603"</f>
        <v>FES1162749603</v>
      </c>
      <c r="C352" s="1" t="s">
        <v>112</v>
      </c>
      <c r="D352" s="1">
        <v>0</v>
      </c>
      <c r="E352" s="1" t="str">
        <f>"2170740066"</f>
        <v>2170740066</v>
      </c>
      <c r="F352" s="1" t="s">
        <v>17</v>
      </c>
      <c r="G352" s="1" t="s">
        <v>18</v>
      </c>
      <c r="H352" s="1" t="s">
        <v>48</v>
      </c>
      <c r="I352" s="1" t="s">
        <v>49</v>
      </c>
      <c r="J352" s="1" t="s">
        <v>548</v>
      </c>
      <c r="K352" s="1" t="s">
        <v>556</v>
      </c>
      <c r="L352" s="2">
        <v>0.37777777777777777</v>
      </c>
      <c r="M352" s="1" t="s">
        <v>656</v>
      </c>
      <c r="N352" s="1" t="s">
        <v>23</v>
      </c>
      <c r="O352" s="1" t="s">
        <v>24</v>
      </c>
    </row>
    <row r="353" spans="1:15" x14ac:dyDescent="0.25">
      <c r="A353" s="4" t="s">
        <v>15</v>
      </c>
      <c r="B353" s="4" t="str">
        <f>"FES1162749596"</f>
        <v>FES1162749596</v>
      </c>
      <c r="C353" s="4" t="s">
        <v>112</v>
      </c>
      <c r="D353" s="4">
        <v>1</v>
      </c>
      <c r="E353" s="4" t="str">
        <f>"2170739721"</f>
        <v>2170739721</v>
      </c>
      <c r="F353" s="4" t="s">
        <v>17</v>
      </c>
      <c r="G353" s="4" t="s">
        <v>18</v>
      </c>
      <c r="H353" s="4" t="s">
        <v>18</v>
      </c>
      <c r="I353" s="4" t="s">
        <v>29</v>
      </c>
      <c r="J353" s="4" t="s">
        <v>549</v>
      </c>
      <c r="K353" s="4" t="s">
        <v>556</v>
      </c>
      <c r="L353" s="5">
        <v>0.3263888888888889</v>
      </c>
      <c r="M353" s="4" t="s">
        <v>65</v>
      </c>
      <c r="N353" s="4" t="s">
        <v>23</v>
      </c>
      <c r="O353" s="4" t="s">
        <v>24</v>
      </c>
    </row>
    <row r="354" spans="1:15" x14ac:dyDescent="0.25">
      <c r="A354" s="4" t="s">
        <v>15</v>
      </c>
      <c r="B354" s="4" t="str">
        <f>"FES1162749540"</f>
        <v>FES1162749540</v>
      </c>
      <c r="C354" s="4" t="s">
        <v>112</v>
      </c>
      <c r="D354" s="4">
        <v>0</v>
      </c>
      <c r="E354" s="4" t="str">
        <f>"2170739520"</f>
        <v>2170739520</v>
      </c>
      <c r="F354" s="4" t="s">
        <v>17</v>
      </c>
      <c r="G354" s="4" t="s">
        <v>18</v>
      </c>
      <c r="H354" s="4" t="s">
        <v>25</v>
      </c>
      <c r="I354" s="4" t="s">
        <v>26</v>
      </c>
      <c r="J354" s="4" t="s">
        <v>279</v>
      </c>
      <c r="K354" s="4" t="s">
        <v>556</v>
      </c>
      <c r="L354" s="5">
        <v>0.38194444444444442</v>
      </c>
      <c r="M354" s="4" t="s">
        <v>444</v>
      </c>
      <c r="N354" s="4" t="s">
        <v>23</v>
      </c>
      <c r="O354" s="4" t="s">
        <v>24</v>
      </c>
    </row>
    <row r="355" spans="1:15" x14ac:dyDescent="0.25">
      <c r="A355" s="4" t="s">
        <v>15</v>
      </c>
      <c r="B355" s="4" t="str">
        <f>"FES1162749588"</f>
        <v>FES1162749588</v>
      </c>
      <c r="C355" s="4" t="s">
        <v>112</v>
      </c>
      <c r="D355" s="4">
        <v>0</v>
      </c>
      <c r="E355" s="4" t="str">
        <f>"2170738321"</f>
        <v>2170738321</v>
      </c>
      <c r="F355" s="4" t="s">
        <v>17</v>
      </c>
      <c r="G355" s="4" t="s">
        <v>18</v>
      </c>
      <c r="H355" s="4" t="s">
        <v>18</v>
      </c>
      <c r="I355" s="4" t="s">
        <v>29</v>
      </c>
      <c r="J355" s="4" t="s">
        <v>550</v>
      </c>
      <c r="K355" s="4" t="s">
        <v>556</v>
      </c>
      <c r="L355" s="5">
        <v>0.33333333333333331</v>
      </c>
      <c r="M355" s="4" t="s">
        <v>657</v>
      </c>
      <c r="N355" s="4" t="s">
        <v>23</v>
      </c>
      <c r="O355" s="4" t="s">
        <v>24</v>
      </c>
    </row>
    <row r="356" spans="1:15" x14ac:dyDescent="0.25">
      <c r="A356" s="4" t="s">
        <v>15</v>
      </c>
      <c r="B356" s="4" t="str">
        <f>"FES1162749544"</f>
        <v>FES1162749544</v>
      </c>
      <c r="C356" s="4" t="s">
        <v>112</v>
      </c>
      <c r="D356" s="4">
        <v>0</v>
      </c>
      <c r="E356" s="4" t="str">
        <f>"2170739942"</f>
        <v>2170739942</v>
      </c>
      <c r="F356" s="4" t="s">
        <v>17</v>
      </c>
      <c r="G356" s="4" t="s">
        <v>18</v>
      </c>
      <c r="H356" s="4" t="s">
        <v>85</v>
      </c>
      <c r="I356" s="4" t="s">
        <v>144</v>
      </c>
      <c r="J356" s="4" t="s">
        <v>255</v>
      </c>
      <c r="K356" s="4" t="s">
        <v>556</v>
      </c>
      <c r="L356" s="5">
        <v>0.68611111111111101</v>
      </c>
      <c r="M356" s="4" t="s">
        <v>658</v>
      </c>
      <c r="N356" s="4" t="s">
        <v>23</v>
      </c>
      <c r="O356" s="4" t="s">
        <v>24</v>
      </c>
    </row>
    <row r="357" spans="1:15" x14ac:dyDescent="0.25">
      <c r="A357" s="4" t="s">
        <v>15</v>
      </c>
      <c r="B357" s="4" t="str">
        <f>"FES1162749562"</f>
        <v>FES1162749562</v>
      </c>
      <c r="C357" s="4" t="s">
        <v>112</v>
      </c>
      <c r="D357" s="4">
        <v>0</v>
      </c>
      <c r="E357" s="4" t="str">
        <f>"2170740048"</f>
        <v>2170740048</v>
      </c>
      <c r="F357" s="4" t="s">
        <v>17</v>
      </c>
      <c r="G357" s="4" t="s">
        <v>18</v>
      </c>
      <c r="H357" s="4" t="s">
        <v>25</v>
      </c>
      <c r="I357" s="4" t="s">
        <v>26</v>
      </c>
      <c r="J357" s="4" t="s">
        <v>286</v>
      </c>
      <c r="K357" s="4" t="s">
        <v>556</v>
      </c>
      <c r="L357" s="5">
        <v>0.37847222222222227</v>
      </c>
      <c r="M357" s="4" t="s">
        <v>659</v>
      </c>
      <c r="N357" s="4" t="s">
        <v>23</v>
      </c>
      <c r="O357" s="4" t="s">
        <v>24</v>
      </c>
    </row>
    <row r="358" spans="1:15" x14ac:dyDescent="0.25">
      <c r="A358" s="4" t="s">
        <v>15</v>
      </c>
      <c r="B358" s="4" t="str">
        <f>"FES1162749725"</f>
        <v>FES1162749725</v>
      </c>
      <c r="C358" s="4" t="s">
        <v>112</v>
      </c>
      <c r="D358" s="4">
        <v>1</v>
      </c>
      <c r="E358" s="4" t="str">
        <f>"2170739209"</f>
        <v>2170739209</v>
      </c>
      <c r="F358" s="4" t="s">
        <v>17</v>
      </c>
      <c r="G358" s="4" t="s">
        <v>18</v>
      </c>
      <c r="H358" s="4" t="s">
        <v>48</v>
      </c>
      <c r="I358" s="4" t="s">
        <v>49</v>
      </c>
      <c r="J358" s="4" t="s">
        <v>119</v>
      </c>
      <c r="K358" s="4" t="s">
        <v>556</v>
      </c>
      <c r="L358" s="5">
        <v>0.41666666666666669</v>
      </c>
      <c r="M358" s="4" t="s">
        <v>660</v>
      </c>
      <c r="N358" s="4" t="s">
        <v>23</v>
      </c>
      <c r="O358" s="4" t="s">
        <v>24</v>
      </c>
    </row>
    <row r="359" spans="1:15" x14ac:dyDescent="0.25">
      <c r="A359" s="4" t="s">
        <v>15</v>
      </c>
      <c r="B359" s="4" t="str">
        <f>"FES1162749578"</f>
        <v>FES1162749578</v>
      </c>
      <c r="C359" s="4" t="s">
        <v>112</v>
      </c>
      <c r="D359" s="4">
        <v>0</v>
      </c>
      <c r="E359" s="4" t="str">
        <f>"2170733280"</f>
        <v>2170733280</v>
      </c>
      <c r="F359" s="4" t="s">
        <v>17</v>
      </c>
      <c r="G359" s="4" t="s">
        <v>18</v>
      </c>
      <c r="H359" s="4" t="s">
        <v>18</v>
      </c>
      <c r="I359" s="4" t="s">
        <v>58</v>
      </c>
      <c r="J359" s="4" t="s">
        <v>551</v>
      </c>
      <c r="K359" s="4" t="s">
        <v>556</v>
      </c>
      <c r="L359" s="5">
        <v>0.34236111111111112</v>
      </c>
      <c r="M359" s="4" t="s">
        <v>661</v>
      </c>
      <c r="N359" s="4" t="s">
        <v>23</v>
      </c>
      <c r="O359" s="4" t="s">
        <v>24</v>
      </c>
    </row>
    <row r="360" spans="1:15" x14ac:dyDescent="0.25">
      <c r="A360" s="4" t="s">
        <v>15</v>
      </c>
      <c r="B360" s="4" t="str">
        <f>"FES1162749547"</f>
        <v>FES1162749547</v>
      </c>
      <c r="C360" s="4" t="s">
        <v>112</v>
      </c>
      <c r="D360" s="4">
        <v>0</v>
      </c>
      <c r="E360" s="4" t="str">
        <f>"2170739995"</f>
        <v>2170739995</v>
      </c>
      <c r="F360" s="4" t="s">
        <v>17</v>
      </c>
      <c r="G360" s="4" t="s">
        <v>18</v>
      </c>
      <c r="H360" s="4" t="s">
        <v>48</v>
      </c>
      <c r="I360" s="4" t="s">
        <v>110</v>
      </c>
      <c r="J360" s="4" t="s">
        <v>552</v>
      </c>
      <c r="K360" s="4" t="s">
        <v>662</v>
      </c>
      <c r="L360" s="5">
        <v>0.3659722222222222</v>
      </c>
      <c r="M360" s="4" t="s">
        <v>552</v>
      </c>
      <c r="N360" s="4" t="s">
        <v>23</v>
      </c>
      <c r="O360" s="4" t="s">
        <v>24</v>
      </c>
    </row>
    <row r="361" spans="1:15" x14ac:dyDescent="0.25">
      <c r="A361" s="4" t="s">
        <v>15</v>
      </c>
      <c r="B361" s="4" t="str">
        <f>"FES1162749554"</f>
        <v>FES1162749554</v>
      </c>
      <c r="C361" s="4" t="s">
        <v>112</v>
      </c>
      <c r="D361" s="4">
        <v>0</v>
      </c>
      <c r="E361" s="4" t="str">
        <f>"2170740021"</f>
        <v>2170740021</v>
      </c>
      <c r="F361" s="4" t="s">
        <v>17</v>
      </c>
      <c r="G361" s="4" t="s">
        <v>18</v>
      </c>
      <c r="H361" s="4" t="s">
        <v>25</v>
      </c>
      <c r="I361" s="4" t="s">
        <v>26</v>
      </c>
      <c r="J361" s="4" t="s">
        <v>414</v>
      </c>
      <c r="K361" s="4" t="s">
        <v>556</v>
      </c>
      <c r="L361" s="5">
        <v>0.43888888888888888</v>
      </c>
      <c r="M361" s="4" t="s">
        <v>541</v>
      </c>
      <c r="N361" s="4" t="s">
        <v>23</v>
      </c>
      <c r="O361" s="4" t="s">
        <v>24</v>
      </c>
    </row>
    <row r="362" spans="1:15" x14ac:dyDescent="0.25">
      <c r="A362" s="4" t="s">
        <v>15</v>
      </c>
      <c r="B362" s="4" t="str">
        <f>"FES1162749601"</f>
        <v>FES1162749601</v>
      </c>
      <c r="C362" s="4" t="s">
        <v>112</v>
      </c>
      <c r="D362" s="4">
        <v>1</v>
      </c>
      <c r="E362" s="4" t="str">
        <f>"2170739869"</f>
        <v>2170739869</v>
      </c>
      <c r="F362" s="4" t="s">
        <v>17</v>
      </c>
      <c r="G362" s="4" t="s">
        <v>18</v>
      </c>
      <c r="H362" s="4" t="s">
        <v>85</v>
      </c>
      <c r="I362" s="4" t="s">
        <v>207</v>
      </c>
      <c r="J362" s="4" t="s">
        <v>553</v>
      </c>
      <c r="K362" s="4" t="s">
        <v>556</v>
      </c>
      <c r="L362" s="5">
        <v>0.53611111111111109</v>
      </c>
      <c r="M362" s="4" t="s">
        <v>663</v>
      </c>
      <c r="N362" s="4" t="s">
        <v>23</v>
      </c>
      <c r="O362" s="4" t="s">
        <v>24</v>
      </c>
    </row>
    <row r="363" spans="1:15" x14ac:dyDescent="0.25">
      <c r="A363" s="4" t="s">
        <v>15</v>
      </c>
      <c r="B363" s="4" t="str">
        <f>"FES1162749712"</f>
        <v>FES1162749712</v>
      </c>
      <c r="C363" s="4" t="s">
        <v>112</v>
      </c>
      <c r="D363" s="4">
        <v>1</v>
      </c>
      <c r="E363" s="4" t="str">
        <f>"2170738944"</f>
        <v>2170738944</v>
      </c>
      <c r="F363" s="4" t="s">
        <v>17</v>
      </c>
      <c r="G363" s="4" t="s">
        <v>18</v>
      </c>
      <c r="H363" s="4" t="s">
        <v>18</v>
      </c>
      <c r="I363" s="4" t="s">
        <v>219</v>
      </c>
      <c r="J363" s="4" t="s">
        <v>554</v>
      </c>
      <c r="K363" s="4" t="s">
        <v>556</v>
      </c>
      <c r="L363" s="5">
        <v>0.4201388888888889</v>
      </c>
      <c r="M363" s="4" t="s">
        <v>664</v>
      </c>
      <c r="N363" s="4" t="s">
        <v>23</v>
      </c>
      <c r="O363" s="4" t="s">
        <v>24</v>
      </c>
    </row>
    <row r="364" spans="1:15" x14ac:dyDescent="0.25">
      <c r="A364" s="4" t="s">
        <v>15</v>
      </c>
      <c r="B364" s="4" t="str">
        <f>"FES1162749552"</f>
        <v>FES1162749552</v>
      </c>
      <c r="C364" s="4" t="s">
        <v>112</v>
      </c>
      <c r="D364" s="4">
        <v>1</v>
      </c>
      <c r="E364" s="4" t="str">
        <f>"2170740018"</f>
        <v>2170740018</v>
      </c>
      <c r="F364" s="4" t="s">
        <v>17</v>
      </c>
      <c r="G364" s="4" t="s">
        <v>18</v>
      </c>
      <c r="H364" s="4" t="s">
        <v>25</v>
      </c>
      <c r="I364" s="4" t="s">
        <v>26</v>
      </c>
      <c r="J364" s="4" t="s">
        <v>414</v>
      </c>
      <c r="K364" s="4" t="s">
        <v>556</v>
      </c>
      <c r="L364" s="5">
        <v>0.43888888888888888</v>
      </c>
      <c r="M364" s="4" t="s">
        <v>541</v>
      </c>
      <c r="N364" s="4" t="s">
        <v>23</v>
      </c>
      <c r="O364" s="4" t="s">
        <v>24</v>
      </c>
    </row>
    <row r="365" spans="1:15" x14ac:dyDescent="0.25">
      <c r="A365" s="4" t="s">
        <v>15</v>
      </c>
      <c r="B365" s="4" t="str">
        <f>"FES1162749555"</f>
        <v>FES1162749555</v>
      </c>
      <c r="C365" s="4" t="s">
        <v>112</v>
      </c>
      <c r="D365" s="4">
        <v>1</v>
      </c>
      <c r="E365" s="4" t="str">
        <f>"2170740023"</f>
        <v>2170740023</v>
      </c>
      <c r="F365" s="4" t="s">
        <v>17</v>
      </c>
      <c r="G365" s="4" t="s">
        <v>18</v>
      </c>
      <c r="H365" s="4" t="s">
        <v>25</v>
      </c>
      <c r="I365" s="4" t="s">
        <v>26</v>
      </c>
      <c r="J365" s="4" t="s">
        <v>416</v>
      </c>
      <c r="K365" s="4" t="s">
        <v>556</v>
      </c>
      <c r="L365" s="5">
        <v>0.40416666666666662</v>
      </c>
      <c r="M365" s="4" t="s">
        <v>665</v>
      </c>
      <c r="N365" s="4" t="s">
        <v>23</v>
      </c>
      <c r="O365" s="4" t="s">
        <v>24</v>
      </c>
    </row>
    <row r="366" spans="1:15" x14ac:dyDescent="0.25">
      <c r="A366" s="4" t="s">
        <v>15</v>
      </c>
      <c r="B366" s="4" t="str">
        <f>"FES1162749537"</f>
        <v>FES1162749537</v>
      </c>
      <c r="C366" s="4" t="s">
        <v>112</v>
      </c>
      <c r="D366" s="4">
        <v>1</v>
      </c>
      <c r="E366" s="4" t="str">
        <f>"2170738752"</f>
        <v>2170738752</v>
      </c>
      <c r="F366" s="4" t="s">
        <v>17</v>
      </c>
      <c r="G366" s="4" t="s">
        <v>18</v>
      </c>
      <c r="H366" s="4" t="s">
        <v>25</v>
      </c>
      <c r="I366" s="4" t="s">
        <v>92</v>
      </c>
      <c r="J366" s="4" t="s">
        <v>555</v>
      </c>
      <c r="K366" s="4" t="s">
        <v>556</v>
      </c>
      <c r="L366" s="5">
        <v>0.3576388888888889</v>
      </c>
      <c r="M366" s="4" t="s">
        <v>557</v>
      </c>
      <c r="N366" s="4" t="s">
        <v>23</v>
      </c>
      <c r="O366" s="4" t="s">
        <v>24</v>
      </c>
    </row>
    <row r="367" spans="1:15" x14ac:dyDescent="0.25">
      <c r="A367" s="4" t="s">
        <v>15</v>
      </c>
      <c r="B367" s="4" t="str">
        <f>"FES1162749597"</f>
        <v>FES1162749597</v>
      </c>
      <c r="C367" s="4" t="s">
        <v>112</v>
      </c>
      <c r="D367" s="4">
        <v>1</v>
      </c>
      <c r="E367" s="4" t="str">
        <f>"2170739832"</f>
        <v>2170739832</v>
      </c>
      <c r="F367" s="4" t="s">
        <v>17</v>
      </c>
      <c r="G367" s="4" t="s">
        <v>18</v>
      </c>
      <c r="H367" s="4" t="s">
        <v>48</v>
      </c>
      <c r="I367" s="4" t="s">
        <v>558</v>
      </c>
      <c r="J367" s="4" t="s">
        <v>559</v>
      </c>
      <c r="K367" s="4" t="s">
        <v>556</v>
      </c>
      <c r="L367" s="5">
        <v>0.41666666666666669</v>
      </c>
      <c r="M367" s="4" t="s">
        <v>666</v>
      </c>
      <c r="N367" s="4" t="s">
        <v>23</v>
      </c>
      <c r="O367" s="4" t="s">
        <v>24</v>
      </c>
    </row>
    <row r="368" spans="1:15" x14ac:dyDescent="0.25">
      <c r="A368" s="4" t="s">
        <v>15</v>
      </c>
      <c r="B368" s="4" t="str">
        <f>"FES1162749543"</f>
        <v>FES1162749543</v>
      </c>
      <c r="C368" s="4" t="s">
        <v>112</v>
      </c>
      <c r="D368" s="4">
        <v>1</v>
      </c>
      <c r="E368" s="4" t="str">
        <f>"2170739878"</f>
        <v>2170739878</v>
      </c>
      <c r="F368" s="4" t="s">
        <v>17</v>
      </c>
      <c r="G368" s="4" t="s">
        <v>18</v>
      </c>
      <c r="H368" s="4" t="s">
        <v>48</v>
      </c>
      <c r="I368" s="4" t="s">
        <v>110</v>
      </c>
      <c r="J368" s="4" t="s">
        <v>111</v>
      </c>
      <c r="K368" s="4" t="s">
        <v>662</v>
      </c>
      <c r="L368" s="5">
        <v>0.34791666666666665</v>
      </c>
      <c r="M368" s="4" t="s">
        <v>111</v>
      </c>
      <c r="N368" s="4" t="s">
        <v>23</v>
      </c>
      <c r="O368" s="4" t="s">
        <v>24</v>
      </c>
    </row>
    <row r="369" spans="1:15" x14ac:dyDescent="0.25">
      <c r="A369" s="4" t="s">
        <v>15</v>
      </c>
      <c r="B369" s="4" t="str">
        <f>"FES1162749546"</f>
        <v>FES1162749546</v>
      </c>
      <c r="C369" s="4" t="s">
        <v>112</v>
      </c>
      <c r="D369" s="4">
        <v>1</v>
      </c>
      <c r="E369" s="4" t="str">
        <f>"2170739978"</f>
        <v>2170739978</v>
      </c>
      <c r="F369" s="4" t="s">
        <v>17</v>
      </c>
      <c r="G369" s="4" t="s">
        <v>18</v>
      </c>
      <c r="H369" s="4" t="s">
        <v>48</v>
      </c>
      <c r="I369" s="4" t="s">
        <v>199</v>
      </c>
      <c r="J369" s="4" t="s">
        <v>560</v>
      </c>
      <c r="K369" s="4" t="s">
        <v>556</v>
      </c>
      <c r="L369" s="5">
        <v>0.59236111111111112</v>
      </c>
      <c r="M369" s="4" t="s">
        <v>667</v>
      </c>
      <c r="N369" s="4" t="s">
        <v>23</v>
      </c>
      <c r="O369" s="4" t="s">
        <v>24</v>
      </c>
    </row>
    <row r="370" spans="1:15" x14ac:dyDescent="0.25">
      <c r="A370" s="4" t="s">
        <v>15</v>
      </c>
      <c r="B370" s="4" t="str">
        <f>"FES1162749575"</f>
        <v>FES1162749575</v>
      </c>
      <c r="C370" s="4" t="s">
        <v>112</v>
      </c>
      <c r="D370" s="4">
        <v>1</v>
      </c>
      <c r="E370" s="4" t="str">
        <f>"2170740056"</f>
        <v>2170740056</v>
      </c>
      <c r="F370" s="4" t="s">
        <v>17</v>
      </c>
      <c r="G370" s="4" t="s">
        <v>18</v>
      </c>
      <c r="H370" s="4" t="s">
        <v>48</v>
      </c>
      <c r="I370" s="4" t="s">
        <v>49</v>
      </c>
      <c r="J370" s="4" t="s">
        <v>100</v>
      </c>
      <c r="K370" s="4" t="s">
        <v>556</v>
      </c>
      <c r="L370" s="5">
        <v>0.39444444444444443</v>
      </c>
      <c r="M370" s="4" t="s">
        <v>668</v>
      </c>
      <c r="N370" s="4" t="s">
        <v>23</v>
      </c>
      <c r="O370" s="4" t="s">
        <v>24</v>
      </c>
    </row>
    <row r="371" spans="1:15" x14ac:dyDescent="0.25">
      <c r="A371" s="10" t="s">
        <v>15</v>
      </c>
      <c r="B371" s="10" t="str">
        <f>"FES1162749570"</f>
        <v>FES1162749570</v>
      </c>
      <c r="C371" s="10" t="s">
        <v>112</v>
      </c>
      <c r="D371" s="10">
        <v>1</v>
      </c>
      <c r="E371" s="10" t="str">
        <f>"2170739884"</f>
        <v>2170739884</v>
      </c>
      <c r="F371" s="10" t="s">
        <v>135</v>
      </c>
      <c r="G371" s="10" t="s">
        <v>18</v>
      </c>
      <c r="H371" s="10" t="s">
        <v>48</v>
      </c>
      <c r="I371" s="10" t="s">
        <v>49</v>
      </c>
      <c r="J371" s="10" t="s">
        <v>561</v>
      </c>
      <c r="K371" s="10" t="s">
        <v>43</v>
      </c>
      <c r="L371" s="10"/>
      <c r="M371" s="10" t="s">
        <v>44</v>
      </c>
      <c r="N371" s="10" t="s">
        <v>833</v>
      </c>
      <c r="O371" s="10" t="s">
        <v>1112</v>
      </c>
    </row>
    <row r="372" spans="1:15" x14ac:dyDescent="0.25">
      <c r="A372" s="4" t="s">
        <v>15</v>
      </c>
      <c r="B372" s="4" t="str">
        <f>"FES1162749542"</f>
        <v>FES1162749542</v>
      </c>
      <c r="C372" s="4" t="s">
        <v>112</v>
      </c>
      <c r="D372" s="4">
        <v>1</v>
      </c>
      <c r="E372" s="4" t="str">
        <f>"2170739787"</f>
        <v>2170739787</v>
      </c>
      <c r="F372" s="4" t="s">
        <v>135</v>
      </c>
      <c r="G372" s="4" t="s">
        <v>18</v>
      </c>
      <c r="H372" s="4" t="s">
        <v>85</v>
      </c>
      <c r="I372" s="4" t="s">
        <v>207</v>
      </c>
      <c r="J372" s="4" t="s">
        <v>245</v>
      </c>
      <c r="K372" s="4" t="s">
        <v>556</v>
      </c>
      <c r="L372" s="5">
        <v>0.59305555555555556</v>
      </c>
      <c r="M372" s="4" t="s">
        <v>669</v>
      </c>
      <c r="N372" s="4" t="s">
        <v>23</v>
      </c>
      <c r="O372" s="4" t="s">
        <v>24</v>
      </c>
    </row>
    <row r="373" spans="1:15" x14ac:dyDescent="0.25">
      <c r="A373" s="4" t="s">
        <v>15</v>
      </c>
      <c r="B373" s="4" t="str">
        <f>"FES1162749592"</f>
        <v>FES1162749592</v>
      </c>
      <c r="C373" s="4" t="s">
        <v>112</v>
      </c>
      <c r="D373" s="4">
        <v>1</v>
      </c>
      <c r="E373" s="4" t="str">
        <f>"2170740060"</f>
        <v>2170740060</v>
      </c>
      <c r="F373" s="4" t="s">
        <v>17</v>
      </c>
      <c r="G373" s="4" t="s">
        <v>18</v>
      </c>
      <c r="H373" s="4" t="s">
        <v>25</v>
      </c>
      <c r="I373" s="4" t="s">
        <v>26</v>
      </c>
      <c r="J373" s="4" t="s">
        <v>286</v>
      </c>
      <c r="K373" s="4" t="s">
        <v>556</v>
      </c>
      <c r="L373" s="5">
        <v>0.37847222222222227</v>
      </c>
      <c r="M373" s="4" t="s">
        <v>659</v>
      </c>
      <c r="N373" s="4" t="s">
        <v>23</v>
      </c>
      <c r="O373" s="4" t="s">
        <v>24</v>
      </c>
    </row>
    <row r="374" spans="1:15" x14ac:dyDescent="0.25">
      <c r="A374" s="4" t="s">
        <v>15</v>
      </c>
      <c r="B374" s="4" t="str">
        <f>"FES1162749561"</f>
        <v>FES1162749561</v>
      </c>
      <c r="C374" s="4" t="s">
        <v>112</v>
      </c>
      <c r="D374" s="4">
        <v>1</v>
      </c>
      <c r="E374" s="4" t="str">
        <f>"2170740032"</f>
        <v>2170740032</v>
      </c>
      <c r="F374" s="4" t="s">
        <v>17</v>
      </c>
      <c r="G374" s="4" t="s">
        <v>18</v>
      </c>
      <c r="H374" s="4" t="s">
        <v>18</v>
      </c>
      <c r="I374" s="4" t="s">
        <v>29</v>
      </c>
      <c r="J374" s="4" t="s">
        <v>299</v>
      </c>
      <c r="K374" s="4" t="s">
        <v>556</v>
      </c>
      <c r="L374" s="5">
        <v>0.3125</v>
      </c>
      <c r="M374" s="4" t="s">
        <v>670</v>
      </c>
      <c r="N374" s="4" t="s">
        <v>23</v>
      </c>
      <c r="O374" s="4" t="s">
        <v>24</v>
      </c>
    </row>
    <row r="375" spans="1:15" x14ac:dyDescent="0.25">
      <c r="A375" s="4" t="s">
        <v>15</v>
      </c>
      <c r="B375" s="4" t="str">
        <f>"FES1162749590"</f>
        <v>FES1162749590</v>
      </c>
      <c r="C375" s="4" t="s">
        <v>112</v>
      </c>
      <c r="D375" s="4">
        <v>1</v>
      </c>
      <c r="E375" s="4" t="str">
        <f>"2170738860"</f>
        <v>2170738860</v>
      </c>
      <c r="F375" s="4" t="s">
        <v>17</v>
      </c>
      <c r="G375" s="4" t="s">
        <v>18</v>
      </c>
      <c r="H375" s="4" t="s">
        <v>18</v>
      </c>
      <c r="I375" s="4" t="s">
        <v>307</v>
      </c>
      <c r="J375" s="4" t="s">
        <v>562</v>
      </c>
      <c r="K375" s="4" t="s">
        <v>556</v>
      </c>
      <c r="L375" s="5">
        <v>0.4375</v>
      </c>
      <c r="M375" s="4" t="s">
        <v>671</v>
      </c>
      <c r="N375" s="4" t="s">
        <v>23</v>
      </c>
      <c r="O375" s="4" t="s">
        <v>24</v>
      </c>
    </row>
    <row r="376" spans="1:15" x14ac:dyDescent="0.25">
      <c r="A376" s="4" t="s">
        <v>15</v>
      </c>
      <c r="B376" s="4" t="str">
        <f>"FES1162749571"</f>
        <v>FES1162749571</v>
      </c>
      <c r="C376" s="4" t="s">
        <v>112</v>
      </c>
      <c r="D376" s="4">
        <v>0</v>
      </c>
      <c r="E376" s="4" t="str">
        <f>"2170739919"</f>
        <v>2170739919</v>
      </c>
      <c r="F376" s="4" t="s">
        <v>17</v>
      </c>
      <c r="G376" s="4" t="s">
        <v>18</v>
      </c>
      <c r="H376" s="4" t="s">
        <v>85</v>
      </c>
      <c r="I376" s="4" t="s">
        <v>144</v>
      </c>
      <c r="J376" s="4" t="s">
        <v>255</v>
      </c>
      <c r="K376" s="4" t="s">
        <v>556</v>
      </c>
      <c r="L376" s="5">
        <v>0.68611111111111101</v>
      </c>
      <c r="M376" s="4" t="s">
        <v>658</v>
      </c>
      <c r="N376" s="4" t="s">
        <v>23</v>
      </c>
      <c r="O376" s="4" t="s">
        <v>24</v>
      </c>
    </row>
    <row r="377" spans="1:15" x14ac:dyDescent="0.25">
      <c r="A377" s="4" t="s">
        <v>15</v>
      </c>
      <c r="B377" s="4" t="str">
        <f>"FES1162749572"</f>
        <v>FES1162749572</v>
      </c>
      <c r="C377" s="4" t="s">
        <v>112</v>
      </c>
      <c r="D377" s="4">
        <v>0</v>
      </c>
      <c r="E377" s="4" t="str">
        <f>"2170739921"</f>
        <v>2170739921</v>
      </c>
      <c r="F377" s="4" t="s">
        <v>17</v>
      </c>
      <c r="G377" s="4" t="s">
        <v>18</v>
      </c>
      <c r="H377" s="4" t="s">
        <v>85</v>
      </c>
      <c r="I377" s="4" t="s">
        <v>144</v>
      </c>
      <c r="J377" s="4" t="s">
        <v>255</v>
      </c>
      <c r="K377" s="4" t="s">
        <v>556</v>
      </c>
      <c r="L377" s="5">
        <v>0.68611111111111101</v>
      </c>
      <c r="M377" s="4" t="s">
        <v>658</v>
      </c>
      <c r="N377" s="4" t="s">
        <v>23</v>
      </c>
      <c r="O377" s="4" t="s">
        <v>24</v>
      </c>
    </row>
    <row r="378" spans="1:15" x14ac:dyDescent="0.25">
      <c r="A378" s="4" t="s">
        <v>15</v>
      </c>
      <c r="B378" s="4" t="str">
        <f>"FES1162749650"</f>
        <v>FES1162749650</v>
      </c>
      <c r="C378" s="4" t="s">
        <v>112</v>
      </c>
      <c r="D378" s="4">
        <v>1</v>
      </c>
      <c r="E378" s="4" t="str">
        <f>"2170739040"</f>
        <v>2170739040</v>
      </c>
      <c r="F378" s="4" t="s">
        <v>17</v>
      </c>
      <c r="G378" s="4" t="s">
        <v>18</v>
      </c>
      <c r="H378" s="4" t="s">
        <v>48</v>
      </c>
      <c r="I378" s="4" t="s">
        <v>49</v>
      </c>
      <c r="J378" s="4" t="s">
        <v>563</v>
      </c>
      <c r="K378" s="4" t="s">
        <v>556</v>
      </c>
      <c r="L378" s="5">
        <v>0.40347222222222223</v>
      </c>
      <c r="M378" s="4" t="s">
        <v>672</v>
      </c>
      <c r="N378" s="4" t="s">
        <v>23</v>
      </c>
      <c r="O378" s="4" t="s">
        <v>24</v>
      </c>
    </row>
    <row r="379" spans="1:15" x14ac:dyDescent="0.25">
      <c r="A379" s="11" t="s">
        <v>15</v>
      </c>
      <c r="B379" s="11" t="str">
        <f>"FES1162749569"</f>
        <v>FES1162749569</v>
      </c>
      <c r="C379" s="11" t="s">
        <v>112</v>
      </c>
      <c r="D379" s="11">
        <v>0</v>
      </c>
      <c r="E379" s="11" t="str">
        <f>"2170739455"</f>
        <v>2170739455</v>
      </c>
      <c r="F379" s="11" t="s">
        <v>17</v>
      </c>
      <c r="G379" s="11" t="s">
        <v>18</v>
      </c>
      <c r="H379" s="11" t="s">
        <v>85</v>
      </c>
      <c r="I379" s="11" t="s">
        <v>144</v>
      </c>
      <c r="J379" s="11" t="s">
        <v>564</v>
      </c>
      <c r="K379" s="11" t="s">
        <v>556</v>
      </c>
      <c r="L379" s="12">
        <v>0.56041666666666667</v>
      </c>
      <c r="M379" s="11" t="s">
        <v>673</v>
      </c>
      <c r="N379" s="11" t="s">
        <v>23</v>
      </c>
      <c r="O379" s="11" t="s">
        <v>24</v>
      </c>
    </row>
    <row r="380" spans="1:15" x14ac:dyDescent="0.25">
      <c r="A380" s="11" t="s">
        <v>15</v>
      </c>
      <c r="B380" s="11" t="str">
        <f>"FES1162749563"</f>
        <v>FES1162749563</v>
      </c>
      <c r="C380" s="11" t="s">
        <v>112</v>
      </c>
      <c r="D380" s="11">
        <v>0</v>
      </c>
      <c r="E380" s="11" t="str">
        <f>"2170740049"</f>
        <v>2170740049</v>
      </c>
      <c r="F380" s="11" t="s">
        <v>17</v>
      </c>
      <c r="G380" s="11" t="s">
        <v>18</v>
      </c>
      <c r="H380" s="11" t="s">
        <v>349</v>
      </c>
      <c r="I380" s="11" t="s">
        <v>350</v>
      </c>
      <c r="J380" s="11" t="s">
        <v>351</v>
      </c>
      <c r="K380" s="11" t="s">
        <v>556</v>
      </c>
      <c r="L380" s="12">
        <v>0.56041666666666667</v>
      </c>
      <c r="M380" s="11" t="s">
        <v>1111</v>
      </c>
      <c r="N380" s="11" t="s">
        <v>23</v>
      </c>
      <c r="O380" s="11" t="s">
        <v>825</v>
      </c>
    </row>
    <row r="381" spans="1:15" x14ac:dyDescent="0.25">
      <c r="A381" s="11" t="s">
        <v>15</v>
      </c>
      <c r="B381" s="11" t="str">
        <f>"FES1162749539"</f>
        <v>FES1162749539</v>
      </c>
      <c r="C381" s="11" t="s">
        <v>112</v>
      </c>
      <c r="D381" s="11">
        <v>0</v>
      </c>
      <c r="E381" s="11" t="str">
        <f>"2170739211"</f>
        <v>2170739211</v>
      </c>
      <c r="F381" s="11" t="s">
        <v>17</v>
      </c>
      <c r="G381" s="11" t="s">
        <v>18</v>
      </c>
      <c r="H381" s="11" t="s">
        <v>85</v>
      </c>
      <c r="I381" s="11" t="s">
        <v>144</v>
      </c>
      <c r="J381" s="11" t="s">
        <v>565</v>
      </c>
      <c r="K381" s="11" t="s">
        <v>556</v>
      </c>
      <c r="L381" s="12">
        <v>0.63263888888888886</v>
      </c>
      <c r="M381" s="11" t="s">
        <v>832</v>
      </c>
      <c r="N381" s="11" t="s">
        <v>23</v>
      </c>
      <c r="O381" s="11" t="s">
        <v>825</v>
      </c>
    </row>
    <row r="382" spans="1:15" x14ac:dyDescent="0.25">
      <c r="A382" s="11" t="s">
        <v>15</v>
      </c>
      <c r="B382" s="11" t="str">
        <f>"FES1162749649"</f>
        <v>FES1162749649</v>
      </c>
      <c r="C382" s="11" t="s">
        <v>112</v>
      </c>
      <c r="D382" s="11">
        <v>1</v>
      </c>
      <c r="E382" s="11" t="str">
        <f>"2170740101"</f>
        <v>2170740101</v>
      </c>
      <c r="F382" s="11" t="s">
        <v>17</v>
      </c>
      <c r="G382" s="11" t="s">
        <v>18</v>
      </c>
      <c r="H382" s="11" t="s">
        <v>25</v>
      </c>
      <c r="I382" s="11" t="s">
        <v>394</v>
      </c>
      <c r="J382" s="11" t="s">
        <v>395</v>
      </c>
      <c r="K382" s="11" t="s">
        <v>556</v>
      </c>
      <c r="L382" s="11" t="s">
        <v>478</v>
      </c>
      <c r="M382" s="11" t="s">
        <v>522</v>
      </c>
      <c r="N382" s="11" t="s">
        <v>23</v>
      </c>
      <c r="O382" s="11" t="s">
        <v>24</v>
      </c>
    </row>
    <row r="383" spans="1:15" x14ac:dyDescent="0.25">
      <c r="A383" s="11" t="s">
        <v>15</v>
      </c>
      <c r="B383" s="11" t="str">
        <f>"FES1162749598"</f>
        <v>FES1162749598</v>
      </c>
      <c r="C383" s="11" t="s">
        <v>112</v>
      </c>
      <c r="D383" s="11">
        <v>0</v>
      </c>
      <c r="E383" s="11" t="str">
        <f>"2170739840"</f>
        <v>2170739840</v>
      </c>
      <c r="F383" s="11" t="s">
        <v>17</v>
      </c>
      <c r="G383" s="11" t="s">
        <v>18</v>
      </c>
      <c r="H383" s="11" t="s">
        <v>48</v>
      </c>
      <c r="I383" s="11" t="s">
        <v>49</v>
      </c>
      <c r="J383" s="11" t="s">
        <v>566</v>
      </c>
      <c r="K383" s="11" t="s">
        <v>556</v>
      </c>
      <c r="L383" s="12">
        <v>0.42430555555555555</v>
      </c>
      <c r="M383" s="11" t="s">
        <v>674</v>
      </c>
      <c r="N383" s="11" t="s">
        <v>23</v>
      </c>
      <c r="O383" s="11" t="s">
        <v>24</v>
      </c>
    </row>
    <row r="384" spans="1:15" x14ac:dyDescent="0.25">
      <c r="A384" s="11" t="s">
        <v>15</v>
      </c>
      <c r="B384" s="11" t="str">
        <f>"FES1162749550"</f>
        <v>FES1162749550</v>
      </c>
      <c r="C384" s="11" t="s">
        <v>112</v>
      </c>
      <c r="D384" s="11">
        <v>0</v>
      </c>
      <c r="E384" s="11" t="str">
        <f>"2170740015"</f>
        <v>2170740015</v>
      </c>
      <c r="F384" s="11" t="s">
        <v>17</v>
      </c>
      <c r="G384" s="11" t="s">
        <v>18</v>
      </c>
      <c r="H384" s="11" t="s">
        <v>25</v>
      </c>
      <c r="I384" s="11" t="s">
        <v>26</v>
      </c>
      <c r="J384" s="11" t="s">
        <v>414</v>
      </c>
      <c r="K384" s="11" t="s">
        <v>556</v>
      </c>
      <c r="L384" s="12">
        <v>0.43888888888888888</v>
      </c>
      <c r="M384" s="11" t="s">
        <v>541</v>
      </c>
      <c r="N384" s="11" t="s">
        <v>23</v>
      </c>
      <c r="O384" s="11" t="s">
        <v>24</v>
      </c>
    </row>
    <row r="385" spans="1:15" x14ac:dyDescent="0.25">
      <c r="A385" s="4" t="s">
        <v>15</v>
      </c>
      <c r="B385" s="4" t="str">
        <f>"FES1162749548"</f>
        <v>FES1162749548</v>
      </c>
      <c r="C385" s="4" t="s">
        <v>112</v>
      </c>
      <c r="D385" s="4">
        <v>0</v>
      </c>
      <c r="E385" s="4" t="str">
        <f>"2170740013"</f>
        <v>2170740013</v>
      </c>
      <c r="F385" s="4" t="s">
        <v>17</v>
      </c>
      <c r="G385" s="4" t="s">
        <v>18</v>
      </c>
      <c r="H385" s="4" t="s">
        <v>25</v>
      </c>
      <c r="I385" s="4" t="s">
        <v>26</v>
      </c>
      <c r="J385" s="4" t="s">
        <v>414</v>
      </c>
      <c r="K385" s="4" t="s">
        <v>556</v>
      </c>
      <c r="L385" s="5">
        <v>0.4375</v>
      </c>
      <c r="M385" s="4" t="s">
        <v>541</v>
      </c>
      <c r="N385" s="4" t="s">
        <v>23</v>
      </c>
      <c r="O385" s="4" t="s">
        <v>24</v>
      </c>
    </row>
    <row r="386" spans="1:15" x14ac:dyDescent="0.25">
      <c r="A386" s="4" t="s">
        <v>15</v>
      </c>
      <c r="B386" s="4" t="str">
        <f>"FES1162749621"</f>
        <v>FES1162749621</v>
      </c>
      <c r="C386" s="4" t="s">
        <v>112</v>
      </c>
      <c r="D386" s="4">
        <v>1</v>
      </c>
      <c r="E386" s="4" t="str">
        <f>"2170737523"</f>
        <v>2170737523</v>
      </c>
      <c r="F386" s="4" t="s">
        <v>17</v>
      </c>
      <c r="G386" s="4" t="s">
        <v>18</v>
      </c>
      <c r="H386" s="4" t="s">
        <v>32</v>
      </c>
      <c r="I386" s="4" t="s">
        <v>33</v>
      </c>
      <c r="J386" s="4" t="s">
        <v>567</v>
      </c>
      <c r="K386" s="4" t="s">
        <v>556</v>
      </c>
      <c r="L386" s="5">
        <v>0.5395833333333333</v>
      </c>
      <c r="M386" s="4" t="s">
        <v>675</v>
      </c>
      <c r="N386" s="4" t="s">
        <v>23</v>
      </c>
      <c r="O386" s="4" t="s">
        <v>24</v>
      </c>
    </row>
    <row r="387" spans="1:15" x14ac:dyDescent="0.25">
      <c r="A387" s="4" t="s">
        <v>15</v>
      </c>
      <c r="B387" s="4" t="str">
        <f>"FES1162749617"</f>
        <v>FES1162749617</v>
      </c>
      <c r="C387" s="4" t="s">
        <v>112</v>
      </c>
      <c r="D387" s="4">
        <v>1</v>
      </c>
      <c r="E387" s="4" t="str">
        <f>"2170736622"</f>
        <v>2170736622</v>
      </c>
      <c r="F387" s="4" t="s">
        <v>17</v>
      </c>
      <c r="G387" s="4" t="s">
        <v>18</v>
      </c>
      <c r="H387" s="4" t="s">
        <v>25</v>
      </c>
      <c r="I387" s="4" t="s">
        <v>281</v>
      </c>
      <c r="J387" s="4" t="s">
        <v>368</v>
      </c>
      <c r="K387" s="4" t="s">
        <v>556</v>
      </c>
      <c r="L387" s="5">
        <v>0.58333333333333337</v>
      </c>
      <c r="M387" s="4" t="s">
        <v>676</v>
      </c>
      <c r="N387" s="4" t="s">
        <v>23</v>
      </c>
      <c r="O387" s="4" t="s">
        <v>24</v>
      </c>
    </row>
    <row r="388" spans="1:15" x14ac:dyDescent="0.25">
      <c r="A388" s="4" t="s">
        <v>15</v>
      </c>
      <c r="B388" s="4" t="str">
        <f>"FES1162749564"</f>
        <v>FES1162749564</v>
      </c>
      <c r="C388" s="4" t="s">
        <v>112</v>
      </c>
      <c r="D388" s="4">
        <v>0</v>
      </c>
      <c r="E388" s="4" t="str">
        <f>"2170738758"</f>
        <v>2170738758</v>
      </c>
      <c r="F388" s="4" t="s">
        <v>17</v>
      </c>
      <c r="G388" s="4" t="s">
        <v>18</v>
      </c>
      <c r="H388" s="4" t="s">
        <v>25</v>
      </c>
      <c r="I388" s="4" t="s">
        <v>26</v>
      </c>
      <c r="J388" s="4" t="s">
        <v>568</v>
      </c>
      <c r="K388" s="4" t="s">
        <v>556</v>
      </c>
      <c r="L388" s="5">
        <v>0.37847222222222227</v>
      </c>
      <c r="M388" s="4" t="s">
        <v>677</v>
      </c>
      <c r="N388" s="4" t="s">
        <v>23</v>
      </c>
      <c r="O388" s="4" t="s">
        <v>24</v>
      </c>
    </row>
    <row r="389" spans="1:15" x14ac:dyDescent="0.25">
      <c r="A389" s="4" t="s">
        <v>15</v>
      </c>
      <c r="B389" s="4" t="str">
        <f>"FES1162749581"</f>
        <v>FES1162749581</v>
      </c>
      <c r="C389" s="4" t="s">
        <v>112</v>
      </c>
      <c r="D389" s="4">
        <v>0</v>
      </c>
      <c r="E389" s="4" t="str">
        <f>"2170737279"</f>
        <v>2170737279</v>
      </c>
      <c r="F389" s="4" t="s">
        <v>17</v>
      </c>
      <c r="G389" s="4" t="s">
        <v>18</v>
      </c>
      <c r="H389" s="4" t="s">
        <v>18</v>
      </c>
      <c r="I389" s="4" t="s">
        <v>29</v>
      </c>
      <c r="J389" s="4" t="s">
        <v>569</v>
      </c>
      <c r="K389" s="4" t="s">
        <v>556</v>
      </c>
      <c r="L389" s="5">
        <v>0.36736111111111108</v>
      </c>
      <c r="M389" s="4" t="s">
        <v>678</v>
      </c>
      <c r="N389" s="4" t="s">
        <v>23</v>
      </c>
      <c r="O389" s="4" t="s">
        <v>24</v>
      </c>
    </row>
    <row r="390" spans="1:15" x14ac:dyDescent="0.25">
      <c r="A390" s="4" t="s">
        <v>15</v>
      </c>
      <c r="B390" s="4" t="str">
        <f>"FES1162749604"</f>
        <v>FES1162749604</v>
      </c>
      <c r="C390" s="4" t="s">
        <v>112</v>
      </c>
      <c r="D390" s="4">
        <v>0</v>
      </c>
      <c r="E390" s="4" t="str">
        <f>"2170740068"</f>
        <v>2170740068</v>
      </c>
      <c r="F390" s="4" t="s">
        <v>17</v>
      </c>
      <c r="G390" s="4" t="s">
        <v>18</v>
      </c>
      <c r="H390" s="4" t="s">
        <v>167</v>
      </c>
      <c r="I390" s="4" t="s">
        <v>168</v>
      </c>
      <c r="J390" s="4" t="s">
        <v>169</v>
      </c>
      <c r="K390" s="4" t="s">
        <v>556</v>
      </c>
      <c r="L390" s="5">
        <v>0.41666666666666669</v>
      </c>
      <c r="M390" s="4" t="s">
        <v>170</v>
      </c>
      <c r="N390" s="4" t="s">
        <v>23</v>
      </c>
      <c r="O390" s="4" t="s">
        <v>24</v>
      </c>
    </row>
    <row r="391" spans="1:15" x14ac:dyDescent="0.25">
      <c r="A391" s="15" t="s">
        <v>15</v>
      </c>
      <c r="B391" s="15" t="str">
        <f>"FES1162749576"</f>
        <v>FES1162749576</v>
      </c>
      <c r="C391" s="15" t="s">
        <v>112</v>
      </c>
      <c r="D391" s="15">
        <v>0</v>
      </c>
      <c r="E391" s="15" t="str">
        <f>"2170732785"</f>
        <v>2170732785</v>
      </c>
      <c r="F391" s="15" t="s">
        <v>17</v>
      </c>
      <c r="G391" s="15" t="s">
        <v>18</v>
      </c>
      <c r="H391" s="15" t="s">
        <v>32</v>
      </c>
      <c r="I391" s="15" t="s">
        <v>33</v>
      </c>
      <c r="J391" s="15" t="s">
        <v>570</v>
      </c>
      <c r="K391" s="15" t="s">
        <v>43</v>
      </c>
      <c r="L391" s="15"/>
      <c r="M391" s="15" t="s">
        <v>44</v>
      </c>
      <c r="N391" s="15" t="s">
        <v>419</v>
      </c>
      <c r="O391" s="15" t="s">
        <v>825</v>
      </c>
    </row>
    <row r="392" spans="1:15" x14ac:dyDescent="0.25">
      <c r="A392" s="10" t="s">
        <v>15</v>
      </c>
      <c r="B392" s="10" t="str">
        <f>"FES1162749577"</f>
        <v>FES1162749577</v>
      </c>
      <c r="C392" s="10" t="s">
        <v>112</v>
      </c>
      <c r="D392" s="10">
        <v>0</v>
      </c>
      <c r="E392" s="10" t="str">
        <f>"2170738243"</f>
        <v>2170738243</v>
      </c>
      <c r="F392" s="10" t="s">
        <v>17</v>
      </c>
      <c r="G392" s="10" t="s">
        <v>18</v>
      </c>
      <c r="H392" s="10" t="s">
        <v>32</v>
      </c>
      <c r="I392" s="10" t="s">
        <v>33</v>
      </c>
      <c r="J392" s="10" t="s">
        <v>571</v>
      </c>
      <c r="K392" s="10" t="s">
        <v>43</v>
      </c>
      <c r="L392" s="10"/>
      <c r="M392" s="10" t="s">
        <v>44</v>
      </c>
      <c r="N392" s="10" t="s">
        <v>824</v>
      </c>
      <c r="O392" s="10" t="s">
        <v>24</v>
      </c>
    </row>
    <row r="393" spans="1:15" x14ac:dyDescent="0.25">
      <c r="A393" s="4" t="s">
        <v>15</v>
      </c>
      <c r="B393" s="4" t="str">
        <f>"FES1162749595"</f>
        <v>FES1162749595</v>
      </c>
      <c r="C393" s="4" t="s">
        <v>112</v>
      </c>
      <c r="D393" s="4">
        <v>0</v>
      </c>
      <c r="E393" s="4" t="str">
        <f>"2170739711"</f>
        <v>2170739711</v>
      </c>
      <c r="F393" s="4" t="s">
        <v>17</v>
      </c>
      <c r="G393" s="4" t="s">
        <v>18</v>
      </c>
      <c r="H393" s="4" t="s">
        <v>48</v>
      </c>
      <c r="I393" s="4" t="s">
        <v>49</v>
      </c>
      <c r="J393" s="4" t="s">
        <v>572</v>
      </c>
      <c r="K393" s="4" t="s">
        <v>556</v>
      </c>
      <c r="L393" s="5">
        <v>0.43472222222222223</v>
      </c>
      <c r="M393" s="4" t="s">
        <v>679</v>
      </c>
      <c r="N393" s="4" t="s">
        <v>23</v>
      </c>
      <c r="O393" s="4" t="s">
        <v>24</v>
      </c>
    </row>
    <row r="394" spans="1:15" x14ac:dyDescent="0.25">
      <c r="A394" s="11" t="s">
        <v>15</v>
      </c>
      <c r="B394" s="11" t="str">
        <f>"FES1162749586"</f>
        <v>FES1162749586</v>
      </c>
      <c r="C394" s="11" t="s">
        <v>112</v>
      </c>
      <c r="D394" s="11">
        <v>0</v>
      </c>
      <c r="E394" s="11" t="str">
        <f>"2170738216"</f>
        <v>2170738216</v>
      </c>
      <c r="F394" s="11" t="s">
        <v>17</v>
      </c>
      <c r="G394" s="11" t="s">
        <v>18</v>
      </c>
      <c r="H394" s="11" t="s">
        <v>18</v>
      </c>
      <c r="I394" s="11" t="s">
        <v>29</v>
      </c>
      <c r="J394" s="11" t="s">
        <v>550</v>
      </c>
      <c r="K394" s="11" t="s">
        <v>556</v>
      </c>
      <c r="L394" s="12">
        <v>0.33333333333333331</v>
      </c>
      <c r="M394" s="11" t="s">
        <v>657</v>
      </c>
      <c r="N394" s="11" t="s">
        <v>23</v>
      </c>
      <c r="O394" s="11" t="s">
        <v>24</v>
      </c>
    </row>
    <row r="395" spans="1:15" x14ac:dyDescent="0.25">
      <c r="A395" s="11" t="s">
        <v>15</v>
      </c>
      <c r="B395" s="11" t="str">
        <f>"FES1162749560"</f>
        <v>FES1162749560</v>
      </c>
      <c r="C395" s="11" t="s">
        <v>112</v>
      </c>
      <c r="D395" s="11">
        <v>0</v>
      </c>
      <c r="E395" s="11" t="str">
        <f>"2170740031"</f>
        <v>2170740031</v>
      </c>
      <c r="F395" s="11" t="s">
        <v>17</v>
      </c>
      <c r="G395" s="11" t="s">
        <v>18</v>
      </c>
      <c r="H395" s="11" t="s">
        <v>18</v>
      </c>
      <c r="I395" s="11" t="s">
        <v>29</v>
      </c>
      <c r="J395" s="11" t="s">
        <v>299</v>
      </c>
      <c r="K395" s="11" t="s">
        <v>556</v>
      </c>
      <c r="L395" s="12">
        <v>0.3125</v>
      </c>
      <c r="M395" s="11" t="s">
        <v>670</v>
      </c>
      <c r="N395" s="11" t="s">
        <v>23</v>
      </c>
      <c r="O395" s="11" t="s">
        <v>24</v>
      </c>
    </row>
    <row r="396" spans="1:15" x14ac:dyDescent="0.25">
      <c r="A396" s="11" t="s">
        <v>15</v>
      </c>
      <c r="B396" s="11" t="str">
        <f>"FES1162749605"</f>
        <v>FES1162749605</v>
      </c>
      <c r="C396" s="11" t="s">
        <v>112</v>
      </c>
      <c r="D396" s="11">
        <v>1</v>
      </c>
      <c r="E396" s="11" t="str">
        <f>"2170740069"</f>
        <v>2170740069</v>
      </c>
      <c r="F396" s="11" t="s">
        <v>17</v>
      </c>
      <c r="G396" s="11" t="s">
        <v>18</v>
      </c>
      <c r="H396" s="11" t="s">
        <v>40</v>
      </c>
      <c r="I396" s="11" t="s">
        <v>41</v>
      </c>
      <c r="J396" s="11" t="s">
        <v>42</v>
      </c>
      <c r="K396" s="11" t="s">
        <v>556</v>
      </c>
      <c r="L396" s="12">
        <v>0.3125</v>
      </c>
      <c r="M396" s="11" t="s">
        <v>827</v>
      </c>
      <c r="N396" s="11" t="s">
        <v>23</v>
      </c>
      <c r="O396" s="11" t="s">
        <v>825</v>
      </c>
    </row>
    <row r="397" spans="1:15" x14ac:dyDescent="0.25">
      <c r="A397" s="11" t="s">
        <v>15</v>
      </c>
      <c r="B397" s="11" t="str">
        <f>"FES1162749549"</f>
        <v>FES1162749549</v>
      </c>
      <c r="C397" s="11" t="s">
        <v>112</v>
      </c>
      <c r="D397" s="11">
        <v>0</v>
      </c>
      <c r="E397" s="11" t="str">
        <f>"217070014"</f>
        <v>217070014</v>
      </c>
      <c r="F397" s="11" t="s">
        <v>17</v>
      </c>
      <c r="G397" s="11" t="s">
        <v>18</v>
      </c>
      <c r="H397" s="11" t="s">
        <v>18</v>
      </c>
      <c r="I397" s="11" t="s">
        <v>29</v>
      </c>
      <c r="J397" s="11" t="s">
        <v>573</v>
      </c>
      <c r="K397" s="11" t="s">
        <v>556</v>
      </c>
      <c r="L397" s="12">
        <v>0.33333333333333331</v>
      </c>
      <c r="M397" s="11" t="s">
        <v>680</v>
      </c>
      <c r="N397" s="11" t="s">
        <v>23</v>
      </c>
      <c r="O397" s="11" t="s">
        <v>24</v>
      </c>
    </row>
    <row r="398" spans="1:15" x14ac:dyDescent="0.25">
      <c r="A398" s="11" t="s">
        <v>15</v>
      </c>
      <c r="B398" s="11" t="str">
        <f>"FES1162749628"</f>
        <v>FES1162749628</v>
      </c>
      <c r="C398" s="11" t="s">
        <v>112</v>
      </c>
      <c r="D398" s="11">
        <v>0</v>
      </c>
      <c r="E398" s="11" t="str">
        <f>"2170739781"</f>
        <v>2170739781</v>
      </c>
      <c r="F398" s="11" t="s">
        <v>17</v>
      </c>
      <c r="G398" s="11" t="s">
        <v>18</v>
      </c>
      <c r="H398" s="11" t="s">
        <v>48</v>
      </c>
      <c r="I398" s="11" t="s">
        <v>49</v>
      </c>
      <c r="J398" s="11" t="s">
        <v>252</v>
      </c>
      <c r="K398" s="11" t="s">
        <v>556</v>
      </c>
      <c r="L398" s="12">
        <v>0.40347222222222223</v>
      </c>
      <c r="M398" s="11" t="s">
        <v>681</v>
      </c>
      <c r="N398" s="11" t="s">
        <v>23</v>
      </c>
      <c r="O398" s="11" t="s">
        <v>24</v>
      </c>
    </row>
    <row r="399" spans="1:15" x14ac:dyDescent="0.25">
      <c r="A399" s="11" t="s">
        <v>15</v>
      </c>
      <c r="B399" s="11" t="str">
        <f>"FES1162749541"</f>
        <v>FES1162749541</v>
      </c>
      <c r="C399" s="11" t="s">
        <v>112</v>
      </c>
      <c r="D399" s="11">
        <v>0</v>
      </c>
      <c r="E399" s="11" t="str">
        <f>"2170739546"</f>
        <v>2170739546</v>
      </c>
      <c r="F399" s="11" t="s">
        <v>17</v>
      </c>
      <c r="G399" s="11" t="s">
        <v>18</v>
      </c>
      <c r="H399" s="11" t="s">
        <v>18</v>
      </c>
      <c r="I399" s="11" t="s">
        <v>29</v>
      </c>
      <c r="J399" s="11" t="s">
        <v>271</v>
      </c>
      <c r="K399" s="11" t="s">
        <v>556</v>
      </c>
      <c r="L399" s="12">
        <v>0.3263888888888889</v>
      </c>
      <c r="M399" s="11" t="s">
        <v>682</v>
      </c>
      <c r="N399" s="11" t="s">
        <v>23</v>
      </c>
      <c r="O399" s="11" t="s">
        <v>24</v>
      </c>
    </row>
    <row r="400" spans="1:15" x14ac:dyDescent="0.25">
      <c r="A400" s="11" t="s">
        <v>15</v>
      </c>
      <c r="B400" s="11" t="str">
        <f>"FES1162749556"</f>
        <v>FES1162749556</v>
      </c>
      <c r="C400" s="11" t="s">
        <v>112</v>
      </c>
      <c r="D400" s="11">
        <v>0</v>
      </c>
      <c r="E400" s="11" t="str">
        <f>"21707340034"</f>
        <v>21707340034</v>
      </c>
      <c r="F400" s="11" t="s">
        <v>17</v>
      </c>
      <c r="G400" s="11" t="s">
        <v>18</v>
      </c>
      <c r="H400" s="11" t="s">
        <v>48</v>
      </c>
      <c r="I400" s="11" t="s">
        <v>73</v>
      </c>
      <c r="J400" s="11" t="s">
        <v>574</v>
      </c>
      <c r="K400" s="11" t="s">
        <v>556</v>
      </c>
      <c r="L400" s="12">
        <v>0.3527777777777778</v>
      </c>
      <c r="M400" s="11" t="s">
        <v>575</v>
      </c>
      <c r="N400" s="11" t="s">
        <v>23</v>
      </c>
      <c r="O400" s="11" t="s">
        <v>24</v>
      </c>
    </row>
    <row r="401" spans="1:15" x14ac:dyDescent="0.25">
      <c r="A401" s="4" t="s">
        <v>15</v>
      </c>
      <c r="B401" s="4" t="str">
        <f>"FES1162749587"</f>
        <v>FES1162749587</v>
      </c>
      <c r="C401" s="4" t="s">
        <v>112</v>
      </c>
      <c r="D401" s="4">
        <v>0</v>
      </c>
      <c r="E401" s="4" t="str">
        <f>"2170738320"</f>
        <v>2170738320</v>
      </c>
      <c r="F401" s="4" t="s">
        <v>17</v>
      </c>
      <c r="G401" s="4" t="s">
        <v>18</v>
      </c>
      <c r="H401" s="4" t="s">
        <v>18</v>
      </c>
      <c r="I401" s="4" t="s">
        <v>29</v>
      </c>
      <c r="J401" s="4" t="s">
        <v>550</v>
      </c>
      <c r="K401" s="4" t="s">
        <v>556</v>
      </c>
      <c r="L401" s="5">
        <v>0.33333333333333331</v>
      </c>
      <c r="M401" s="4" t="s">
        <v>657</v>
      </c>
      <c r="N401" s="4" t="s">
        <v>23</v>
      </c>
      <c r="O401" s="4" t="s">
        <v>24</v>
      </c>
    </row>
    <row r="402" spans="1:15" x14ac:dyDescent="0.25">
      <c r="A402" s="4" t="s">
        <v>15</v>
      </c>
      <c r="B402" s="4" t="str">
        <f>"FES1162749568"</f>
        <v>FES1162749568</v>
      </c>
      <c r="C402" s="4" t="s">
        <v>112</v>
      </c>
      <c r="D402" s="4">
        <v>0</v>
      </c>
      <c r="E402" s="4" t="str">
        <f>"2170739443"</f>
        <v>2170739443</v>
      </c>
      <c r="F402" s="4" t="s">
        <v>17</v>
      </c>
      <c r="G402" s="4" t="s">
        <v>18</v>
      </c>
      <c r="H402" s="4" t="s">
        <v>18</v>
      </c>
      <c r="I402" s="4" t="s">
        <v>126</v>
      </c>
      <c r="J402" s="4" t="s">
        <v>576</v>
      </c>
      <c r="K402" s="4" t="s">
        <v>556</v>
      </c>
      <c r="L402" s="5">
        <v>0.37847222222222227</v>
      </c>
      <c r="M402" s="4" t="s">
        <v>683</v>
      </c>
      <c r="N402" s="4" t="s">
        <v>23</v>
      </c>
      <c r="O402" s="4" t="s">
        <v>24</v>
      </c>
    </row>
    <row r="403" spans="1:15" x14ac:dyDescent="0.25">
      <c r="A403" s="4" t="s">
        <v>15</v>
      </c>
      <c r="B403" s="4" t="str">
        <f>"FES1162749583"</f>
        <v>FES1162749583</v>
      </c>
      <c r="C403" s="4" t="s">
        <v>112</v>
      </c>
      <c r="D403" s="4">
        <v>0</v>
      </c>
      <c r="E403" s="4" t="str">
        <f>"2170734917"</f>
        <v>2170734917</v>
      </c>
      <c r="F403" s="4" t="s">
        <v>17</v>
      </c>
      <c r="G403" s="4" t="s">
        <v>18</v>
      </c>
      <c r="H403" s="4" t="s">
        <v>18</v>
      </c>
      <c r="I403" s="4" t="s">
        <v>97</v>
      </c>
      <c r="J403" s="4" t="s">
        <v>577</v>
      </c>
      <c r="K403" s="4" t="s">
        <v>556</v>
      </c>
      <c r="L403" s="5">
        <v>0.33333333333333331</v>
      </c>
      <c r="M403" s="4" t="s">
        <v>684</v>
      </c>
      <c r="N403" s="4" t="s">
        <v>23</v>
      </c>
      <c r="O403" s="4" t="s">
        <v>24</v>
      </c>
    </row>
    <row r="404" spans="1:15" x14ac:dyDescent="0.25">
      <c r="A404" s="4" t="s">
        <v>15</v>
      </c>
      <c r="B404" s="4" t="str">
        <f>"FES1162749589"</f>
        <v>FES1162749589</v>
      </c>
      <c r="C404" s="4" t="s">
        <v>112</v>
      </c>
      <c r="D404" s="4">
        <v>0</v>
      </c>
      <c r="E404" s="4" t="str">
        <f>"2170738605"</f>
        <v>2170738605</v>
      </c>
      <c r="F404" s="4" t="s">
        <v>17</v>
      </c>
      <c r="G404" s="4" t="s">
        <v>18</v>
      </c>
      <c r="H404" s="4" t="s">
        <v>32</v>
      </c>
      <c r="I404" s="4" t="s">
        <v>33</v>
      </c>
      <c r="J404" s="4" t="s">
        <v>578</v>
      </c>
      <c r="K404" s="4" t="s">
        <v>556</v>
      </c>
      <c r="L404" s="5">
        <v>0.41666666666666669</v>
      </c>
      <c r="M404" s="4" t="s">
        <v>65</v>
      </c>
      <c r="N404" s="4" t="s">
        <v>23</v>
      </c>
      <c r="O404" s="4" t="s">
        <v>24</v>
      </c>
    </row>
    <row r="405" spans="1:15" x14ac:dyDescent="0.25">
      <c r="A405" s="4" t="s">
        <v>15</v>
      </c>
      <c r="B405" s="4" t="str">
        <f>"FES1162749607"</f>
        <v>FES1162749607</v>
      </c>
      <c r="C405" s="4" t="s">
        <v>112</v>
      </c>
      <c r="D405" s="4">
        <v>1</v>
      </c>
      <c r="E405" s="4" t="str">
        <f>"2170740017"</f>
        <v>2170740017</v>
      </c>
      <c r="F405" s="4" t="s">
        <v>17</v>
      </c>
      <c r="G405" s="4" t="s">
        <v>18</v>
      </c>
      <c r="H405" s="4" t="s">
        <v>18</v>
      </c>
      <c r="I405" s="4" t="s">
        <v>183</v>
      </c>
      <c r="J405" s="4" t="s">
        <v>579</v>
      </c>
      <c r="K405" s="4" t="s">
        <v>556</v>
      </c>
      <c r="L405" s="5">
        <v>0.3840277777777778</v>
      </c>
      <c r="M405" s="4" t="s">
        <v>685</v>
      </c>
      <c r="N405" s="4" t="s">
        <v>23</v>
      </c>
      <c r="O405" s="4" t="s">
        <v>24</v>
      </c>
    </row>
    <row r="406" spans="1:15" x14ac:dyDescent="0.25">
      <c r="A406" s="4" t="s">
        <v>15</v>
      </c>
      <c r="B406" s="4" t="str">
        <f>"FES1162749642"</f>
        <v>FES1162749642</v>
      </c>
      <c r="C406" s="4" t="s">
        <v>112</v>
      </c>
      <c r="D406" s="4">
        <v>0</v>
      </c>
      <c r="E406" s="4" t="str">
        <f>"21707340095"</f>
        <v>21707340095</v>
      </c>
      <c r="F406" s="4" t="s">
        <v>17</v>
      </c>
      <c r="G406" s="4" t="s">
        <v>18</v>
      </c>
      <c r="H406" s="4" t="s">
        <v>48</v>
      </c>
      <c r="I406" s="4" t="s">
        <v>49</v>
      </c>
      <c r="J406" s="4" t="s">
        <v>580</v>
      </c>
      <c r="K406" s="4" t="s">
        <v>556</v>
      </c>
      <c r="L406" s="5">
        <v>0.41666666666666669</v>
      </c>
      <c r="M406" s="4" t="s">
        <v>65</v>
      </c>
      <c r="N406" s="4" t="s">
        <v>23</v>
      </c>
      <c r="O406" s="4" t="s">
        <v>24</v>
      </c>
    </row>
    <row r="407" spans="1:15" x14ac:dyDescent="0.25">
      <c r="A407" s="4" t="s">
        <v>15</v>
      </c>
      <c r="B407" s="4" t="str">
        <f>"FES1162749558"</f>
        <v>FES1162749558</v>
      </c>
      <c r="C407" s="4" t="s">
        <v>112</v>
      </c>
      <c r="D407" s="4">
        <v>0</v>
      </c>
      <c r="E407" s="4" t="str">
        <f>"2170740025"</f>
        <v>2170740025</v>
      </c>
      <c r="F407" s="4" t="s">
        <v>17</v>
      </c>
      <c r="G407" s="4" t="s">
        <v>18</v>
      </c>
      <c r="H407" s="4" t="s">
        <v>18</v>
      </c>
      <c r="I407" s="4" t="s">
        <v>126</v>
      </c>
      <c r="J407" s="4" t="s">
        <v>581</v>
      </c>
      <c r="K407" s="4" t="s">
        <v>556</v>
      </c>
      <c r="L407" s="5">
        <v>0.375</v>
      </c>
      <c r="M407" s="4" t="s">
        <v>686</v>
      </c>
      <c r="N407" s="4" t="s">
        <v>23</v>
      </c>
      <c r="O407" s="4" t="s">
        <v>24</v>
      </c>
    </row>
    <row r="408" spans="1:15" x14ac:dyDescent="0.25">
      <c r="A408" s="4" t="s">
        <v>15</v>
      </c>
      <c r="B408" s="4" t="str">
        <f>"FES1162749579"</f>
        <v>FES1162749579</v>
      </c>
      <c r="C408" s="4" t="s">
        <v>112</v>
      </c>
      <c r="D408" s="4">
        <v>1</v>
      </c>
      <c r="E408" s="4" t="str">
        <f>"217073349"</f>
        <v>217073349</v>
      </c>
      <c r="F408" s="4" t="s">
        <v>17</v>
      </c>
      <c r="G408" s="4" t="s">
        <v>18</v>
      </c>
      <c r="H408" s="4" t="s">
        <v>18</v>
      </c>
      <c r="I408" s="4" t="s">
        <v>19</v>
      </c>
      <c r="J408" s="4" t="s">
        <v>582</v>
      </c>
      <c r="K408" s="4" t="s">
        <v>556</v>
      </c>
      <c r="L408" s="5">
        <v>0.34027777777777773</v>
      </c>
      <c r="M408" s="4" t="s">
        <v>583</v>
      </c>
      <c r="N408" s="4" t="s">
        <v>23</v>
      </c>
      <c r="O408" s="4" t="s">
        <v>24</v>
      </c>
    </row>
    <row r="409" spans="1:15" x14ac:dyDescent="0.25">
      <c r="A409" s="4" t="s">
        <v>15</v>
      </c>
      <c r="B409" s="4" t="str">
        <f>"FES1162749565"</f>
        <v>FES1162749565</v>
      </c>
      <c r="C409" s="4" t="s">
        <v>112</v>
      </c>
      <c r="D409" s="4">
        <v>1</v>
      </c>
      <c r="E409" s="4" t="str">
        <f>"2170740050"</f>
        <v>2170740050</v>
      </c>
      <c r="F409" s="4" t="s">
        <v>17</v>
      </c>
      <c r="G409" s="4" t="s">
        <v>18</v>
      </c>
      <c r="H409" s="4" t="s">
        <v>18</v>
      </c>
      <c r="I409" s="4" t="s">
        <v>121</v>
      </c>
      <c r="J409" s="4" t="s">
        <v>280</v>
      </c>
      <c r="K409" s="4" t="s">
        <v>556</v>
      </c>
      <c r="L409" s="5">
        <v>0.33194444444444443</v>
      </c>
      <c r="M409" s="4" t="s">
        <v>687</v>
      </c>
      <c r="N409" s="4" t="s">
        <v>23</v>
      </c>
      <c r="O409" s="4" t="s">
        <v>24</v>
      </c>
    </row>
    <row r="410" spans="1:15" x14ac:dyDescent="0.25">
      <c r="A410" s="4" t="s">
        <v>15</v>
      </c>
      <c r="B410" s="4" t="str">
        <f>"FES1162749591"</f>
        <v>FES1162749591</v>
      </c>
      <c r="C410" s="4" t="s">
        <v>112</v>
      </c>
      <c r="D410" s="4">
        <v>1</v>
      </c>
      <c r="E410" s="4" t="str">
        <f>"2170738968"</f>
        <v>2170738968</v>
      </c>
      <c r="F410" s="4" t="s">
        <v>17</v>
      </c>
      <c r="G410" s="4" t="s">
        <v>18</v>
      </c>
      <c r="H410" s="4" t="s">
        <v>18</v>
      </c>
      <c r="I410" s="4" t="s">
        <v>97</v>
      </c>
      <c r="J410" s="4" t="s">
        <v>584</v>
      </c>
      <c r="K410" s="4" t="s">
        <v>556</v>
      </c>
      <c r="L410" s="5">
        <v>0.46458333333333335</v>
      </c>
      <c r="M410" s="4" t="s">
        <v>688</v>
      </c>
      <c r="N410" s="4" t="s">
        <v>23</v>
      </c>
      <c r="O410" s="4" t="s">
        <v>24</v>
      </c>
    </row>
    <row r="411" spans="1:15" x14ac:dyDescent="0.25">
      <c r="A411" s="4" t="s">
        <v>15</v>
      </c>
      <c r="B411" s="4" t="str">
        <f>"FES1162749580"</f>
        <v>FES1162749580</v>
      </c>
      <c r="C411" s="4" t="s">
        <v>112</v>
      </c>
      <c r="D411" s="4">
        <v>1</v>
      </c>
      <c r="E411" s="4" t="str">
        <f>"2170733997"</f>
        <v>2170733997</v>
      </c>
      <c r="F411" s="4" t="s">
        <v>17</v>
      </c>
      <c r="G411" s="4" t="s">
        <v>18</v>
      </c>
      <c r="H411" s="4" t="s">
        <v>18</v>
      </c>
      <c r="I411" s="4" t="s">
        <v>29</v>
      </c>
      <c r="J411" s="4" t="s">
        <v>550</v>
      </c>
      <c r="K411" s="4" t="s">
        <v>556</v>
      </c>
      <c r="L411" s="5">
        <v>0.33333333333333331</v>
      </c>
      <c r="M411" s="4" t="s">
        <v>657</v>
      </c>
      <c r="N411" s="4" t="s">
        <v>23</v>
      </c>
      <c r="O411" s="4" t="s">
        <v>24</v>
      </c>
    </row>
    <row r="412" spans="1:15" x14ac:dyDescent="0.25">
      <c r="A412" s="11" t="s">
        <v>15</v>
      </c>
      <c r="B412" s="11" t="str">
        <f>"FES1162749585"</f>
        <v>FES1162749585</v>
      </c>
      <c r="C412" s="11" t="s">
        <v>112</v>
      </c>
      <c r="D412" s="11">
        <v>2</v>
      </c>
      <c r="E412" s="11" t="str">
        <f>"2170736796"</f>
        <v>2170736796</v>
      </c>
      <c r="F412" s="11" t="s">
        <v>135</v>
      </c>
      <c r="G412" s="11" t="s">
        <v>18</v>
      </c>
      <c r="H412" s="11" t="s">
        <v>18</v>
      </c>
      <c r="I412" s="11" t="s">
        <v>307</v>
      </c>
      <c r="J412" s="11" t="s">
        <v>562</v>
      </c>
      <c r="K412" s="11" t="s">
        <v>556</v>
      </c>
      <c r="L412" s="12">
        <v>0.43055555555555558</v>
      </c>
      <c r="M412" s="11" t="s">
        <v>689</v>
      </c>
      <c r="N412" s="11" t="s">
        <v>23</v>
      </c>
      <c r="O412" s="11" t="s">
        <v>166</v>
      </c>
    </row>
    <row r="413" spans="1:15" x14ac:dyDescent="0.25">
      <c r="A413" s="11" t="s">
        <v>15</v>
      </c>
      <c r="B413" s="11" t="str">
        <f>"FES1162749602"</f>
        <v>FES1162749602</v>
      </c>
      <c r="C413" s="11" t="s">
        <v>112</v>
      </c>
      <c r="D413" s="11">
        <v>2</v>
      </c>
      <c r="E413" s="11" t="str">
        <f>"2170739973"</f>
        <v>2170739973</v>
      </c>
      <c r="F413" s="11" t="s">
        <v>135</v>
      </c>
      <c r="G413" s="11" t="s">
        <v>18</v>
      </c>
      <c r="H413" s="11" t="s">
        <v>25</v>
      </c>
      <c r="I413" s="11" t="s">
        <v>585</v>
      </c>
      <c r="J413" s="11" t="s">
        <v>586</v>
      </c>
      <c r="K413" s="11" t="s">
        <v>556</v>
      </c>
      <c r="L413" s="12">
        <v>0.43055555555555558</v>
      </c>
      <c r="M413" s="11" t="s">
        <v>1110</v>
      </c>
      <c r="N413" s="11" t="s">
        <v>23</v>
      </c>
      <c r="O413" s="11" t="s">
        <v>166</v>
      </c>
    </row>
    <row r="414" spans="1:15" x14ac:dyDescent="0.25">
      <c r="A414" s="11" t="s">
        <v>15</v>
      </c>
      <c r="B414" s="11" t="str">
        <f>"FES1162749623"</f>
        <v>FES1162749623</v>
      </c>
      <c r="C414" s="11" t="s">
        <v>112</v>
      </c>
      <c r="D414" s="11">
        <v>1</v>
      </c>
      <c r="E414" s="11" t="str">
        <f>"2170738550"</f>
        <v>2170738550</v>
      </c>
      <c r="F414" s="11" t="s">
        <v>17</v>
      </c>
      <c r="G414" s="11" t="s">
        <v>18</v>
      </c>
      <c r="H414" s="11" t="s">
        <v>48</v>
      </c>
      <c r="I414" s="11" t="s">
        <v>49</v>
      </c>
      <c r="J414" s="11" t="s">
        <v>318</v>
      </c>
      <c r="K414" s="11" t="s">
        <v>556</v>
      </c>
      <c r="L414" s="12">
        <v>0.37083333333333335</v>
      </c>
      <c r="M414" s="11" t="s">
        <v>690</v>
      </c>
      <c r="N414" s="11" t="s">
        <v>23</v>
      </c>
      <c r="O414" s="11" t="s">
        <v>24</v>
      </c>
    </row>
    <row r="415" spans="1:15" x14ac:dyDescent="0.25">
      <c r="A415" s="11" t="s">
        <v>15</v>
      </c>
      <c r="B415" s="11" t="str">
        <f>"FES1162749615"</f>
        <v>FES1162749615</v>
      </c>
      <c r="C415" s="11" t="s">
        <v>112</v>
      </c>
      <c r="D415" s="11">
        <v>1</v>
      </c>
      <c r="E415" s="11" t="str">
        <f>"2170735591"</f>
        <v>2170735591</v>
      </c>
      <c r="F415" s="11" t="s">
        <v>17</v>
      </c>
      <c r="G415" s="11" t="s">
        <v>18</v>
      </c>
      <c r="H415" s="11" t="s">
        <v>48</v>
      </c>
      <c r="I415" s="11" t="s">
        <v>199</v>
      </c>
      <c r="J415" s="11" t="s">
        <v>200</v>
      </c>
      <c r="K415" s="11" t="s">
        <v>556</v>
      </c>
      <c r="L415" s="12">
        <v>0.51111111111111118</v>
      </c>
      <c r="M415" s="11" t="s">
        <v>691</v>
      </c>
      <c r="N415" s="11" t="s">
        <v>23</v>
      </c>
      <c r="O415" s="11" t="s">
        <v>24</v>
      </c>
    </row>
    <row r="416" spans="1:15" x14ac:dyDescent="0.25">
      <c r="A416" s="4" t="s">
        <v>15</v>
      </c>
      <c r="B416" s="4" t="str">
        <f>"FES1162749620"</f>
        <v>FES1162749620</v>
      </c>
      <c r="C416" s="4" t="s">
        <v>112</v>
      </c>
      <c r="D416" s="4">
        <v>2</v>
      </c>
      <c r="E416" s="4" t="str">
        <f>"2170737339"</f>
        <v>2170737339</v>
      </c>
      <c r="F416" s="4" t="s">
        <v>17</v>
      </c>
      <c r="G416" s="4" t="s">
        <v>18</v>
      </c>
      <c r="H416" s="4" t="s">
        <v>25</v>
      </c>
      <c r="I416" s="4" t="s">
        <v>26</v>
      </c>
      <c r="J416" s="4" t="s">
        <v>279</v>
      </c>
      <c r="K416" s="4" t="s">
        <v>556</v>
      </c>
      <c r="L416" s="5">
        <v>0.38194444444444442</v>
      </c>
      <c r="M416" s="4" t="s">
        <v>444</v>
      </c>
      <c r="N416" s="4" t="s">
        <v>23</v>
      </c>
      <c r="O416" s="4" t="s">
        <v>24</v>
      </c>
    </row>
    <row r="417" spans="1:15" x14ac:dyDescent="0.25">
      <c r="A417" s="4" t="s">
        <v>15</v>
      </c>
      <c r="B417" s="4" t="str">
        <f>"FES1162749647"</f>
        <v>FES1162749647</v>
      </c>
      <c r="C417" s="4" t="s">
        <v>112</v>
      </c>
      <c r="D417" s="4">
        <v>1</v>
      </c>
      <c r="E417" s="4" t="str">
        <f>"2170740063"</f>
        <v>2170740063</v>
      </c>
      <c r="F417" s="4" t="s">
        <v>17</v>
      </c>
      <c r="G417" s="4" t="s">
        <v>18</v>
      </c>
      <c r="H417" s="4" t="s">
        <v>18</v>
      </c>
      <c r="I417" s="4" t="s">
        <v>19</v>
      </c>
      <c r="J417" s="4" t="s">
        <v>381</v>
      </c>
      <c r="K417" s="4" t="s">
        <v>556</v>
      </c>
      <c r="L417" s="5">
        <v>0.41666666666666669</v>
      </c>
      <c r="M417" s="4" t="s">
        <v>692</v>
      </c>
      <c r="N417" s="4" t="s">
        <v>23</v>
      </c>
      <c r="O417" s="4" t="s">
        <v>24</v>
      </c>
    </row>
    <row r="418" spans="1:15" x14ac:dyDescent="0.25">
      <c r="A418" s="4" t="s">
        <v>15</v>
      </c>
      <c r="B418" s="4" t="str">
        <f>"FES1162749622"</f>
        <v>FES1162749622</v>
      </c>
      <c r="C418" s="4" t="s">
        <v>112</v>
      </c>
      <c r="D418" s="4">
        <v>1</v>
      </c>
      <c r="E418" s="4" t="str">
        <f>"2170738243"</f>
        <v>2170738243</v>
      </c>
      <c r="F418" s="4" t="s">
        <v>17</v>
      </c>
      <c r="G418" s="4" t="s">
        <v>18</v>
      </c>
      <c r="H418" s="4" t="s">
        <v>18</v>
      </c>
      <c r="I418" s="4" t="s">
        <v>45</v>
      </c>
      <c r="J418" s="4" t="s">
        <v>587</v>
      </c>
      <c r="K418" s="4" t="s">
        <v>556</v>
      </c>
      <c r="L418" s="5">
        <v>0.33333333333333331</v>
      </c>
      <c r="M418" s="4" t="s">
        <v>128</v>
      </c>
      <c r="N418" s="4" t="s">
        <v>23</v>
      </c>
      <c r="O418" s="4" t="s">
        <v>24</v>
      </c>
    </row>
    <row r="419" spans="1:15" x14ac:dyDescent="0.25">
      <c r="A419" s="4" t="s">
        <v>15</v>
      </c>
      <c r="B419" s="4" t="str">
        <f>"FES1162749634"</f>
        <v>FES1162749634</v>
      </c>
      <c r="C419" s="4" t="s">
        <v>112</v>
      </c>
      <c r="D419" s="4">
        <v>1</v>
      </c>
      <c r="E419" s="4" t="str">
        <f>"2170740033"</f>
        <v>2170740033</v>
      </c>
      <c r="F419" s="4" t="s">
        <v>17</v>
      </c>
      <c r="G419" s="4" t="s">
        <v>18</v>
      </c>
      <c r="H419" s="4" t="s">
        <v>85</v>
      </c>
      <c r="I419" s="4" t="s">
        <v>144</v>
      </c>
      <c r="J419" s="4" t="s">
        <v>361</v>
      </c>
      <c r="K419" s="4" t="s">
        <v>556</v>
      </c>
      <c r="L419" s="5">
        <v>0.625</v>
      </c>
      <c r="M419" s="4" t="s">
        <v>693</v>
      </c>
      <c r="N419" s="4" t="s">
        <v>23</v>
      </c>
      <c r="O419" s="4" t="s">
        <v>24</v>
      </c>
    </row>
    <row r="420" spans="1:15" x14ac:dyDescent="0.25">
      <c r="A420" s="4" t="s">
        <v>15</v>
      </c>
      <c r="B420" s="4" t="str">
        <f>"FES1162749638"</f>
        <v>FES1162749638</v>
      </c>
      <c r="C420" s="4" t="s">
        <v>112</v>
      </c>
      <c r="D420" s="4">
        <v>1</v>
      </c>
      <c r="E420" s="4" t="str">
        <f>"2170740090"</f>
        <v>2170740090</v>
      </c>
      <c r="F420" s="4" t="s">
        <v>17</v>
      </c>
      <c r="G420" s="4" t="s">
        <v>18</v>
      </c>
      <c r="H420" s="4" t="s">
        <v>18</v>
      </c>
      <c r="I420" s="4" t="s">
        <v>97</v>
      </c>
      <c r="J420" s="4" t="s">
        <v>588</v>
      </c>
      <c r="K420" s="4" t="s">
        <v>556</v>
      </c>
      <c r="L420" s="5">
        <v>0.33333333333333331</v>
      </c>
      <c r="M420" s="4" t="s">
        <v>694</v>
      </c>
      <c r="N420" s="4" t="s">
        <v>23</v>
      </c>
      <c r="O420" s="4" t="s">
        <v>24</v>
      </c>
    </row>
    <row r="421" spans="1:15" x14ac:dyDescent="0.25">
      <c r="A421" s="10" t="s">
        <v>15</v>
      </c>
      <c r="B421" s="10" t="str">
        <f>"FES1162749584"</f>
        <v>FES1162749584</v>
      </c>
      <c r="C421" s="10" t="s">
        <v>112</v>
      </c>
      <c r="D421" s="10">
        <v>1</v>
      </c>
      <c r="E421" s="10" t="str">
        <f>"2170736256"</f>
        <v>2170736256</v>
      </c>
      <c r="F421" s="10" t="s">
        <v>17</v>
      </c>
      <c r="G421" s="10" t="s">
        <v>18</v>
      </c>
      <c r="H421" s="10" t="s">
        <v>18</v>
      </c>
      <c r="I421" s="10" t="s">
        <v>147</v>
      </c>
      <c r="J421" s="10" t="s">
        <v>589</v>
      </c>
      <c r="K421" s="10" t="s">
        <v>43</v>
      </c>
      <c r="L421" s="10"/>
      <c r="M421" s="10" t="s">
        <v>44</v>
      </c>
      <c r="N421" s="10" t="s">
        <v>968</v>
      </c>
      <c r="O421" s="10" t="s">
        <v>968</v>
      </c>
    </row>
    <row r="422" spans="1:15" x14ac:dyDescent="0.25">
      <c r="A422" s="4" t="s">
        <v>15</v>
      </c>
      <c r="B422" s="4" t="str">
        <f>"FES1162749567"</f>
        <v>FES1162749567</v>
      </c>
      <c r="C422" s="4" t="s">
        <v>112</v>
      </c>
      <c r="D422" s="4">
        <v>1</v>
      </c>
      <c r="E422" s="4" t="str">
        <f>"2170740020"</f>
        <v>2170740020</v>
      </c>
      <c r="F422" s="4" t="s">
        <v>17</v>
      </c>
      <c r="G422" s="4" t="s">
        <v>18</v>
      </c>
      <c r="H422" s="4" t="s">
        <v>18</v>
      </c>
      <c r="I422" s="4" t="s">
        <v>126</v>
      </c>
      <c r="J422" s="4" t="s">
        <v>590</v>
      </c>
      <c r="K422" s="4" t="s">
        <v>556</v>
      </c>
      <c r="L422" s="5">
        <v>0.41666666666666669</v>
      </c>
      <c r="M422" s="4" t="s">
        <v>695</v>
      </c>
      <c r="N422" s="4" t="s">
        <v>23</v>
      </c>
      <c r="O422" s="4" t="s">
        <v>24</v>
      </c>
    </row>
    <row r="423" spans="1:15" x14ac:dyDescent="0.25">
      <c r="A423" s="4" t="s">
        <v>15</v>
      </c>
      <c r="B423" s="4" t="str">
        <f>"FES1162749624"</f>
        <v>FES1162749624</v>
      </c>
      <c r="C423" s="4" t="s">
        <v>112</v>
      </c>
      <c r="D423" s="4">
        <v>1</v>
      </c>
      <c r="E423" s="4" t="str">
        <f>"2170738823"</f>
        <v>2170738823</v>
      </c>
      <c r="F423" s="4" t="s">
        <v>17</v>
      </c>
      <c r="G423" s="4" t="s">
        <v>18</v>
      </c>
      <c r="H423" s="4" t="s">
        <v>18</v>
      </c>
      <c r="I423" s="4" t="s">
        <v>29</v>
      </c>
      <c r="J423" s="4" t="s">
        <v>591</v>
      </c>
      <c r="K423" s="4" t="s">
        <v>556</v>
      </c>
      <c r="L423" s="5">
        <v>0.36458333333333331</v>
      </c>
      <c r="M423" s="4" t="s">
        <v>696</v>
      </c>
      <c r="N423" s="4" t="s">
        <v>23</v>
      </c>
      <c r="O423" s="4" t="s">
        <v>24</v>
      </c>
    </row>
    <row r="424" spans="1:15" x14ac:dyDescent="0.25">
      <c r="A424" s="4" t="s">
        <v>15</v>
      </c>
      <c r="B424" s="4" t="str">
        <f>"FES1162749652"</f>
        <v>FES1162749652</v>
      </c>
      <c r="C424" s="4" t="s">
        <v>112</v>
      </c>
      <c r="D424" s="4">
        <v>1</v>
      </c>
      <c r="E424" s="4" t="str">
        <f>"2170740100"</f>
        <v>2170740100</v>
      </c>
      <c r="F424" s="4" t="s">
        <v>17</v>
      </c>
      <c r="G424" s="4" t="s">
        <v>18</v>
      </c>
      <c r="H424" s="4" t="s">
        <v>52</v>
      </c>
      <c r="I424" s="4" t="s">
        <v>53</v>
      </c>
      <c r="J424" s="4" t="s">
        <v>592</v>
      </c>
      <c r="K424" s="4" t="s">
        <v>556</v>
      </c>
      <c r="L424" s="5">
        <v>0.43333333333333335</v>
      </c>
      <c r="M424" s="4" t="s">
        <v>697</v>
      </c>
      <c r="N424" s="4" t="s">
        <v>23</v>
      </c>
      <c r="O424" s="4" t="s">
        <v>24</v>
      </c>
    </row>
    <row r="425" spans="1:15" x14ac:dyDescent="0.25">
      <c r="A425" s="4" t="s">
        <v>15</v>
      </c>
      <c r="B425" s="4" t="str">
        <f>"FES1162749658"</f>
        <v>FES1162749658</v>
      </c>
      <c r="C425" s="4" t="s">
        <v>112</v>
      </c>
      <c r="D425" s="4">
        <v>1</v>
      </c>
      <c r="E425" s="4" t="str">
        <f>"2170740112"</f>
        <v>2170740112</v>
      </c>
      <c r="F425" s="4" t="s">
        <v>17</v>
      </c>
      <c r="G425" s="4" t="s">
        <v>18</v>
      </c>
      <c r="H425" s="4" t="s">
        <v>25</v>
      </c>
      <c r="I425" s="4" t="s">
        <v>83</v>
      </c>
      <c r="J425" s="4" t="s">
        <v>84</v>
      </c>
      <c r="K425" s="4" t="s">
        <v>556</v>
      </c>
      <c r="L425" s="5">
        <v>0.68333333333333324</v>
      </c>
      <c r="M425" s="4" t="s">
        <v>698</v>
      </c>
      <c r="N425" s="4" t="s">
        <v>23</v>
      </c>
      <c r="O425" s="4" t="s">
        <v>24</v>
      </c>
    </row>
    <row r="426" spans="1:15" x14ac:dyDescent="0.25">
      <c r="A426" s="4" t="s">
        <v>15</v>
      </c>
      <c r="B426" s="4" t="str">
        <f>"FES1162749651"</f>
        <v>FES1162749651</v>
      </c>
      <c r="C426" s="4" t="s">
        <v>112</v>
      </c>
      <c r="D426" s="4">
        <v>1</v>
      </c>
      <c r="E426" s="4" t="str">
        <f>"2170739993"</f>
        <v>2170739993</v>
      </c>
      <c r="F426" s="4" t="s">
        <v>17</v>
      </c>
      <c r="G426" s="4" t="s">
        <v>18</v>
      </c>
      <c r="H426" s="4" t="s">
        <v>32</v>
      </c>
      <c r="I426" s="4" t="s">
        <v>33</v>
      </c>
      <c r="J426" s="4" t="s">
        <v>272</v>
      </c>
      <c r="K426" s="4" t="s">
        <v>556</v>
      </c>
      <c r="L426" s="5">
        <v>0.41666666666666669</v>
      </c>
      <c r="M426" s="4" t="s">
        <v>699</v>
      </c>
      <c r="N426" s="4" t="s">
        <v>23</v>
      </c>
      <c r="O426" s="4" t="s">
        <v>24</v>
      </c>
    </row>
    <row r="427" spans="1:15" x14ac:dyDescent="0.25">
      <c r="A427" s="4" t="s">
        <v>15</v>
      </c>
      <c r="B427" s="4" t="str">
        <f>"FES1162749662"</f>
        <v>FES1162749662</v>
      </c>
      <c r="C427" s="4" t="s">
        <v>112</v>
      </c>
      <c r="D427" s="4">
        <v>1</v>
      </c>
      <c r="E427" s="4" t="str">
        <f>"2170740116"</f>
        <v>2170740116</v>
      </c>
      <c r="F427" s="4" t="s">
        <v>17</v>
      </c>
      <c r="G427" s="4" t="s">
        <v>18</v>
      </c>
      <c r="H427" s="4" t="s">
        <v>25</v>
      </c>
      <c r="I427" s="4" t="s">
        <v>26</v>
      </c>
      <c r="J427" s="4" t="s">
        <v>413</v>
      </c>
      <c r="K427" s="4" t="s">
        <v>556</v>
      </c>
      <c r="L427" s="5">
        <v>0.42499999999999999</v>
      </c>
      <c r="M427" s="4" t="s">
        <v>700</v>
      </c>
      <c r="N427" s="4" t="s">
        <v>23</v>
      </c>
      <c r="O427" s="4" t="s">
        <v>24</v>
      </c>
    </row>
    <row r="428" spans="1:15" x14ac:dyDescent="0.25">
      <c r="A428" s="4" t="s">
        <v>15</v>
      </c>
      <c r="B428" s="4" t="str">
        <f>"FES1162749643"</f>
        <v>FES1162749643</v>
      </c>
      <c r="C428" s="4" t="s">
        <v>112</v>
      </c>
      <c r="D428" s="4">
        <v>0</v>
      </c>
      <c r="E428" s="4" t="str">
        <f>"2170740097"</f>
        <v>2170740097</v>
      </c>
      <c r="F428" s="4" t="s">
        <v>17</v>
      </c>
      <c r="G428" s="4" t="s">
        <v>18</v>
      </c>
      <c r="H428" s="4" t="s">
        <v>85</v>
      </c>
      <c r="I428" s="4" t="s">
        <v>144</v>
      </c>
      <c r="J428" s="4" t="s">
        <v>407</v>
      </c>
      <c r="K428" s="4" t="s">
        <v>556</v>
      </c>
      <c r="L428" s="5">
        <v>0.46527777777777773</v>
      </c>
      <c r="M428" s="4" t="s">
        <v>701</v>
      </c>
      <c r="N428" s="4" t="s">
        <v>23</v>
      </c>
      <c r="O428" s="4" t="s">
        <v>24</v>
      </c>
    </row>
    <row r="429" spans="1:15" x14ac:dyDescent="0.25">
      <c r="A429" s="4" t="s">
        <v>15</v>
      </c>
      <c r="B429" s="4" t="str">
        <f>"FES1162749644"</f>
        <v>FES1162749644</v>
      </c>
      <c r="C429" s="4" t="s">
        <v>112</v>
      </c>
      <c r="D429" s="4">
        <v>0</v>
      </c>
      <c r="E429" s="4" t="str">
        <f>"21720740099"</f>
        <v>21720740099</v>
      </c>
      <c r="F429" s="4" t="s">
        <v>17</v>
      </c>
      <c r="G429" s="4" t="s">
        <v>18</v>
      </c>
      <c r="H429" s="4" t="s">
        <v>18</v>
      </c>
      <c r="I429" s="4" t="s">
        <v>183</v>
      </c>
      <c r="J429" s="4" t="s">
        <v>353</v>
      </c>
      <c r="K429" s="4" t="s">
        <v>556</v>
      </c>
      <c r="L429" s="5">
        <v>0.36319444444444443</v>
      </c>
      <c r="M429" s="4" t="s">
        <v>702</v>
      </c>
      <c r="N429" s="4" t="s">
        <v>23</v>
      </c>
      <c r="O429" s="4" t="s">
        <v>24</v>
      </c>
    </row>
    <row r="430" spans="1:15" x14ac:dyDescent="0.25">
      <c r="A430" s="4" t="s">
        <v>15</v>
      </c>
      <c r="B430" s="4" t="str">
        <f>"FES1162749608"</f>
        <v>FES1162749608</v>
      </c>
      <c r="C430" s="4" t="s">
        <v>112</v>
      </c>
      <c r="D430" s="4">
        <v>0</v>
      </c>
      <c r="E430" s="4" t="str">
        <f>"21707400742"</f>
        <v>21707400742</v>
      </c>
      <c r="F430" s="4" t="s">
        <v>17</v>
      </c>
      <c r="G430" s="4" t="s">
        <v>18</v>
      </c>
      <c r="H430" s="4" t="s">
        <v>85</v>
      </c>
      <c r="I430" s="4" t="s">
        <v>144</v>
      </c>
      <c r="J430" s="4" t="s">
        <v>593</v>
      </c>
      <c r="K430" s="4" t="s">
        <v>556</v>
      </c>
      <c r="L430" s="5">
        <v>0.53472222222222221</v>
      </c>
      <c r="M430" s="4" t="s">
        <v>703</v>
      </c>
      <c r="N430" s="4" t="s">
        <v>23</v>
      </c>
      <c r="O430" s="4" t="s">
        <v>24</v>
      </c>
    </row>
    <row r="431" spans="1:15" x14ac:dyDescent="0.25">
      <c r="A431" s="4" t="s">
        <v>15</v>
      </c>
      <c r="B431" s="4" t="str">
        <f>"FES1162749686"</f>
        <v>FES1162749686</v>
      </c>
      <c r="C431" s="4" t="s">
        <v>112</v>
      </c>
      <c r="D431" s="4">
        <v>0</v>
      </c>
      <c r="E431" s="4" t="str">
        <f>"2170737556"</f>
        <v>2170737556</v>
      </c>
      <c r="F431" s="4" t="s">
        <v>17</v>
      </c>
      <c r="G431" s="4" t="s">
        <v>18</v>
      </c>
      <c r="H431" s="4" t="s">
        <v>18</v>
      </c>
      <c r="I431" s="4" t="s">
        <v>68</v>
      </c>
      <c r="J431" s="4" t="s">
        <v>594</v>
      </c>
      <c r="K431" s="4" t="s">
        <v>556</v>
      </c>
      <c r="L431" s="5">
        <v>0.33333333333333331</v>
      </c>
      <c r="M431" s="4" t="s">
        <v>704</v>
      </c>
      <c r="N431" s="4" t="s">
        <v>23</v>
      </c>
      <c r="O431" s="4" t="s">
        <v>24</v>
      </c>
    </row>
    <row r="432" spans="1:15" x14ac:dyDescent="0.25">
      <c r="A432" s="11" t="s">
        <v>15</v>
      </c>
      <c r="B432" s="11" t="str">
        <f>"FES1162749626"</f>
        <v>FES1162749626</v>
      </c>
      <c r="C432" s="11" t="s">
        <v>112</v>
      </c>
      <c r="D432" s="11">
        <v>0</v>
      </c>
      <c r="E432" s="11" t="str">
        <f>"21707340077"</f>
        <v>21707340077</v>
      </c>
      <c r="F432" s="11" t="s">
        <v>17</v>
      </c>
      <c r="G432" s="11" t="s">
        <v>18</v>
      </c>
      <c r="H432" s="11" t="s">
        <v>85</v>
      </c>
      <c r="I432" s="11" t="s">
        <v>144</v>
      </c>
      <c r="J432" s="11" t="s">
        <v>407</v>
      </c>
      <c r="K432" s="11" t="s">
        <v>556</v>
      </c>
      <c r="L432" s="12">
        <v>0.46527777777777773</v>
      </c>
      <c r="M432" s="11" t="s">
        <v>701</v>
      </c>
      <c r="N432" s="11" t="s">
        <v>23</v>
      </c>
      <c r="O432" s="11" t="s">
        <v>24</v>
      </c>
    </row>
    <row r="433" spans="1:15" x14ac:dyDescent="0.25">
      <c r="A433" s="11" t="s">
        <v>15</v>
      </c>
      <c r="B433" s="11" t="str">
        <f>"FES1162749627"</f>
        <v>FES1162749627</v>
      </c>
      <c r="C433" s="11" t="s">
        <v>112</v>
      </c>
      <c r="D433" s="11">
        <v>0</v>
      </c>
      <c r="E433" s="11" t="str">
        <f>"2170740078"</f>
        <v>2170740078</v>
      </c>
      <c r="F433" s="11" t="s">
        <v>17</v>
      </c>
      <c r="G433" s="11" t="s">
        <v>18</v>
      </c>
      <c r="H433" s="11" t="s">
        <v>349</v>
      </c>
      <c r="I433" s="11" t="s">
        <v>350</v>
      </c>
      <c r="J433" s="11" t="s">
        <v>595</v>
      </c>
      <c r="K433" s="11" t="s">
        <v>556</v>
      </c>
      <c r="L433" s="12">
        <v>0.48055555555555557</v>
      </c>
      <c r="M433" s="11" t="s">
        <v>705</v>
      </c>
      <c r="N433" s="11" t="s">
        <v>23</v>
      </c>
      <c r="O433" s="11" t="s">
        <v>24</v>
      </c>
    </row>
    <row r="434" spans="1:15" x14ac:dyDescent="0.25">
      <c r="A434" s="11" t="s">
        <v>15</v>
      </c>
      <c r="B434" s="11" t="str">
        <f>"FES1162749629"</f>
        <v>FES1162749629</v>
      </c>
      <c r="C434" s="11" t="s">
        <v>112</v>
      </c>
      <c r="D434" s="11">
        <v>0</v>
      </c>
      <c r="E434" s="11" t="str">
        <f>"2170740080"</f>
        <v>2170740080</v>
      </c>
      <c r="F434" s="11" t="s">
        <v>17</v>
      </c>
      <c r="G434" s="11" t="s">
        <v>18</v>
      </c>
      <c r="H434" s="11" t="s">
        <v>40</v>
      </c>
      <c r="I434" s="11" t="s">
        <v>41</v>
      </c>
      <c r="J434" s="11" t="s">
        <v>596</v>
      </c>
      <c r="K434" s="11" t="s">
        <v>556</v>
      </c>
      <c r="L434" s="12">
        <v>0.48055555555555557</v>
      </c>
      <c r="M434" s="11" t="s">
        <v>831</v>
      </c>
      <c r="N434" s="11" t="s">
        <v>23</v>
      </c>
      <c r="O434" s="11" t="s">
        <v>825</v>
      </c>
    </row>
    <row r="435" spans="1:15" x14ac:dyDescent="0.25">
      <c r="A435" s="11" t="s">
        <v>15</v>
      </c>
      <c r="B435" s="11" t="str">
        <f>"FES1162749677"</f>
        <v>FES1162749677</v>
      </c>
      <c r="C435" s="11" t="s">
        <v>112</v>
      </c>
      <c r="D435" s="11">
        <v>0</v>
      </c>
      <c r="E435" s="11" t="str">
        <f>"2170737485"</f>
        <v>2170737485</v>
      </c>
      <c r="F435" s="11" t="s">
        <v>17</v>
      </c>
      <c r="G435" s="11" t="s">
        <v>18</v>
      </c>
      <c r="H435" s="11" t="s">
        <v>18</v>
      </c>
      <c r="I435" s="11" t="s">
        <v>19</v>
      </c>
      <c r="J435" s="11" t="s">
        <v>20</v>
      </c>
      <c r="K435" s="11" t="s">
        <v>556</v>
      </c>
      <c r="L435" s="12">
        <v>0.35902777777777778</v>
      </c>
      <c r="M435" s="11" t="s">
        <v>706</v>
      </c>
      <c r="N435" s="11" t="s">
        <v>23</v>
      </c>
      <c r="O435" s="11" t="s">
        <v>24</v>
      </c>
    </row>
    <row r="436" spans="1:15" x14ac:dyDescent="0.25">
      <c r="A436" s="11" t="s">
        <v>15</v>
      </c>
      <c r="B436" s="11" t="str">
        <f>"FES1162749639"</f>
        <v>FES1162749639</v>
      </c>
      <c r="C436" s="11" t="s">
        <v>112</v>
      </c>
      <c r="D436" s="11">
        <v>0</v>
      </c>
      <c r="E436" s="11" t="str">
        <f>"21707940092"</f>
        <v>21707940092</v>
      </c>
      <c r="F436" s="11" t="s">
        <v>17</v>
      </c>
      <c r="G436" s="11" t="s">
        <v>18</v>
      </c>
      <c r="H436" s="11" t="s">
        <v>18</v>
      </c>
      <c r="I436" s="11" t="s">
        <v>19</v>
      </c>
      <c r="J436" s="11" t="s">
        <v>186</v>
      </c>
      <c r="K436" s="11" t="s">
        <v>556</v>
      </c>
      <c r="L436" s="12">
        <v>0.43055555555555558</v>
      </c>
      <c r="M436" s="11" t="s">
        <v>707</v>
      </c>
      <c r="N436" s="11" t="s">
        <v>23</v>
      </c>
      <c r="O436" s="11" t="s">
        <v>24</v>
      </c>
    </row>
    <row r="437" spans="1:15" x14ac:dyDescent="0.25">
      <c r="A437" s="4" t="s">
        <v>15</v>
      </c>
      <c r="B437" s="4" t="str">
        <f>"FES1162749582"</f>
        <v>FES1162749582</v>
      </c>
      <c r="C437" s="4" t="s">
        <v>112</v>
      </c>
      <c r="D437" s="4">
        <v>0</v>
      </c>
      <c r="E437" s="4" t="str">
        <f>"2170739404"</f>
        <v>2170739404</v>
      </c>
      <c r="F437" s="4" t="s">
        <v>17</v>
      </c>
      <c r="G437" s="4" t="s">
        <v>18</v>
      </c>
      <c r="H437" s="4" t="s">
        <v>18</v>
      </c>
      <c r="I437" s="4" t="s">
        <v>126</v>
      </c>
      <c r="J437" s="4" t="s">
        <v>597</v>
      </c>
      <c r="K437" s="4" t="s">
        <v>556</v>
      </c>
      <c r="L437" s="5">
        <v>0.38541666666666669</v>
      </c>
      <c r="M437" s="4" t="s">
        <v>708</v>
      </c>
      <c r="N437" s="4" t="s">
        <v>23</v>
      </c>
      <c r="O437" s="4" t="s">
        <v>24</v>
      </c>
    </row>
    <row r="438" spans="1:15" x14ac:dyDescent="0.25">
      <c r="A438" s="4" t="s">
        <v>15</v>
      </c>
      <c r="B438" s="4" t="str">
        <f>"FES1162749551"</f>
        <v>FES1162749551</v>
      </c>
      <c r="C438" s="4" t="s">
        <v>112</v>
      </c>
      <c r="D438" s="4">
        <v>0</v>
      </c>
      <c r="E438" s="4" t="str">
        <f>"2170740016"</f>
        <v>2170740016</v>
      </c>
      <c r="F438" s="4" t="s">
        <v>17</v>
      </c>
      <c r="G438" s="4" t="s">
        <v>18</v>
      </c>
      <c r="H438" s="4" t="s">
        <v>18</v>
      </c>
      <c r="I438" s="4" t="s">
        <v>68</v>
      </c>
      <c r="J438" s="4" t="s">
        <v>598</v>
      </c>
      <c r="K438" s="4" t="s">
        <v>556</v>
      </c>
      <c r="L438" s="5">
        <v>0.41597222222222219</v>
      </c>
      <c r="M438" s="4" t="s">
        <v>709</v>
      </c>
      <c r="N438" s="4" t="s">
        <v>23</v>
      </c>
      <c r="O438" s="4" t="s">
        <v>24</v>
      </c>
    </row>
    <row r="439" spans="1:15" x14ac:dyDescent="0.25">
      <c r="A439" s="4" t="s">
        <v>15</v>
      </c>
      <c r="B439" s="4" t="str">
        <f>"FES1162749557"</f>
        <v>FES1162749557</v>
      </c>
      <c r="C439" s="4" t="s">
        <v>112</v>
      </c>
      <c r="D439" s="4">
        <v>0</v>
      </c>
      <c r="E439" s="4" t="str">
        <f>"2170740043"</f>
        <v>2170740043</v>
      </c>
      <c r="F439" s="4" t="s">
        <v>17</v>
      </c>
      <c r="G439" s="4" t="s">
        <v>18</v>
      </c>
      <c r="H439" s="4" t="s">
        <v>18</v>
      </c>
      <c r="I439" s="4" t="s">
        <v>97</v>
      </c>
      <c r="J439" s="4" t="s">
        <v>599</v>
      </c>
      <c r="K439" s="4" t="s">
        <v>556</v>
      </c>
      <c r="L439" s="5">
        <v>0.27777777777777779</v>
      </c>
      <c r="M439" s="4" t="s">
        <v>710</v>
      </c>
      <c r="N439" s="4" t="s">
        <v>23</v>
      </c>
      <c r="O439" s="4" t="s">
        <v>24</v>
      </c>
    </row>
    <row r="440" spans="1:15" x14ac:dyDescent="0.25">
      <c r="A440" s="4" t="s">
        <v>15</v>
      </c>
      <c r="B440" s="4" t="str">
        <f>"FES1162749648"</f>
        <v>FES1162749648</v>
      </c>
      <c r="C440" s="4" t="s">
        <v>112</v>
      </c>
      <c r="D440" s="4">
        <v>0</v>
      </c>
      <c r="E440" s="4" t="str">
        <f>"21707400086"</f>
        <v>21707400086</v>
      </c>
      <c r="F440" s="4" t="s">
        <v>17</v>
      </c>
      <c r="G440" s="4" t="s">
        <v>18</v>
      </c>
      <c r="H440" s="4" t="s">
        <v>32</v>
      </c>
      <c r="I440" s="4" t="s">
        <v>33</v>
      </c>
      <c r="J440" s="4" t="s">
        <v>600</v>
      </c>
      <c r="K440" s="4" t="s">
        <v>556</v>
      </c>
      <c r="L440" s="5">
        <v>0.38125000000000003</v>
      </c>
      <c r="M440" s="4" t="s">
        <v>711</v>
      </c>
      <c r="N440" s="4" t="s">
        <v>23</v>
      </c>
      <c r="O440" s="4" t="s">
        <v>24</v>
      </c>
    </row>
    <row r="441" spans="1:15" x14ac:dyDescent="0.25">
      <c r="A441" s="4" t="s">
        <v>15</v>
      </c>
      <c r="B441" s="4" t="str">
        <f>"FES1162749653"</f>
        <v>FES1162749653</v>
      </c>
      <c r="C441" s="4" t="s">
        <v>112</v>
      </c>
      <c r="D441" s="4">
        <v>0</v>
      </c>
      <c r="E441" s="4" t="str">
        <f>"2170740150"</f>
        <v>2170740150</v>
      </c>
      <c r="F441" s="4" t="s">
        <v>17</v>
      </c>
      <c r="G441" s="4" t="s">
        <v>18</v>
      </c>
      <c r="H441" s="4" t="s">
        <v>48</v>
      </c>
      <c r="I441" s="4" t="s">
        <v>49</v>
      </c>
      <c r="J441" s="4" t="s">
        <v>601</v>
      </c>
      <c r="K441" s="4" t="s">
        <v>556</v>
      </c>
      <c r="L441" s="5">
        <v>0.38958333333333334</v>
      </c>
      <c r="M441" s="4" t="s">
        <v>712</v>
      </c>
      <c r="N441" s="4" t="s">
        <v>23</v>
      </c>
      <c r="O441" s="4" t="s">
        <v>24</v>
      </c>
    </row>
    <row r="442" spans="1:15" x14ac:dyDescent="0.25">
      <c r="A442" s="4" t="s">
        <v>15</v>
      </c>
      <c r="B442" s="4" t="str">
        <f>"FES1162749705"</f>
        <v>FES1162749705</v>
      </c>
      <c r="C442" s="4" t="s">
        <v>112</v>
      </c>
      <c r="D442" s="4">
        <v>0</v>
      </c>
      <c r="E442" s="4" t="str">
        <f>"2170737874"</f>
        <v>2170737874</v>
      </c>
      <c r="F442" s="4" t="s">
        <v>17</v>
      </c>
      <c r="G442" s="4" t="s">
        <v>18</v>
      </c>
      <c r="H442" s="4" t="s">
        <v>25</v>
      </c>
      <c r="I442" s="4" t="s">
        <v>26</v>
      </c>
      <c r="J442" s="4" t="s">
        <v>279</v>
      </c>
      <c r="K442" s="4" t="s">
        <v>556</v>
      </c>
      <c r="L442" s="5">
        <v>0.38194444444444442</v>
      </c>
      <c r="M442" s="4" t="s">
        <v>444</v>
      </c>
      <c r="N442" s="4" t="s">
        <v>23</v>
      </c>
      <c r="O442" s="4" t="s">
        <v>24</v>
      </c>
    </row>
    <row r="443" spans="1:15" x14ac:dyDescent="0.25">
      <c r="A443" s="4" t="s">
        <v>15</v>
      </c>
      <c r="B443" s="4" t="str">
        <f>"FES1162749723"</f>
        <v>FES1162749723</v>
      </c>
      <c r="C443" s="4" t="s">
        <v>112</v>
      </c>
      <c r="D443" s="4">
        <v>1</v>
      </c>
      <c r="E443" s="4" t="str">
        <f>"2170740111"</f>
        <v>2170740111</v>
      </c>
      <c r="F443" s="4" t="s">
        <v>17</v>
      </c>
      <c r="G443" s="4" t="s">
        <v>18</v>
      </c>
      <c r="H443" s="4" t="s">
        <v>85</v>
      </c>
      <c r="I443" s="4" t="s">
        <v>144</v>
      </c>
      <c r="J443" s="4" t="s">
        <v>602</v>
      </c>
      <c r="K443" s="4" t="s">
        <v>556</v>
      </c>
      <c r="L443" s="5">
        <v>0.4236111111111111</v>
      </c>
      <c r="M443" s="4" t="s">
        <v>713</v>
      </c>
      <c r="N443" s="4" t="s">
        <v>23</v>
      </c>
      <c r="O443" s="4" t="s">
        <v>24</v>
      </c>
    </row>
    <row r="444" spans="1:15" x14ac:dyDescent="0.25">
      <c r="A444" s="4" t="s">
        <v>15</v>
      </c>
      <c r="B444" s="4" t="str">
        <f>"FES1162749609"</f>
        <v>FES1162749609</v>
      </c>
      <c r="C444" s="4" t="s">
        <v>112</v>
      </c>
      <c r="D444" s="4">
        <v>0</v>
      </c>
      <c r="E444" s="4" t="str">
        <f>"2170740073"</f>
        <v>2170740073</v>
      </c>
      <c r="F444" s="4" t="s">
        <v>17</v>
      </c>
      <c r="G444" s="4" t="s">
        <v>18</v>
      </c>
      <c r="H444" s="4" t="s">
        <v>18</v>
      </c>
      <c r="I444" s="4" t="s">
        <v>97</v>
      </c>
      <c r="J444" s="4" t="s">
        <v>603</v>
      </c>
      <c r="K444" s="4" t="s">
        <v>556</v>
      </c>
      <c r="L444" s="5">
        <v>0.37291666666666662</v>
      </c>
      <c r="M444" s="4" t="s">
        <v>714</v>
      </c>
      <c r="N444" s="4" t="s">
        <v>23</v>
      </c>
      <c r="O444" s="4" t="s">
        <v>24</v>
      </c>
    </row>
    <row r="445" spans="1:15" x14ac:dyDescent="0.25">
      <c r="A445" s="4" t="s">
        <v>15</v>
      </c>
      <c r="B445" s="4" t="str">
        <f>"FES1162749640"</f>
        <v>FES1162749640</v>
      </c>
      <c r="C445" s="4" t="s">
        <v>112</v>
      </c>
      <c r="D445" s="4">
        <v>0</v>
      </c>
      <c r="E445" s="4" t="str">
        <f>"21707400091"</f>
        <v>21707400091</v>
      </c>
      <c r="F445" s="4" t="s">
        <v>17</v>
      </c>
      <c r="G445" s="4" t="s">
        <v>18</v>
      </c>
      <c r="H445" s="4" t="s">
        <v>18</v>
      </c>
      <c r="I445" s="4" t="s">
        <v>97</v>
      </c>
      <c r="J445" s="4" t="s">
        <v>588</v>
      </c>
      <c r="K445" s="4" t="s">
        <v>556</v>
      </c>
      <c r="L445" s="5">
        <v>0.35000000000000003</v>
      </c>
      <c r="M445" s="4" t="s">
        <v>694</v>
      </c>
      <c r="N445" s="4" t="s">
        <v>23</v>
      </c>
      <c r="O445" s="4" t="s">
        <v>24</v>
      </c>
    </row>
    <row r="446" spans="1:15" x14ac:dyDescent="0.25">
      <c r="A446" s="4" t="s">
        <v>15</v>
      </c>
      <c r="B446" s="4" t="str">
        <f>"FES1162749707"</f>
        <v>FES1162749707</v>
      </c>
      <c r="C446" s="4" t="s">
        <v>112</v>
      </c>
      <c r="D446" s="4">
        <v>0</v>
      </c>
      <c r="E446" s="4" t="str">
        <f>"2170737918"</f>
        <v>2170737918</v>
      </c>
      <c r="F446" s="4" t="s">
        <v>17</v>
      </c>
      <c r="G446" s="4" t="s">
        <v>18</v>
      </c>
      <c r="H446" s="4" t="s">
        <v>32</v>
      </c>
      <c r="I446" s="4" t="s">
        <v>33</v>
      </c>
      <c r="J446" s="4" t="s">
        <v>604</v>
      </c>
      <c r="K446" s="4" t="s">
        <v>556</v>
      </c>
      <c r="L446" s="5">
        <v>0.4201388888888889</v>
      </c>
      <c r="M446" s="4" t="s">
        <v>341</v>
      </c>
      <c r="N446" s="4" t="s">
        <v>23</v>
      </c>
      <c r="O446" s="4" t="s">
        <v>24</v>
      </c>
    </row>
    <row r="447" spans="1:15" x14ac:dyDescent="0.25">
      <c r="A447" s="11" t="s">
        <v>15</v>
      </c>
      <c r="B447" s="11" t="str">
        <f>"FES1162749692"</f>
        <v>FES1162749692</v>
      </c>
      <c r="C447" s="11" t="s">
        <v>112</v>
      </c>
      <c r="D447" s="11">
        <v>0</v>
      </c>
      <c r="E447" s="11" t="str">
        <f>"2170737594"</f>
        <v>2170737594</v>
      </c>
      <c r="F447" s="11" t="s">
        <v>17</v>
      </c>
      <c r="G447" s="11" t="s">
        <v>18</v>
      </c>
      <c r="H447" s="11" t="s">
        <v>85</v>
      </c>
      <c r="I447" s="11" t="s">
        <v>207</v>
      </c>
      <c r="J447" s="11" t="s">
        <v>377</v>
      </c>
      <c r="K447" s="11" t="s">
        <v>556</v>
      </c>
      <c r="L447" s="12">
        <v>0.45</v>
      </c>
      <c r="M447" s="11" t="s">
        <v>510</v>
      </c>
      <c r="N447" s="11" t="s">
        <v>23</v>
      </c>
      <c r="O447" s="11" t="s">
        <v>24</v>
      </c>
    </row>
    <row r="448" spans="1:15" x14ac:dyDescent="0.25">
      <c r="A448" s="11" t="s">
        <v>15</v>
      </c>
      <c r="B448" s="11" t="str">
        <f>"FES1162749684"</f>
        <v>FES1162749684</v>
      </c>
      <c r="C448" s="11" t="s">
        <v>112</v>
      </c>
      <c r="D448" s="11">
        <v>0</v>
      </c>
      <c r="E448" s="11" t="str">
        <f>"2170737537"</f>
        <v>2170737537</v>
      </c>
      <c r="F448" s="11" t="s">
        <v>17</v>
      </c>
      <c r="G448" s="11" t="s">
        <v>18</v>
      </c>
      <c r="H448" s="11" t="s">
        <v>52</v>
      </c>
      <c r="I448" s="11" t="s">
        <v>53</v>
      </c>
      <c r="J448" s="11" t="s">
        <v>56</v>
      </c>
      <c r="K448" s="11" t="s">
        <v>556</v>
      </c>
      <c r="L448" s="12">
        <v>0.43333333333333335</v>
      </c>
      <c r="M448" s="11" t="s">
        <v>715</v>
      </c>
      <c r="N448" s="11" t="s">
        <v>23</v>
      </c>
      <c r="O448" s="11" t="s">
        <v>24</v>
      </c>
    </row>
    <row r="449" spans="1:15" x14ac:dyDescent="0.25">
      <c r="A449" s="11" t="s">
        <v>15</v>
      </c>
      <c r="B449" s="11" t="str">
        <f>"FES1162749706"</f>
        <v>FES1162749706</v>
      </c>
      <c r="C449" s="11" t="s">
        <v>112</v>
      </c>
      <c r="D449" s="11">
        <v>0</v>
      </c>
      <c r="E449" s="11" t="str">
        <f>"21707367876"</f>
        <v>21707367876</v>
      </c>
      <c r="F449" s="11" t="s">
        <v>17</v>
      </c>
      <c r="G449" s="11" t="s">
        <v>18</v>
      </c>
      <c r="H449" s="11" t="s">
        <v>25</v>
      </c>
      <c r="I449" s="11" t="s">
        <v>26</v>
      </c>
      <c r="J449" s="11" t="s">
        <v>279</v>
      </c>
      <c r="K449" s="11" t="s">
        <v>556</v>
      </c>
      <c r="L449" s="12">
        <v>0.38194444444444442</v>
      </c>
      <c r="M449" s="11" t="s">
        <v>444</v>
      </c>
      <c r="N449" s="11" t="s">
        <v>23</v>
      </c>
      <c r="O449" s="11" t="s">
        <v>24</v>
      </c>
    </row>
    <row r="450" spans="1:15" x14ac:dyDescent="0.25">
      <c r="A450" s="11" t="s">
        <v>15</v>
      </c>
      <c r="B450" s="11" t="str">
        <f>"FES1162749678"</f>
        <v>FES1162749678</v>
      </c>
      <c r="C450" s="11" t="s">
        <v>112</v>
      </c>
      <c r="D450" s="11">
        <v>0</v>
      </c>
      <c r="E450" s="11" t="str">
        <f>"2170737489"</f>
        <v>2170737489</v>
      </c>
      <c r="F450" s="11" t="s">
        <v>17</v>
      </c>
      <c r="G450" s="11" t="s">
        <v>18</v>
      </c>
      <c r="H450" s="11" t="s">
        <v>52</v>
      </c>
      <c r="I450" s="11" t="s">
        <v>53</v>
      </c>
      <c r="J450" s="11" t="s">
        <v>280</v>
      </c>
      <c r="K450" s="11" t="s">
        <v>556</v>
      </c>
      <c r="L450" s="12">
        <v>0.40972222222222227</v>
      </c>
      <c r="M450" s="11" t="s">
        <v>716</v>
      </c>
      <c r="N450" s="11" t="s">
        <v>23</v>
      </c>
      <c r="O450" s="11" t="s">
        <v>24</v>
      </c>
    </row>
    <row r="451" spans="1:15" x14ac:dyDescent="0.25">
      <c r="A451" s="11" t="s">
        <v>15</v>
      </c>
      <c r="B451" s="11" t="str">
        <f>"FES1162749722"</f>
        <v>FES1162749722</v>
      </c>
      <c r="C451" s="11" t="s">
        <v>112</v>
      </c>
      <c r="D451" s="11">
        <v>0</v>
      </c>
      <c r="E451" s="11" t="str">
        <f>"2170740006"</f>
        <v>2170740006</v>
      </c>
      <c r="F451" s="11" t="s">
        <v>17</v>
      </c>
      <c r="G451" s="11" t="s">
        <v>18</v>
      </c>
      <c r="H451" s="11" t="s">
        <v>52</v>
      </c>
      <c r="I451" s="11" t="s">
        <v>397</v>
      </c>
      <c r="J451" s="11" t="s">
        <v>398</v>
      </c>
      <c r="K451" s="11" t="s">
        <v>556</v>
      </c>
      <c r="L451" s="12">
        <v>0.40972222222222227</v>
      </c>
      <c r="M451" s="11" t="s">
        <v>830</v>
      </c>
      <c r="N451" s="11" t="s">
        <v>23</v>
      </c>
      <c r="O451" s="11" t="s">
        <v>825</v>
      </c>
    </row>
    <row r="452" spans="1:15" x14ac:dyDescent="0.25">
      <c r="A452" s="11" t="s">
        <v>15</v>
      </c>
      <c r="B452" s="11" t="str">
        <f>"FES1162749711"</f>
        <v>FES1162749711</v>
      </c>
      <c r="C452" s="11" t="s">
        <v>112</v>
      </c>
      <c r="D452" s="11">
        <v>0</v>
      </c>
      <c r="E452" s="11" t="str">
        <f>"2170737829"</f>
        <v>2170737829</v>
      </c>
      <c r="F452" s="11" t="s">
        <v>17</v>
      </c>
      <c r="G452" s="11" t="s">
        <v>18</v>
      </c>
      <c r="H452" s="11" t="s">
        <v>48</v>
      </c>
      <c r="I452" s="11" t="s">
        <v>49</v>
      </c>
      <c r="J452" s="11" t="s">
        <v>605</v>
      </c>
      <c r="K452" s="11" t="s">
        <v>556</v>
      </c>
      <c r="L452" s="12">
        <v>0.37986111111111115</v>
      </c>
      <c r="M452" s="11" t="s">
        <v>717</v>
      </c>
      <c r="N452" s="11" t="s">
        <v>23</v>
      </c>
      <c r="O452" s="11" t="s">
        <v>24</v>
      </c>
    </row>
    <row r="453" spans="1:15" x14ac:dyDescent="0.25">
      <c r="A453" s="11" t="s">
        <v>15</v>
      </c>
      <c r="B453" s="11" t="str">
        <f>"FES1162749714"</f>
        <v>FES1162749714</v>
      </c>
      <c r="C453" s="11" t="s">
        <v>112</v>
      </c>
      <c r="D453" s="11">
        <v>0</v>
      </c>
      <c r="E453" s="11" t="str">
        <f>"2170739088"</f>
        <v>2170739088</v>
      </c>
      <c r="F453" s="11" t="s">
        <v>17</v>
      </c>
      <c r="G453" s="11" t="s">
        <v>18</v>
      </c>
      <c r="H453" s="11" t="s">
        <v>48</v>
      </c>
      <c r="I453" s="11" t="s">
        <v>49</v>
      </c>
      <c r="J453" s="11" t="s">
        <v>406</v>
      </c>
      <c r="K453" s="11" t="s">
        <v>556</v>
      </c>
      <c r="L453" s="12">
        <v>0.36805555555555558</v>
      </c>
      <c r="M453" s="11" t="s">
        <v>718</v>
      </c>
      <c r="N453" s="11" t="s">
        <v>23</v>
      </c>
      <c r="O453" s="11" t="s">
        <v>24</v>
      </c>
    </row>
    <row r="454" spans="1:15" x14ac:dyDescent="0.25">
      <c r="A454" s="11" t="s">
        <v>15</v>
      </c>
      <c r="B454" s="11" t="str">
        <f>"FES1162749724"</f>
        <v>FES1162749724</v>
      </c>
      <c r="C454" s="11" t="s">
        <v>112</v>
      </c>
      <c r="D454" s="11">
        <v>0</v>
      </c>
      <c r="E454" s="11" t="str">
        <f>"2170740117"</f>
        <v>2170740117</v>
      </c>
      <c r="F454" s="11" t="s">
        <v>17</v>
      </c>
      <c r="G454" s="11" t="s">
        <v>18</v>
      </c>
      <c r="H454" s="11" t="s">
        <v>48</v>
      </c>
      <c r="I454" s="11" t="s">
        <v>49</v>
      </c>
      <c r="J454" s="11" t="s">
        <v>100</v>
      </c>
      <c r="K454" s="11" t="s">
        <v>556</v>
      </c>
      <c r="L454" s="12">
        <v>0.39444444444444443</v>
      </c>
      <c r="M454" s="11" t="s">
        <v>668</v>
      </c>
      <c r="N454" s="11" t="s">
        <v>23</v>
      </c>
      <c r="O454" s="11" t="s">
        <v>24</v>
      </c>
    </row>
    <row r="455" spans="1:15" x14ac:dyDescent="0.25">
      <c r="A455" s="4" t="s">
        <v>15</v>
      </c>
      <c r="B455" s="4" t="str">
        <f>"FES1162749675"</f>
        <v>FES1162749675</v>
      </c>
      <c r="C455" s="4" t="s">
        <v>112</v>
      </c>
      <c r="D455" s="4">
        <v>0</v>
      </c>
      <c r="E455" s="4" t="str">
        <f>"2170737467"</f>
        <v>2170737467</v>
      </c>
      <c r="F455" s="4" t="s">
        <v>17</v>
      </c>
      <c r="G455" s="4" t="s">
        <v>18</v>
      </c>
      <c r="H455" s="4" t="s">
        <v>48</v>
      </c>
      <c r="I455" s="4" t="s">
        <v>199</v>
      </c>
      <c r="J455" s="4" t="s">
        <v>560</v>
      </c>
      <c r="K455" s="4" t="s">
        <v>556</v>
      </c>
      <c r="L455" s="5">
        <v>0.59444444444444444</v>
      </c>
      <c r="M455" s="4" t="s">
        <v>667</v>
      </c>
      <c r="N455" s="4" t="s">
        <v>23</v>
      </c>
      <c r="O455" s="4" t="s">
        <v>24</v>
      </c>
    </row>
    <row r="456" spans="1:15" x14ac:dyDescent="0.25">
      <c r="A456" s="4" t="s">
        <v>15</v>
      </c>
      <c r="B456" s="4" t="str">
        <f>"FES1162749613"</f>
        <v>FES1162749613</v>
      </c>
      <c r="C456" s="4" t="s">
        <v>112</v>
      </c>
      <c r="D456" s="4">
        <v>1</v>
      </c>
      <c r="E456" s="4" t="str">
        <f>"2170734724"</f>
        <v>2170734724</v>
      </c>
      <c r="F456" s="4" t="s">
        <v>17</v>
      </c>
      <c r="G456" s="4" t="s">
        <v>18</v>
      </c>
      <c r="H456" s="4" t="s">
        <v>18</v>
      </c>
      <c r="I456" s="4" t="s">
        <v>19</v>
      </c>
      <c r="J456" s="4" t="s">
        <v>270</v>
      </c>
      <c r="K456" s="4" t="s">
        <v>556</v>
      </c>
      <c r="L456" s="5">
        <v>0.3347222222222222</v>
      </c>
      <c r="M456" s="4" t="s">
        <v>719</v>
      </c>
      <c r="N456" s="4" t="s">
        <v>23</v>
      </c>
      <c r="O456" s="4" t="s">
        <v>24</v>
      </c>
    </row>
    <row r="457" spans="1:15" x14ac:dyDescent="0.25">
      <c r="A457" s="4" t="s">
        <v>15</v>
      </c>
      <c r="B457" s="4" t="str">
        <f>"FES1162749718"</f>
        <v>FES1162749718</v>
      </c>
      <c r="C457" s="4" t="s">
        <v>112</v>
      </c>
      <c r="D457" s="4">
        <v>0</v>
      </c>
      <c r="E457" s="4" t="str">
        <f>"2170739484"</f>
        <v>2170739484</v>
      </c>
      <c r="F457" s="4" t="s">
        <v>17</v>
      </c>
      <c r="G457" s="4" t="s">
        <v>18</v>
      </c>
      <c r="H457" s="4" t="s">
        <v>48</v>
      </c>
      <c r="I457" s="4" t="s">
        <v>73</v>
      </c>
      <c r="J457" s="4" t="s">
        <v>606</v>
      </c>
      <c r="K457" s="4" t="s">
        <v>556</v>
      </c>
      <c r="L457" s="5">
        <v>0.46666666666666662</v>
      </c>
      <c r="M457" s="4" t="s">
        <v>720</v>
      </c>
      <c r="N457" s="4" t="s">
        <v>23</v>
      </c>
      <c r="O457" s="4" t="s">
        <v>24</v>
      </c>
    </row>
    <row r="458" spans="1:15" x14ac:dyDescent="0.25">
      <c r="A458" s="4" t="s">
        <v>15</v>
      </c>
      <c r="B458" s="4" t="str">
        <f>"FES1162749656"</f>
        <v>FES1162749656</v>
      </c>
      <c r="C458" s="4" t="s">
        <v>112</v>
      </c>
      <c r="D458" s="4">
        <v>0</v>
      </c>
      <c r="E458" s="4" t="str">
        <f>"2170740110"</f>
        <v>2170740110</v>
      </c>
      <c r="F458" s="4" t="s">
        <v>17</v>
      </c>
      <c r="G458" s="4" t="s">
        <v>18</v>
      </c>
      <c r="H458" s="4" t="s">
        <v>48</v>
      </c>
      <c r="I458" s="4" t="s">
        <v>49</v>
      </c>
      <c r="J458" s="4" t="s">
        <v>607</v>
      </c>
      <c r="K458" s="4" t="s">
        <v>556</v>
      </c>
      <c r="L458" s="5">
        <v>0.43611111111111112</v>
      </c>
      <c r="M458" s="4" t="s">
        <v>496</v>
      </c>
      <c r="N458" s="4" t="s">
        <v>23</v>
      </c>
      <c r="O458" s="4" t="s">
        <v>24</v>
      </c>
    </row>
    <row r="459" spans="1:15" x14ac:dyDescent="0.25">
      <c r="A459" s="15" t="s">
        <v>15</v>
      </c>
      <c r="B459" s="15" t="str">
        <f>"FES1162749699"</f>
        <v>FES1162749699</v>
      </c>
      <c r="C459" s="15" t="s">
        <v>112</v>
      </c>
      <c r="D459" s="15">
        <v>1</v>
      </c>
      <c r="E459" s="15" t="str">
        <f>"2170737731"</f>
        <v>2170737731</v>
      </c>
      <c r="F459" s="15" t="s">
        <v>17</v>
      </c>
      <c r="G459" s="15" t="s">
        <v>18</v>
      </c>
      <c r="H459" s="15" t="s">
        <v>48</v>
      </c>
      <c r="I459" s="15" t="s">
        <v>49</v>
      </c>
      <c r="J459" s="15" t="s">
        <v>561</v>
      </c>
      <c r="K459" s="15" t="s">
        <v>43</v>
      </c>
      <c r="L459" s="15"/>
      <c r="M459" s="15" t="s">
        <v>44</v>
      </c>
      <c r="N459" s="15" t="s">
        <v>419</v>
      </c>
      <c r="O459" s="15" t="s">
        <v>826</v>
      </c>
    </row>
    <row r="460" spans="1:15" x14ac:dyDescent="0.25">
      <c r="A460" s="4" t="s">
        <v>15</v>
      </c>
      <c r="B460" s="4" t="str">
        <f>"FES1162749689"</f>
        <v>FES1162749689</v>
      </c>
      <c r="C460" s="4" t="s">
        <v>112</v>
      </c>
      <c r="D460" s="4">
        <v>0</v>
      </c>
      <c r="E460" s="4" t="str">
        <f>"2170737570"</f>
        <v>2170737570</v>
      </c>
      <c r="F460" s="4" t="s">
        <v>17</v>
      </c>
      <c r="G460" s="4" t="s">
        <v>18</v>
      </c>
      <c r="H460" s="4" t="s">
        <v>18</v>
      </c>
      <c r="I460" s="4" t="s">
        <v>29</v>
      </c>
      <c r="J460" s="4" t="s">
        <v>608</v>
      </c>
      <c r="K460" s="4" t="s">
        <v>556</v>
      </c>
      <c r="L460" s="5">
        <v>0.43333333333333335</v>
      </c>
      <c r="M460" s="4" t="s">
        <v>721</v>
      </c>
      <c r="N460" s="4" t="s">
        <v>23</v>
      </c>
      <c r="O460" s="4" t="s">
        <v>24</v>
      </c>
    </row>
    <row r="461" spans="1:15" x14ac:dyDescent="0.25">
      <c r="A461" s="4" t="s">
        <v>15</v>
      </c>
      <c r="B461" s="4" t="str">
        <f>"019911311240"</f>
        <v>019911311240</v>
      </c>
      <c r="C461" s="4" t="s">
        <v>112</v>
      </c>
      <c r="D461" s="4">
        <v>1</v>
      </c>
      <c r="E461" s="4" t="str">
        <f>"1703"</f>
        <v>1703</v>
      </c>
      <c r="F461" s="4" t="s">
        <v>17</v>
      </c>
      <c r="G461" s="4" t="s">
        <v>48</v>
      </c>
      <c r="H461" s="4" t="s">
        <v>18</v>
      </c>
      <c r="I461" s="4" t="s">
        <v>29</v>
      </c>
      <c r="J461" s="4" t="s">
        <v>722</v>
      </c>
      <c r="K461" s="4" t="s">
        <v>556</v>
      </c>
      <c r="L461" s="5">
        <v>0.34236111111111112</v>
      </c>
      <c r="M461" s="4" t="s">
        <v>609</v>
      </c>
      <c r="N461" s="4" t="s">
        <v>23</v>
      </c>
      <c r="O461" s="4" t="s">
        <v>24</v>
      </c>
    </row>
    <row r="462" spans="1:15" x14ac:dyDescent="0.25">
      <c r="A462" s="4" t="s">
        <v>15</v>
      </c>
      <c r="B462" s="4" t="str">
        <f>"019911311239"</f>
        <v>019911311239</v>
      </c>
      <c r="C462" s="4" t="s">
        <v>112</v>
      </c>
      <c r="D462" s="4">
        <v>1</v>
      </c>
      <c r="E462" s="4" t="str">
        <f>"1703"</f>
        <v>1703</v>
      </c>
      <c r="F462" s="4" t="s">
        <v>17</v>
      </c>
      <c r="G462" s="4" t="s">
        <v>48</v>
      </c>
      <c r="H462" s="4" t="s">
        <v>18</v>
      </c>
      <c r="I462" s="4" t="s">
        <v>29</v>
      </c>
      <c r="J462" s="4" t="s">
        <v>722</v>
      </c>
      <c r="K462" s="4" t="s">
        <v>556</v>
      </c>
      <c r="L462" s="5">
        <v>0.34236111111111112</v>
      </c>
      <c r="M462" s="4" t="s">
        <v>609</v>
      </c>
      <c r="N462" s="4" t="s">
        <v>23</v>
      </c>
      <c r="O462" s="4" t="s">
        <v>24</v>
      </c>
    </row>
    <row r="463" spans="1:15" x14ac:dyDescent="0.25">
      <c r="A463" s="4" t="s">
        <v>15</v>
      </c>
      <c r="B463" s="4" t="str">
        <f>"019911311238"</f>
        <v>019911311238</v>
      </c>
      <c r="C463" s="4" t="s">
        <v>112</v>
      </c>
      <c r="D463" s="4">
        <v>1</v>
      </c>
      <c r="E463" s="4" t="str">
        <f>"1703"</f>
        <v>1703</v>
      </c>
      <c r="F463" s="4" t="s">
        <v>17</v>
      </c>
      <c r="G463" s="4" t="s">
        <v>48</v>
      </c>
      <c r="H463" s="4" t="s">
        <v>18</v>
      </c>
      <c r="I463" s="4" t="s">
        <v>29</v>
      </c>
      <c r="J463" s="4" t="s">
        <v>722</v>
      </c>
      <c r="K463" s="4" t="s">
        <v>556</v>
      </c>
      <c r="L463" s="5">
        <v>0.34236111111111112</v>
      </c>
      <c r="M463" s="4" t="s">
        <v>609</v>
      </c>
      <c r="N463" s="4" t="s">
        <v>23</v>
      </c>
      <c r="O463" s="4" t="s">
        <v>24</v>
      </c>
    </row>
    <row r="464" spans="1:15" x14ac:dyDescent="0.25">
      <c r="A464" s="4" t="s">
        <v>15</v>
      </c>
      <c r="B464" s="4" t="str">
        <f>"FES1162749695"</f>
        <v>FES1162749695</v>
      </c>
      <c r="C464" s="4" t="s">
        <v>112</v>
      </c>
      <c r="D464" s="4">
        <v>0</v>
      </c>
      <c r="E464" s="4" t="str">
        <f>"2170737639"</f>
        <v>2170737639</v>
      </c>
      <c r="F464" s="4" t="s">
        <v>17</v>
      </c>
      <c r="G464" s="4" t="s">
        <v>18</v>
      </c>
      <c r="H464" s="4" t="s">
        <v>18</v>
      </c>
      <c r="I464" s="4" t="s">
        <v>29</v>
      </c>
      <c r="J464" s="4" t="s">
        <v>302</v>
      </c>
      <c r="K464" s="4" t="s">
        <v>556</v>
      </c>
      <c r="L464" s="5">
        <v>0.33333333333333331</v>
      </c>
      <c r="M464" s="4" t="s">
        <v>462</v>
      </c>
      <c r="N464" s="4" t="s">
        <v>23</v>
      </c>
      <c r="O464" s="4" t="s">
        <v>24</v>
      </c>
    </row>
    <row r="465" spans="1:15" x14ac:dyDescent="0.25">
      <c r="A465" s="4" t="s">
        <v>15</v>
      </c>
      <c r="B465" s="4" t="str">
        <f>"FES1162749719"</f>
        <v>FES1162749719</v>
      </c>
      <c r="C465" s="4" t="s">
        <v>112</v>
      </c>
      <c r="D465" s="4">
        <v>0</v>
      </c>
      <c r="E465" s="4" t="str">
        <f>"2170739502"</f>
        <v>2170739502</v>
      </c>
      <c r="F465" s="4" t="s">
        <v>17</v>
      </c>
      <c r="G465" s="4" t="s">
        <v>18</v>
      </c>
      <c r="H465" s="4" t="s">
        <v>18</v>
      </c>
      <c r="I465" s="4" t="s">
        <v>121</v>
      </c>
      <c r="J465" s="4" t="s">
        <v>610</v>
      </c>
      <c r="K465" s="4" t="s">
        <v>556</v>
      </c>
      <c r="L465" s="5">
        <v>0.375</v>
      </c>
      <c r="M465" s="4" t="s">
        <v>723</v>
      </c>
      <c r="N465" s="4" t="s">
        <v>23</v>
      </c>
      <c r="O465" s="4" t="s">
        <v>24</v>
      </c>
    </row>
    <row r="466" spans="1:15" x14ac:dyDescent="0.25">
      <c r="A466" s="4" t="s">
        <v>15</v>
      </c>
      <c r="B466" s="4" t="str">
        <f>"FES1162749664"</f>
        <v>FES1162749664</v>
      </c>
      <c r="C466" s="4" t="s">
        <v>112</v>
      </c>
      <c r="D466" s="4">
        <v>0</v>
      </c>
      <c r="E466" s="4" t="str">
        <f>"2170732887"</f>
        <v>2170732887</v>
      </c>
      <c r="F466" s="4" t="s">
        <v>17</v>
      </c>
      <c r="G466" s="4" t="s">
        <v>18</v>
      </c>
      <c r="H466" s="4" t="s">
        <v>18</v>
      </c>
      <c r="I466" s="4" t="s">
        <v>147</v>
      </c>
      <c r="J466" s="4" t="s">
        <v>611</v>
      </c>
      <c r="K466" s="4" t="s">
        <v>556</v>
      </c>
      <c r="L466" s="5">
        <v>0.4236111111111111</v>
      </c>
      <c r="M466" s="4" t="s">
        <v>724</v>
      </c>
      <c r="N466" s="4" t="s">
        <v>23</v>
      </c>
      <c r="O466" s="4" t="s">
        <v>24</v>
      </c>
    </row>
    <row r="467" spans="1:15" x14ac:dyDescent="0.25">
      <c r="A467" s="4" t="s">
        <v>15</v>
      </c>
      <c r="B467" s="4" t="str">
        <f>"FES1162749735"</f>
        <v>FES1162749735</v>
      </c>
      <c r="C467" s="4" t="s">
        <v>112</v>
      </c>
      <c r="D467" s="4">
        <v>0</v>
      </c>
      <c r="E467" s="4" t="str">
        <f>"2170740124"</f>
        <v>2170740124</v>
      </c>
      <c r="F467" s="4" t="s">
        <v>17</v>
      </c>
      <c r="G467" s="4" t="s">
        <v>18</v>
      </c>
      <c r="H467" s="4" t="s">
        <v>167</v>
      </c>
      <c r="I467" s="4" t="s">
        <v>168</v>
      </c>
      <c r="J467" s="4" t="s">
        <v>169</v>
      </c>
      <c r="K467" s="4" t="s">
        <v>556</v>
      </c>
      <c r="L467" s="5">
        <v>0.41666666666666669</v>
      </c>
      <c r="M467" s="4" t="s">
        <v>170</v>
      </c>
      <c r="N467" s="4" t="s">
        <v>23</v>
      </c>
      <c r="O467" s="4" t="s">
        <v>24</v>
      </c>
    </row>
    <row r="468" spans="1:15" x14ac:dyDescent="0.25">
      <c r="A468" s="4" t="s">
        <v>15</v>
      </c>
      <c r="B468" s="4" t="str">
        <f>"FES1162749688"</f>
        <v>FES1162749688</v>
      </c>
      <c r="C468" s="4" t="s">
        <v>112</v>
      </c>
      <c r="D468" s="4">
        <v>0</v>
      </c>
      <c r="E468" s="4" t="str">
        <f>"217073565"</f>
        <v>217073565</v>
      </c>
      <c r="F468" s="4" t="s">
        <v>17</v>
      </c>
      <c r="G468" s="4" t="s">
        <v>18</v>
      </c>
      <c r="H468" s="4" t="s">
        <v>18</v>
      </c>
      <c r="I468" s="4" t="s">
        <v>19</v>
      </c>
      <c r="J468" s="4" t="s">
        <v>355</v>
      </c>
      <c r="K468" s="4" t="s">
        <v>556</v>
      </c>
      <c r="L468" s="5">
        <v>0.375</v>
      </c>
      <c r="M468" s="4" t="s">
        <v>725</v>
      </c>
      <c r="N468" s="4" t="s">
        <v>23</v>
      </c>
      <c r="O468" s="4" t="s">
        <v>24</v>
      </c>
    </row>
    <row r="469" spans="1:15" x14ac:dyDescent="0.25">
      <c r="A469" s="4" t="s">
        <v>15</v>
      </c>
      <c r="B469" s="4" t="str">
        <f>"FES1162749720"</f>
        <v>FES1162749720</v>
      </c>
      <c r="C469" s="4" t="s">
        <v>112</v>
      </c>
      <c r="D469" s="4">
        <v>0</v>
      </c>
      <c r="E469" s="4" t="str">
        <f>"2170739546"</f>
        <v>2170739546</v>
      </c>
      <c r="F469" s="4" t="s">
        <v>17</v>
      </c>
      <c r="G469" s="4" t="s">
        <v>18</v>
      </c>
      <c r="H469" s="4" t="s">
        <v>18</v>
      </c>
      <c r="I469" s="4" t="s">
        <v>29</v>
      </c>
      <c r="J469" s="4" t="s">
        <v>271</v>
      </c>
      <c r="K469" s="4" t="s">
        <v>556</v>
      </c>
      <c r="L469" s="5">
        <v>0.3263888888888889</v>
      </c>
      <c r="M469" s="4" t="s">
        <v>65</v>
      </c>
      <c r="N469" s="4" t="s">
        <v>23</v>
      </c>
      <c r="O469" s="4" t="s">
        <v>24</v>
      </c>
    </row>
    <row r="470" spans="1:15" x14ac:dyDescent="0.25">
      <c r="A470" s="4" t="s">
        <v>15</v>
      </c>
      <c r="B470" s="4" t="str">
        <f>"FES1162749680"</f>
        <v>FES1162749680</v>
      </c>
      <c r="C470" s="4" t="s">
        <v>112</v>
      </c>
      <c r="D470" s="4">
        <v>0</v>
      </c>
      <c r="E470" s="4" t="str">
        <f>"2170737512"</f>
        <v>2170737512</v>
      </c>
      <c r="F470" s="4" t="s">
        <v>17</v>
      </c>
      <c r="G470" s="4" t="s">
        <v>18</v>
      </c>
      <c r="H470" s="4" t="s">
        <v>18</v>
      </c>
      <c r="I470" s="4" t="s">
        <v>97</v>
      </c>
      <c r="J470" s="4" t="s">
        <v>612</v>
      </c>
      <c r="K470" s="4" t="s">
        <v>556</v>
      </c>
      <c r="L470" s="5">
        <v>0.37638888888888888</v>
      </c>
      <c r="M470" s="4" t="s">
        <v>726</v>
      </c>
      <c r="N470" s="4" t="s">
        <v>23</v>
      </c>
      <c r="O470" s="4" t="s">
        <v>24</v>
      </c>
    </row>
    <row r="471" spans="1:15" x14ac:dyDescent="0.25">
      <c r="A471" s="4" t="s">
        <v>15</v>
      </c>
      <c r="B471" s="4" t="str">
        <f>"FES1162749676"</f>
        <v>FES1162749676</v>
      </c>
      <c r="C471" s="4" t="s">
        <v>112</v>
      </c>
      <c r="D471" s="4">
        <v>0</v>
      </c>
      <c r="E471" s="4" t="str">
        <f>"2170737474"</f>
        <v>2170737474</v>
      </c>
      <c r="F471" s="4" t="s">
        <v>17</v>
      </c>
      <c r="G471" s="4" t="s">
        <v>18</v>
      </c>
      <c r="H471" s="4" t="s">
        <v>167</v>
      </c>
      <c r="I471" s="4" t="s">
        <v>168</v>
      </c>
      <c r="J471" s="4" t="s">
        <v>169</v>
      </c>
      <c r="K471" s="4" t="s">
        <v>556</v>
      </c>
      <c r="L471" s="5">
        <v>0.41666666666666669</v>
      </c>
      <c r="M471" s="4" t="s">
        <v>170</v>
      </c>
      <c r="N471" s="4" t="s">
        <v>23</v>
      </c>
      <c r="O471" s="4" t="s">
        <v>24</v>
      </c>
    </row>
    <row r="472" spans="1:15" x14ac:dyDescent="0.25">
      <c r="A472" s="4" t="s">
        <v>15</v>
      </c>
      <c r="B472" s="4" t="str">
        <f>"FES1162749702"</f>
        <v>FES1162749702</v>
      </c>
      <c r="C472" s="4" t="s">
        <v>112</v>
      </c>
      <c r="D472" s="4">
        <v>0</v>
      </c>
      <c r="E472" s="4" t="str">
        <f>"2170737748"</f>
        <v>2170737748</v>
      </c>
      <c r="F472" s="4" t="s">
        <v>17</v>
      </c>
      <c r="G472" s="4" t="s">
        <v>18</v>
      </c>
      <c r="H472" s="4" t="s">
        <v>18</v>
      </c>
      <c r="I472" s="4" t="s">
        <v>126</v>
      </c>
      <c r="J472" s="4" t="s">
        <v>581</v>
      </c>
      <c r="K472" s="4" t="s">
        <v>556</v>
      </c>
      <c r="L472" s="5">
        <v>0.375</v>
      </c>
      <c r="M472" s="4" t="s">
        <v>727</v>
      </c>
      <c r="N472" s="4" t="s">
        <v>23</v>
      </c>
      <c r="O472" s="4" t="s">
        <v>24</v>
      </c>
    </row>
    <row r="473" spans="1:15" x14ac:dyDescent="0.25">
      <c r="A473" s="4" t="s">
        <v>15</v>
      </c>
      <c r="B473" s="4" t="str">
        <f>"FES1162749661"</f>
        <v>FES1162749661</v>
      </c>
      <c r="C473" s="4" t="s">
        <v>112</v>
      </c>
      <c r="D473" s="4">
        <v>0</v>
      </c>
      <c r="E473" s="4" t="str">
        <f>"21707340115"</f>
        <v>21707340115</v>
      </c>
      <c r="F473" s="4" t="s">
        <v>17</v>
      </c>
      <c r="G473" s="4" t="s">
        <v>18</v>
      </c>
      <c r="H473" s="4" t="s">
        <v>167</v>
      </c>
      <c r="I473" s="4" t="s">
        <v>168</v>
      </c>
      <c r="J473" s="4" t="s">
        <v>169</v>
      </c>
      <c r="K473" s="4" t="s">
        <v>556</v>
      </c>
      <c r="L473" s="5">
        <v>0.41666666666666669</v>
      </c>
      <c r="M473" s="4" t="s">
        <v>170</v>
      </c>
      <c r="N473" s="4" t="s">
        <v>23</v>
      </c>
      <c r="O473" s="4" t="s">
        <v>24</v>
      </c>
    </row>
    <row r="474" spans="1:15" x14ac:dyDescent="0.25">
      <c r="A474" s="11" t="s">
        <v>15</v>
      </c>
      <c r="B474" s="11" t="str">
        <f>"FES1162749757"</f>
        <v>FES1162749757</v>
      </c>
      <c r="C474" s="11" t="s">
        <v>112</v>
      </c>
      <c r="D474" s="11">
        <v>0</v>
      </c>
      <c r="E474" s="11" t="str">
        <f>"2170740118"</f>
        <v>2170740118</v>
      </c>
      <c r="F474" s="11" t="s">
        <v>17</v>
      </c>
      <c r="G474" s="11" t="s">
        <v>18</v>
      </c>
      <c r="H474" s="11" t="s">
        <v>32</v>
      </c>
      <c r="I474" s="11" t="s">
        <v>33</v>
      </c>
      <c r="J474" s="11" t="s">
        <v>600</v>
      </c>
      <c r="K474" s="11" t="s">
        <v>556</v>
      </c>
      <c r="L474" s="12">
        <v>0.38125000000000003</v>
      </c>
      <c r="M474" s="11" t="s">
        <v>711</v>
      </c>
      <c r="N474" s="11" t="s">
        <v>23</v>
      </c>
      <c r="O474" s="11" t="s">
        <v>24</v>
      </c>
    </row>
    <row r="475" spans="1:15" x14ac:dyDescent="0.25">
      <c r="A475" s="11" t="s">
        <v>15</v>
      </c>
      <c r="B475" s="11" t="str">
        <f>"FES1162749669"</f>
        <v>FES1162749669</v>
      </c>
      <c r="C475" s="11" t="s">
        <v>112</v>
      </c>
      <c r="D475" s="11">
        <v>1</v>
      </c>
      <c r="E475" s="11" t="str">
        <f>"2170736976"</f>
        <v>2170736976</v>
      </c>
      <c r="F475" s="11" t="s">
        <v>17</v>
      </c>
      <c r="G475" s="11" t="s">
        <v>18</v>
      </c>
      <c r="H475" s="11" t="s">
        <v>48</v>
      </c>
      <c r="I475" s="11" t="s">
        <v>110</v>
      </c>
      <c r="J475" s="11" t="s">
        <v>111</v>
      </c>
      <c r="K475" s="11" t="s">
        <v>662</v>
      </c>
      <c r="L475" s="12">
        <v>0.35000000000000003</v>
      </c>
      <c r="M475" s="11" t="s">
        <v>111</v>
      </c>
      <c r="N475" s="11" t="s">
        <v>23</v>
      </c>
      <c r="O475" s="11" t="s">
        <v>24</v>
      </c>
    </row>
    <row r="476" spans="1:15" x14ac:dyDescent="0.25">
      <c r="A476" s="11" t="s">
        <v>15</v>
      </c>
      <c r="B476" s="11" t="str">
        <f>"FES1162749748"</f>
        <v>FES1162749748</v>
      </c>
      <c r="C476" s="11" t="s">
        <v>112</v>
      </c>
      <c r="D476" s="11">
        <v>0</v>
      </c>
      <c r="E476" s="11" t="str">
        <f>"21707340132"</f>
        <v>21707340132</v>
      </c>
      <c r="F476" s="11" t="s">
        <v>17</v>
      </c>
      <c r="G476" s="11" t="s">
        <v>18</v>
      </c>
      <c r="H476" s="11" t="s">
        <v>52</v>
      </c>
      <c r="I476" s="11" t="s">
        <v>53</v>
      </c>
      <c r="J476" s="11" t="s">
        <v>613</v>
      </c>
      <c r="K476" s="11" t="s">
        <v>556</v>
      </c>
      <c r="L476" s="12">
        <v>0.41666666666666669</v>
      </c>
      <c r="M476" s="11" t="s">
        <v>728</v>
      </c>
      <c r="N476" s="11" t="s">
        <v>23</v>
      </c>
      <c r="O476" s="11" t="s">
        <v>24</v>
      </c>
    </row>
    <row r="477" spans="1:15" x14ac:dyDescent="0.25">
      <c r="A477" s="11" t="s">
        <v>15</v>
      </c>
      <c r="B477" s="11" t="str">
        <f>"FES1162749681"</f>
        <v>FES1162749681</v>
      </c>
      <c r="C477" s="11" t="s">
        <v>112</v>
      </c>
      <c r="D477" s="11">
        <v>0</v>
      </c>
      <c r="E477" s="11" t="str">
        <f>"2170737514"</f>
        <v>2170737514</v>
      </c>
      <c r="F477" s="11" t="s">
        <v>17</v>
      </c>
      <c r="G477" s="11" t="s">
        <v>18</v>
      </c>
      <c r="H477" s="11" t="s">
        <v>48</v>
      </c>
      <c r="I477" s="11" t="s">
        <v>49</v>
      </c>
      <c r="J477" s="11" t="s">
        <v>400</v>
      </c>
      <c r="K477" s="11" t="s">
        <v>556</v>
      </c>
      <c r="L477" s="12">
        <v>0.41666666666666669</v>
      </c>
      <c r="M477" s="11" t="s">
        <v>729</v>
      </c>
      <c r="N477" s="11" t="s">
        <v>23</v>
      </c>
      <c r="O477" s="11" t="s">
        <v>24</v>
      </c>
    </row>
    <row r="478" spans="1:15" x14ac:dyDescent="0.25">
      <c r="A478" s="11" t="s">
        <v>15</v>
      </c>
      <c r="B478" s="11" t="str">
        <f>"FES1162749668"</f>
        <v>FES1162749668</v>
      </c>
      <c r="C478" s="11" t="s">
        <v>112</v>
      </c>
      <c r="D478" s="11">
        <v>0</v>
      </c>
      <c r="E478" s="11" t="str">
        <f>"2170736582"</f>
        <v>2170736582</v>
      </c>
      <c r="F478" s="11" t="s">
        <v>17</v>
      </c>
      <c r="G478" s="11" t="s">
        <v>18</v>
      </c>
      <c r="H478" s="11" t="s">
        <v>48</v>
      </c>
      <c r="I478" s="11" t="s">
        <v>49</v>
      </c>
      <c r="J478" s="11" t="s">
        <v>602</v>
      </c>
      <c r="K478" s="11" t="s">
        <v>556</v>
      </c>
      <c r="L478" s="12">
        <v>0.41666666666666669</v>
      </c>
      <c r="M478" s="11" t="s">
        <v>829</v>
      </c>
      <c r="N478" s="11" t="s">
        <v>23</v>
      </c>
      <c r="O478" s="11" t="s">
        <v>826</v>
      </c>
    </row>
    <row r="479" spans="1:15" x14ac:dyDescent="0.25">
      <c r="A479" s="11" t="s">
        <v>15</v>
      </c>
      <c r="B479" s="11" t="str">
        <f>"FES1162749636"</f>
        <v>FES1162749636</v>
      </c>
      <c r="C479" s="11" t="s">
        <v>112</v>
      </c>
      <c r="D479" s="11">
        <v>1</v>
      </c>
      <c r="E479" s="11" t="str">
        <f>"2170740087"</f>
        <v>2170740087</v>
      </c>
      <c r="F479" s="11" t="s">
        <v>17</v>
      </c>
      <c r="G479" s="11" t="s">
        <v>18</v>
      </c>
      <c r="H479" s="11" t="s">
        <v>167</v>
      </c>
      <c r="I479" s="11" t="s">
        <v>168</v>
      </c>
      <c r="J479" s="11" t="s">
        <v>169</v>
      </c>
      <c r="K479" s="11" t="s">
        <v>556</v>
      </c>
      <c r="L479" s="12">
        <v>0.41666666666666669</v>
      </c>
      <c r="M479" s="11" t="s">
        <v>170</v>
      </c>
      <c r="N479" s="11" t="s">
        <v>23</v>
      </c>
      <c r="O479" s="11" t="s">
        <v>24</v>
      </c>
    </row>
    <row r="480" spans="1:15" x14ac:dyDescent="0.25">
      <c r="A480" s="11" t="s">
        <v>15</v>
      </c>
      <c r="B480" s="11" t="str">
        <f>"FES1162749616"</f>
        <v>FES1162749616</v>
      </c>
      <c r="C480" s="11" t="s">
        <v>112</v>
      </c>
      <c r="D480" s="11">
        <v>1</v>
      </c>
      <c r="E480" s="11" t="str">
        <f>"2170736522"</f>
        <v>2170736522</v>
      </c>
      <c r="F480" s="11" t="s">
        <v>17</v>
      </c>
      <c r="G480" s="11" t="s">
        <v>18</v>
      </c>
      <c r="H480" s="11" t="s">
        <v>18</v>
      </c>
      <c r="I480" s="11" t="s">
        <v>29</v>
      </c>
      <c r="J480" s="11" t="s">
        <v>591</v>
      </c>
      <c r="K480" s="11" t="s">
        <v>556</v>
      </c>
      <c r="L480" s="12">
        <v>0.36944444444444446</v>
      </c>
      <c r="M480" s="11" t="s">
        <v>696</v>
      </c>
      <c r="N480" s="11" t="s">
        <v>23</v>
      </c>
      <c r="O480" s="11" t="s">
        <v>24</v>
      </c>
    </row>
    <row r="481" spans="1:15" x14ac:dyDescent="0.25">
      <c r="A481" s="11" t="s">
        <v>15</v>
      </c>
      <c r="B481" s="11" t="str">
        <f>"FES1162749665"</f>
        <v>FES1162749665</v>
      </c>
      <c r="C481" s="11" t="s">
        <v>112</v>
      </c>
      <c r="D481" s="11">
        <v>0</v>
      </c>
      <c r="E481" s="11" t="str">
        <f>"2170733389"</f>
        <v>2170733389</v>
      </c>
      <c r="F481" s="11" t="s">
        <v>17</v>
      </c>
      <c r="G481" s="11" t="s">
        <v>18</v>
      </c>
      <c r="H481" s="11" t="s">
        <v>85</v>
      </c>
      <c r="I481" s="11" t="s">
        <v>207</v>
      </c>
      <c r="J481" s="11" t="s">
        <v>614</v>
      </c>
      <c r="K481" s="11" t="s">
        <v>556</v>
      </c>
      <c r="L481" s="12">
        <v>0.50902777777777775</v>
      </c>
      <c r="M481" s="11" t="s">
        <v>730</v>
      </c>
      <c r="N481" s="11" t="s">
        <v>23</v>
      </c>
      <c r="O481" s="11" t="s">
        <v>24</v>
      </c>
    </row>
    <row r="482" spans="1:15" x14ac:dyDescent="0.25">
      <c r="A482" s="4" t="s">
        <v>15</v>
      </c>
      <c r="B482" s="4" t="str">
        <f>"FES1162749744"</f>
        <v>FES1162749744</v>
      </c>
      <c r="C482" s="4" t="s">
        <v>112</v>
      </c>
      <c r="D482" s="4">
        <v>0</v>
      </c>
      <c r="E482" s="4" t="str">
        <f>"2170740126"</f>
        <v>2170740126</v>
      </c>
      <c r="F482" s="4" t="s">
        <v>17</v>
      </c>
      <c r="G482" s="4" t="s">
        <v>18</v>
      </c>
      <c r="H482" s="4" t="s">
        <v>48</v>
      </c>
      <c r="I482" s="4" t="s">
        <v>49</v>
      </c>
      <c r="J482" s="4" t="s">
        <v>615</v>
      </c>
      <c r="K482" s="4" t="s">
        <v>556</v>
      </c>
      <c r="L482" s="5">
        <v>0.3972222222222222</v>
      </c>
      <c r="M482" s="4" t="s">
        <v>731</v>
      </c>
      <c r="N482" s="4" t="s">
        <v>23</v>
      </c>
      <c r="O482" s="4" t="s">
        <v>24</v>
      </c>
    </row>
    <row r="483" spans="1:15" x14ac:dyDescent="0.25">
      <c r="A483" s="4" t="s">
        <v>15</v>
      </c>
      <c r="B483" s="4" t="str">
        <f>"FES1162749736"</f>
        <v>FES1162749736</v>
      </c>
      <c r="C483" s="4" t="s">
        <v>112</v>
      </c>
      <c r="D483" s="4">
        <v>0</v>
      </c>
      <c r="E483" s="4" t="str">
        <f>"2170740125"</f>
        <v>2170740125</v>
      </c>
      <c r="F483" s="4" t="s">
        <v>17</v>
      </c>
      <c r="G483" s="4" t="s">
        <v>18</v>
      </c>
      <c r="H483" s="4" t="s">
        <v>85</v>
      </c>
      <c r="I483" s="4" t="s">
        <v>207</v>
      </c>
      <c r="J483" s="4" t="s">
        <v>616</v>
      </c>
      <c r="K483" s="4" t="s">
        <v>556</v>
      </c>
      <c r="L483" s="5">
        <v>0.4548611111111111</v>
      </c>
      <c r="M483" s="4" t="s">
        <v>732</v>
      </c>
      <c r="N483" s="4" t="s">
        <v>23</v>
      </c>
      <c r="O483" s="4" t="s">
        <v>24</v>
      </c>
    </row>
    <row r="484" spans="1:15" x14ac:dyDescent="0.25">
      <c r="A484" s="4" t="s">
        <v>15</v>
      </c>
      <c r="B484" s="4" t="str">
        <f>"FES1162749730"</f>
        <v>FES1162749730</v>
      </c>
      <c r="C484" s="4" t="s">
        <v>112</v>
      </c>
      <c r="D484" s="4">
        <v>0</v>
      </c>
      <c r="E484" s="4" t="str">
        <f>"2170740102"</f>
        <v>2170740102</v>
      </c>
      <c r="F484" s="4" t="s">
        <v>17</v>
      </c>
      <c r="G484" s="4" t="s">
        <v>18</v>
      </c>
      <c r="H484" s="4" t="s">
        <v>85</v>
      </c>
      <c r="I484" s="4" t="s">
        <v>144</v>
      </c>
      <c r="J484" s="4" t="s">
        <v>617</v>
      </c>
      <c r="K484" s="4" t="s">
        <v>556</v>
      </c>
      <c r="L484" s="5">
        <v>0.6430555555555556</v>
      </c>
      <c r="M484" s="4" t="s">
        <v>733</v>
      </c>
      <c r="N484" s="4" t="s">
        <v>23</v>
      </c>
      <c r="O484" s="4" t="s">
        <v>24</v>
      </c>
    </row>
    <row r="485" spans="1:15" x14ac:dyDescent="0.25">
      <c r="A485" s="4" t="s">
        <v>15</v>
      </c>
      <c r="B485" s="4" t="str">
        <f>"FES1162749694"</f>
        <v>FES1162749694</v>
      </c>
      <c r="C485" s="4" t="s">
        <v>112</v>
      </c>
      <c r="D485" s="4">
        <v>0</v>
      </c>
      <c r="E485" s="4" t="str">
        <f>"2170737611"</f>
        <v>2170737611</v>
      </c>
      <c r="F485" s="4" t="s">
        <v>17</v>
      </c>
      <c r="G485" s="4" t="s">
        <v>18</v>
      </c>
      <c r="H485" s="4" t="s">
        <v>85</v>
      </c>
      <c r="I485" s="4" t="s">
        <v>207</v>
      </c>
      <c r="J485" s="4" t="s">
        <v>618</v>
      </c>
      <c r="K485" s="4" t="s">
        <v>556</v>
      </c>
      <c r="L485" s="5">
        <v>0.44027777777777777</v>
      </c>
      <c r="M485" s="4" t="s">
        <v>734</v>
      </c>
      <c r="N485" s="4" t="s">
        <v>23</v>
      </c>
      <c r="O485" s="4" t="s">
        <v>24</v>
      </c>
    </row>
    <row r="486" spans="1:15" x14ac:dyDescent="0.25">
      <c r="A486" s="4" t="s">
        <v>15</v>
      </c>
      <c r="B486" s="4" t="str">
        <f>"FES1162749671"</f>
        <v>FES1162749671</v>
      </c>
      <c r="C486" s="4" t="s">
        <v>112</v>
      </c>
      <c r="D486" s="4">
        <v>0</v>
      </c>
      <c r="E486" s="4" t="str">
        <f>"2170737447"</f>
        <v>2170737447</v>
      </c>
      <c r="F486" s="4" t="s">
        <v>17</v>
      </c>
      <c r="G486" s="4" t="s">
        <v>18</v>
      </c>
      <c r="H486" s="4" t="s">
        <v>85</v>
      </c>
      <c r="I486" s="4" t="s">
        <v>207</v>
      </c>
      <c r="J486" s="4" t="s">
        <v>619</v>
      </c>
      <c r="K486" s="4" t="s">
        <v>556</v>
      </c>
      <c r="L486" s="5">
        <v>0.45763888888888887</v>
      </c>
      <c r="M486" s="4" t="s">
        <v>735</v>
      </c>
      <c r="N486" s="4" t="s">
        <v>23</v>
      </c>
      <c r="O486" s="4" t="s">
        <v>24</v>
      </c>
    </row>
    <row r="487" spans="1:15" x14ac:dyDescent="0.25">
      <c r="A487" s="11" t="s">
        <v>15</v>
      </c>
      <c r="B487" s="11" t="str">
        <f>"FES1162749645"</f>
        <v>FES1162749645</v>
      </c>
      <c r="C487" s="11" t="s">
        <v>112</v>
      </c>
      <c r="D487" s="11">
        <v>1</v>
      </c>
      <c r="E487" s="11" t="str">
        <f>"2170738304"</f>
        <v>2170738304</v>
      </c>
      <c r="F487" s="11" t="s">
        <v>17</v>
      </c>
      <c r="G487" s="11" t="s">
        <v>18</v>
      </c>
      <c r="H487" s="11" t="s">
        <v>18</v>
      </c>
      <c r="I487" s="11" t="s">
        <v>29</v>
      </c>
      <c r="J487" s="11" t="s">
        <v>591</v>
      </c>
      <c r="K487" s="11" t="s">
        <v>556</v>
      </c>
      <c r="L487" s="12">
        <v>0.36388888888888887</v>
      </c>
      <c r="M487" s="11" t="s">
        <v>696</v>
      </c>
      <c r="N487" s="11" t="s">
        <v>23</v>
      </c>
      <c r="O487" s="11" t="s">
        <v>24</v>
      </c>
    </row>
    <row r="488" spans="1:15" x14ac:dyDescent="0.25">
      <c r="A488" s="11" t="s">
        <v>15</v>
      </c>
      <c r="B488" s="11" t="str">
        <f>"FES1162749701"</f>
        <v>FES1162749701</v>
      </c>
      <c r="C488" s="11" t="s">
        <v>112</v>
      </c>
      <c r="D488" s="11">
        <v>0</v>
      </c>
      <c r="E488" s="11" t="str">
        <f>"2170737747"</f>
        <v>2170737747</v>
      </c>
      <c r="F488" s="11" t="s">
        <v>17</v>
      </c>
      <c r="G488" s="11" t="s">
        <v>18</v>
      </c>
      <c r="H488" s="11" t="s">
        <v>85</v>
      </c>
      <c r="I488" s="11" t="s">
        <v>152</v>
      </c>
      <c r="J488" s="11" t="s">
        <v>371</v>
      </c>
      <c r="K488" s="11" t="s">
        <v>556</v>
      </c>
      <c r="L488" s="12">
        <v>0.49513888888888885</v>
      </c>
      <c r="M488" s="11" t="s">
        <v>736</v>
      </c>
      <c r="N488" s="11" t="s">
        <v>23</v>
      </c>
      <c r="O488" s="11" t="s">
        <v>24</v>
      </c>
    </row>
    <row r="489" spans="1:15" x14ac:dyDescent="0.25">
      <c r="A489" s="11" t="s">
        <v>15</v>
      </c>
      <c r="B489" s="11" t="str">
        <f>"FES1162749749"</f>
        <v>FES1162749749</v>
      </c>
      <c r="C489" s="11" t="s">
        <v>112</v>
      </c>
      <c r="D489" s="11">
        <v>0</v>
      </c>
      <c r="E489" s="11" t="str">
        <f>"2170740133"</f>
        <v>2170740133</v>
      </c>
      <c r="F489" s="11" t="s">
        <v>17</v>
      </c>
      <c r="G489" s="11" t="s">
        <v>18</v>
      </c>
      <c r="H489" s="11" t="s">
        <v>48</v>
      </c>
      <c r="I489" s="11" t="s">
        <v>49</v>
      </c>
      <c r="J489" s="11" t="s">
        <v>620</v>
      </c>
      <c r="K489" s="11" t="s">
        <v>556</v>
      </c>
      <c r="L489" s="12">
        <v>0.3972222222222222</v>
      </c>
      <c r="M489" s="11" t="s">
        <v>731</v>
      </c>
      <c r="N489" s="11" t="s">
        <v>23</v>
      </c>
      <c r="O489" s="11" t="s">
        <v>24</v>
      </c>
    </row>
    <row r="490" spans="1:15" x14ac:dyDescent="0.25">
      <c r="A490" s="11" t="s">
        <v>15</v>
      </c>
      <c r="B490" s="11" t="str">
        <f>"FES1162749682"</f>
        <v>FES1162749682</v>
      </c>
      <c r="C490" s="11" t="s">
        <v>112</v>
      </c>
      <c r="D490" s="11">
        <v>1</v>
      </c>
      <c r="E490" s="11" t="str">
        <f>"2170737521"</f>
        <v>2170737521</v>
      </c>
      <c r="F490" s="11" t="s">
        <v>17</v>
      </c>
      <c r="G490" s="11" t="s">
        <v>18</v>
      </c>
      <c r="H490" s="11" t="s">
        <v>18</v>
      </c>
      <c r="I490" s="11" t="s">
        <v>147</v>
      </c>
      <c r="J490" s="11" t="s">
        <v>621</v>
      </c>
      <c r="K490" s="11" t="s">
        <v>556</v>
      </c>
      <c r="L490" s="12">
        <v>0.3215277777777778</v>
      </c>
      <c r="M490" s="11" t="s">
        <v>622</v>
      </c>
      <c r="N490" s="11" t="s">
        <v>23</v>
      </c>
      <c r="O490" s="11" t="s">
        <v>24</v>
      </c>
    </row>
    <row r="491" spans="1:15" x14ac:dyDescent="0.25">
      <c r="A491" s="11" t="s">
        <v>15</v>
      </c>
      <c r="B491" s="11" t="str">
        <f>"FES1162749737"</f>
        <v>FES1162749737</v>
      </c>
      <c r="C491" s="11" t="s">
        <v>112</v>
      </c>
      <c r="D491" s="11">
        <v>1</v>
      </c>
      <c r="E491" s="11" t="str">
        <f>"2170740128"</f>
        <v>2170740128</v>
      </c>
      <c r="F491" s="11" t="s">
        <v>17</v>
      </c>
      <c r="G491" s="11" t="s">
        <v>18</v>
      </c>
      <c r="H491" s="11" t="s">
        <v>40</v>
      </c>
      <c r="I491" s="11" t="s">
        <v>41</v>
      </c>
      <c r="J491" s="11" t="s">
        <v>99</v>
      </c>
      <c r="K491" s="11" t="s">
        <v>556</v>
      </c>
      <c r="L491" s="12">
        <v>0.3215277777777778</v>
      </c>
      <c r="M491" s="11" t="s">
        <v>828</v>
      </c>
      <c r="N491" s="11" t="s">
        <v>23</v>
      </c>
      <c r="O491" s="11" t="s">
        <v>826</v>
      </c>
    </row>
    <row r="492" spans="1:15" x14ac:dyDescent="0.25">
      <c r="A492" s="11" t="s">
        <v>15</v>
      </c>
      <c r="B492" s="11" t="str">
        <f>"FES1162749691"</f>
        <v>FES1162749691</v>
      </c>
      <c r="C492" s="11" t="s">
        <v>112</v>
      </c>
      <c r="D492" s="11">
        <v>2</v>
      </c>
      <c r="E492" s="11" t="str">
        <f>"2170737582"</f>
        <v>2170737582</v>
      </c>
      <c r="F492" s="11" t="s">
        <v>17</v>
      </c>
      <c r="G492" s="11" t="s">
        <v>18</v>
      </c>
      <c r="H492" s="11" t="s">
        <v>25</v>
      </c>
      <c r="I492" s="11" t="s">
        <v>92</v>
      </c>
      <c r="J492" s="11" t="s">
        <v>623</v>
      </c>
      <c r="K492" s="11" t="s">
        <v>556</v>
      </c>
      <c r="L492" s="12">
        <v>0.35555555555555557</v>
      </c>
      <c r="M492" s="11" t="s">
        <v>345</v>
      </c>
      <c r="N492" s="11" t="s">
        <v>23</v>
      </c>
      <c r="O492" s="11" t="s">
        <v>24</v>
      </c>
    </row>
    <row r="493" spans="1:15" x14ac:dyDescent="0.25">
      <c r="A493" s="4" t="s">
        <v>15</v>
      </c>
      <c r="B493" s="4" t="str">
        <f>"FES1162749704"</f>
        <v>FES1162749704</v>
      </c>
      <c r="C493" s="4" t="s">
        <v>112</v>
      </c>
      <c r="D493" s="4">
        <v>1</v>
      </c>
      <c r="E493" s="4" t="str">
        <f>"2170737756"</f>
        <v>2170737756</v>
      </c>
      <c r="F493" s="4" t="s">
        <v>17</v>
      </c>
      <c r="G493" s="4" t="s">
        <v>18</v>
      </c>
      <c r="H493" s="4" t="s">
        <v>25</v>
      </c>
      <c r="I493" s="4" t="s">
        <v>281</v>
      </c>
      <c r="J493" s="4" t="s">
        <v>624</v>
      </c>
      <c r="K493" s="4" t="s">
        <v>556</v>
      </c>
      <c r="L493" s="5">
        <v>0.57361111111111118</v>
      </c>
      <c r="M493" s="4" t="s">
        <v>737</v>
      </c>
      <c r="N493" s="4" t="s">
        <v>23</v>
      </c>
      <c r="O493" s="4" t="s">
        <v>24</v>
      </c>
    </row>
    <row r="494" spans="1:15" x14ac:dyDescent="0.25">
      <c r="A494" s="15" t="s">
        <v>15</v>
      </c>
      <c r="B494" s="15" t="str">
        <f>"FES1162749732"</f>
        <v>FES1162749732</v>
      </c>
      <c r="C494" s="15" t="s">
        <v>112</v>
      </c>
      <c r="D494" s="15">
        <v>0</v>
      </c>
      <c r="E494" s="15" t="str">
        <f>"21707450121"</f>
        <v>21707450121</v>
      </c>
      <c r="F494" s="15" t="s">
        <v>17</v>
      </c>
      <c r="G494" s="15" t="s">
        <v>18</v>
      </c>
      <c r="H494" s="15" t="s">
        <v>85</v>
      </c>
      <c r="I494" s="15" t="s">
        <v>144</v>
      </c>
      <c r="J494" s="15" t="s">
        <v>210</v>
      </c>
      <c r="K494" s="15" t="s">
        <v>43</v>
      </c>
      <c r="L494" s="15"/>
      <c r="M494" s="15" t="s">
        <v>44</v>
      </c>
      <c r="N494" s="15" t="s">
        <v>419</v>
      </c>
      <c r="O494" s="15" t="s">
        <v>826</v>
      </c>
    </row>
    <row r="495" spans="1:15" x14ac:dyDescent="0.25">
      <c r="A495" s="4" t="s">
        <v>15</v>
      </c>
      <c r="B495" s="4" t="str">
        <f>"FES1162749667"</f>
        <v>FES1162749667</v>
      </c>
      <c r="C495" s="4" t="s">
        <v>112</v>
      </c>
      <c r="D495" s="4">
        <v>0</v>
      </c>
      <c r="E495" s="4" t="str">
        <f>"2170736375"</f>
        <v>2170736375</v>
      </c>
      <c r="F495" s="4" t="s">
        <v>17</v>
      </c>
      <c r="G495" s="4" t="s">
        <v>18</v>
      </c>
      <c r="H495" s="4" t="s">
        <v>85</v>
      </c>
      <c r="I495" s="4" t="s">
        <v>144</v>
      </c>
      <c r="J495" s="4" t="s">
        <v>625</v>
      </c>
      <c r="K495" s="4" t="s">
        <v>556</v>
      </c>
      <c r="L495" s="5">
        <v>0.67708333333333337</v>
      </c>
      <c r="M495" s="4" t="s">
        <v>738</v>
      </c>
      <c r="N495" s="4" t="s">
        <v>23</v>
      </c>
      <c r="O495" s="4" t="s">
        <v>24</v>
      </c>
    </row>
    <row r="496" spans="1:15" x14ac:dyDescent="0.25">
      <c r="A496" s="4" t="s">
        <v>15</v>
      </c>
      <c r="B496" s="4" t="str">
        <f>"FES1162749709"</f>
        <v>FES1162749709</v>
      </c>
      <c r="C496" s="4" t="s">
        <v>112</v>
      </c>
      <c r="D496" s="4">
        <v>1</v>
      </c>
      <c r="E496" s="4" t="str">
        <f>"2170738699"</f>
        <v>2170738699</v>
      </c>
      <c r="F496" s="4" t="s">
        <v>17</v>
      </c>
      <c r="G496" s="4" t="s">
        <v>18</v>
      </c>
      <c r="H496" s="4" t="s">
        <v>25</v>
      </c>
      <c r="I496" s="4" t="s">
        <v>26</v>
      </c>
      <c r="J496" s="4" t="s">
        <v>626</v>
      </c>
      <c r="K496" s="4" t="s">
        <v>556</v>
      </c>
      <c r="L496" s="5">
        <v>0.47916666666666669</v>
      </c>
      <c r="M496" s="4" t="s">
        <v>739</v>
      </c>
      <c r="N496" s="4" t="s">
        <v>23</v>
      </c>
      <c r="O496" s="4" t="s">
        <v>24</v>
      </c>
    </row>
    <row r="497" spans="1:15" x14ac:dyDescent="0.25">
      <c r="A497" s="4" t="s">
        <v>15</v>
      </c>
      <c r="B497" s="4" t="str">
        <f>"FES1162749755"</f>
        <v>FES1162749755</v>
      </c>
      <c r="C497" s="4" t="s">
        <v>112</v>
      </c>
      <c r="D497" s="4">
        <v>1</v>
      </c>
      <c r="E497" s="4" t="str">
        <f>"2170739110"</f>
        <v>2170739110</v>
      </c>
      <c r="F497" s="4" t="s">
        <v>17</v>
      </c>
      <c r="G497" s="4" t="s">
        <v>18</v>
      </c>
      <c r="H497" s="4" t="s">
        <v>52</v>
      </c>
      <c r="I497" s="4" t="s">
        <v>53</v>
      </c>
      <c r="J497" s="4" t="s">
        <v>592</v>
      </c>
      <c r="K497" s="4" t="s">
        <v>556</v>
      </c>
      <c r="L497" s="5">
        <v>0.43333333333333335</v>
      </c>
      <c r="M497" s="4" t="s">
        <v>697</v>
      </c>
      <c r="N497" s="4" t="s">
        <v>23</v>
      </c>
      <c r="O497" s="4" t="s">
        <v>24</v>
      </c>
    </row>
    <row r="498" spans="1:15" x14ac:dyDescent="0.25">
      <c r="A498" s="4" t="s">
        <v>15</v>
      </c>
      <c r="B498" s="4" t="str">
        <f>"FES1162749660"</f>
        <v>FES1162749660</v>
      </c>
      <c r="C498" s="4" t="s">
        <v>112</v>
      </c>
      <c r="D498" s="4">
        <v>1</v>
      </c>
      <c r="E498" s="4" t="str">
        <f>"2170740114"</f>
        <v>2170740114</v>
      </c>
      <c r="F498" s="4" t="s">
        <v>17</v>
      </c>
      <c r="G498" s="4" t="s">
        <v>18</v>
      </c>
      <c r="H498" s="4" t="s">
        <v>48</v>
      </c>
      <c r="I498" s="4" t="s">
        <v>108</v>
      </c>
      <c r="J498" s="4" t="s">
        <v>109</v>
      </c>
      <c r="K498" s="4" t="s">
        <v>556</v>
      </c>
      <c r="L498" s="5">
        <v>0.4375</v>
      </c>
      <c r="M498" s="4" t="s">
        <v>740</v>
      </c>
      <c r="N498" s="4" t="s">
        <v>23</v>
      </c>
      <c r="O498" s="4" t="s">
        <v>24</v>
      </c>
    </row>
    <row r="499" spans="1:15" x14ac:dyDescent="0.25">
      <c r="A499" s="4" t="s">
        <v>15</v>
      </c>
      <c r="B499" s="4" t="str">
        <f>"FES1162749679"</f>
        <v>FES1162749679</v>
      </c>
      <c r="C499" s="4" t="s">
        <v>112</v>
      </c>
      <c r="D499" s="4">
        <v>1</v>
      </c>
      <c r="E499" s="4" t="str">
        <f>"2170737493"</f>
        <v>2170737493</v>
      </c>
      <c r="F499" s="4" t="s">
        <v>17</v>
      </c>
      <c r="G499" s="4" t="s">
        <v>18</v>
      </c>
      <c r="H499" s="4" t="s">
        <v>48</v>
      </c>
      <c r="I499" s="4" t="s">
        <v>108</v>
      </c>
      <c r="J499" s="4" t="s">
        <v>109</v>
      </c>
      <c r="K499" s="4" t="s">
        <v>556</v>
      </c>
      <c r="L499" s="5">
        <v>0.4368055555555555</v>
      </c>
      <c r="M499" s="4" t="s">
        <v>740</v>
      </c>
      <c r="N499" s="4" t="s">
        <v>23</v>
      </c>
      <c r="O499" s="4" t="s">
        <v>24</v>
      </c>
    </row>
    <row r="500" spans="1:15" x14ac:dyDescent="0.25">
      <c r="A500" s="4" t="s">
        <v>15</v>
      </c>
      <c r="B500" s="4" t="str">
        <f>"FES1162749733"</f>
        <v>FES1162749733</v>
      </c>
      <c r="C500" s="4" t="s">
        <v>112</v>
      </c>
      <c r="D500" s="4">
        <v>0</v>
      </c>
      <c r="E500" s="4" t="str">
        <f>"2170739950"</f>
        <v>2170739950</v>
      </c>
      <c r="F500" s="4" t="s">
        <v>17</v>
      </c>
      <c r="G500" s="4" t="s">
        <v>18</v>
      </c>
      <c r="H500" s="4" t="s">
        <v>18</v>
      </c>
      <c r="I500" s="4" t="s">
        <v>19</v>
      </c>
      <c r="J500" s="4" t="s">
        <v>415</v>
      </c>
      <c r="K500" s="4" t="s">
        <v>556</v>
      </c>
      <c r="L500" s="5">
        <v>0.32569444444444445</v>
      </c>
      <c r="M500" s="4" t="s">
        <v>543</v>
      </c>
      <c r="N500" s="4" t="s">
        <v>23</v>
      </c>
      <c r="O500" s="4" t="s">
        <v>24</v>
      </c>
    </row>
    <row r="501" spans="1:15" x14ac:dyDescent="0.25">
      <c r="A501" s="4" t="s">
        <v>15</v>
      </c>
      <c r="B501" s="4" t="str">
        <f>"FES1162749727"</f>
        <v>FES1162749727</v>
      </c>
      <c r="C501" s="4" t="s">
        <v>112</v>
      </c>
      <c r="D501" s="4">
        <v>0</v>
      </c>
      <c r="E501" s="4" t="str">
        <f>"2170739928"</f>
        <v>2170739928</v>
      </c>
      <c r="F501" s="4" t="s">
        <v>17</v>
      </c>
      <c r="G501" s="4" t="s">
        <v>18</v>
      </c>
      <c r="H501" s="4" t="s">
        <v>18</v>
      </c>
      <c r="I501" s="4" t="s">
        <v>309</v>
      </c>
      <c r="J501" s="4" t="s">
        <v>325</v>
      </c>
      <c r="K501" s="4" t="s">
        <v>556</v>
      </c>
      <c r="L501" s="5">
        <v>0.33333333333333331</v>
      </c>
      <c r="M501" s="4" t="s">
        <v>481</v>
      </c>
      <c r="N501" s="4" t="s">
        <v>23</v>
      </c>
      <c r="O501" s="4" t="s">
        <v>24</v>
      </c>
    </row>
    <row r="502" spans="1:15" x14ac:dyDescent="0.25">
      <c r="A502" s="4" t="s">
        <v>15</v>
      </c>
      <c r="B502" s="4" t="str">
        <f>"FES1162749726"</f>
        <v>FES1162749726</v>
      </c>
      <c r="C502" s="4" t="s">
        <v>112</v>
      </c>
      <c r="D502" s="4">
        <v>0</v>
      </c>
      <c r="E502" s="4" t="str">
        <f>"2170738456"</f>
        <v>2170738456</v>
      </c>
      <c r="F502" s="4" t="s">
        <v>17</v>
      </c>
      <c r="G502" s="4" t="s">
        <v>18</v>
      </c>
      <c r="H502" s="4" t="s">
        <v>18</v>
      </c>
      <c r="I502" s="4" t="s">
        <v>121</v>
      </c>
      <c r="J502" s="4" t="s">
        <v>627</v>
      </c>
      <c r="K502" s="4" t="s">
        <v>556</v>
      </c>
      <c r="L502" s="5">
        <v>0.3888888888888889</v>
      </c>
      <c r="M502" s="4" t="s">
        <v>741</v>
      </c>
      <c r="N502" s="4" t="s">
        <v>23</v>
      </c>
      <c r="O502" s="4" t="s">
        <v>24</v>
      </c>
    </row>
    <row r="503" spans="1:15" x14ac:dyDescent="0.25">
      <c r="A503" s="4" t="s">
        <v>15</v>
      </c>
      <c r="B503" s="4" t="str">
        <f>"FES1162749734"</f>
        <v>FES1162749734</v>
      </c>
      <c r="C503" s="4" t="s">
        <v>112</v>
      </c>
      <c r="D503" s="4">
        <v>0</v>
      </c>
      <c r="E503" s="4" t="str">
        <f>"2170737616"</f>
        <v>2170737616</v>
      </c>
      <c r="F503" s="4" t="s">
        <v>17</v>
      </c>
      <c r="G503" s="4" t="s">
        <v>18</v>
      </c>
      <c r="H503" s="4" t="s">
        <v>18</v>
      </c>
      <c r="I503" s="4" t="s">
        <v>292</v>
      </c>
      <c r="J503" s="4" t="s">
        <v>312</v>
      </c>
      <c r="K503" s="4" t="s">
        <v>556</v>
      </c>
      <c r="L503" s="5">
        <v>0.4375</v>
      </c>
      <c r="M503" s="4" t="s">
        <v>742</v>
      </c>
      <c r="N503" s="4" t="s">
        <v>23</v>
      </c>
      <c r="O503" s="4" t="s">
        <v>24</v>
      </c>
    </row>
    <row r="504" spans="1:15" x14ac:dyDescent="0.25">
      <c r="A504" s="11" t="s">
        <v>15</v>
      </c>
      <c r="B504" s="11" t="str">
        <f>"FES1162749729"</f>
        <v>FES1162749729</v>
      </c>
      <c r="C504" s="11" t="s">
        <v>112</v>
      </c>
      <c r="D504" s="11">
        <v>0</v>
      </c>
      <c r="E504" s="11" t="str">
        <f>"2170739853"</f>
        <v>2170739853</v>
      </c>
      <c r="F504" s="11" t="s">
        <v>17</v>
      </c>
      <c r="G504" s="11" t="s">
        <v>18</v>
      </c>
      <c r="H504" s="11" t="s">
        <v>18</v>
      </c>
      <c r="I504" s="11" t="s">
        <v>311</v>
      </c>
      <c r="J504" s="11" t="s">
        <v>628</v>
      </c>
      <c r="K504" s="11" t="s">
        <v>556</v>
      </c>
      <c r="L504" s="12">
        <v>0.50416666666666665</v>
      </c>
      <c r="M504" s="11" t="s">
        <v>743</v>
      </c>
      <c r="N504" s="11" t="s">
        <v>23</v>
      </c>
      <c r="O504" s="11" t="s">
        <v>24</v>
      </c>
    </row>
    <row r="505" spans="1:15" x14ac:dyDescent="0.25">
      <c r="A505" s="11" t="s">
        <v>15</v>
      </c>
      <c r="B505" s="11" t="str">
        <f>"FES1162749655"</f>
        <v>FES1162749655</v>
      </c>
      <c r="C505" s="11" t="s">
        <v>112</v>
      </c>
      <c r="D505" s="11">
        <v>2</v>
      </c>
      <c r="E505" s="11" t="str">
        <f>"2170740108"</f>
        <v>2170740108</v>
      </c>
      <c r="F505" s="11" t="s">
        <v>17</v>
      </c>
      <c r="G505" s="11" t="s">
        <v>18</v>
      </c>
      <c r="H505" s="11" t="s">
        <v>85</v>
      </c>
      <c r="I505" s="11" t="s">
        <v>144</v>
      </c>
      <c r="J505" s="11" t="s">
        <v>210</v>
      </c>
      <c r="K505" s="11" t="s">
        <v>556</v>
      </c>
      <c r="L505" s="12">
        <v>0.6</v>
      </c>
      <c r="M505" s="11" t="s">
        <v>744</v>
      </c>
      <c r="N505" s="11" t="s">
        <v>23</v>
      </c>
      <c r="O505" s="11" t="s">
        <v>24</v>
      </c>
    </row>
    <row r="506" spans="1:15" x14ac:dyDescent="0.25">
      <c r="A506" s="11" t="s">
        <v>15</v>
      </c>
      <c r="B506" s="11" t="str">
        <f>"FES1162749619"</f>
        <v>FES1162749619</v>
      </c>
      <c r="C506" s="11" t="s">
        <v>112</v>
      </c>
      <c r="D506" s="11">
        <v>1</v>
      </c>
      <c r="E506" s="11" t="str">
        <f>"2170737052"</f>
        <v>2170737052</v>
      </c>
      <c r="F506" s="11" t="s">
        <v>17</v>
      </c>
      <c r="G506" s="11" t="s">
        <v>18</v>
      </c>
      <c r="H506" s="11" t="s">
        <v>40</v>
      </c>
      <c r="I506" s="11" t="s">
        <v>41</v>
      </c>
      <c r="J506" s="11" t="s">
        <v>99</v>
      </c>
      <c r="K506" s="11" t="s">
        <v>556</v>
      </c>
      <c r="L506" s="12">
        <v>0.6</v>
      </c>
      <c r="M506" s="11" t="s">
        <v>424</v>
      </c>
      <c r="N506" s="11" t="s">
        <v>23</v>
      </c>
      <c r="O506" s="11" t="s">
        <v>826</v>
      </c>
    </row>
    <row r="507" spans="1:15" x14ac:dyDescent="0.25">
      <c r="A507" s="11" t="s">
        <v>15</v>
      </c>
      <c r="B507" s="11" t="str">
        <f>"FES1162749654"</f>
        <v>FES1162749654</v>
      </c>
      <c r="C507" s="11" t="s">
        <v>112</v>
      </c>
      <c r="D507" s="11">
        <v>1</v>
      </c>
      <c r="E507" s="11" t="str">
        <f>"2170740107"</f>
        <v>2170740107</v>
      </c>
      <c r="F507" s="11" t="s">
        <v>17</v>
      </c>
      <c r="G507" s="11" t="s">
        <v>18</v>
      </c>
      <c r="H507" s="11" t="s">
        <v>18</v>
      </c>
      <c r="I507" s="11" t="s">
        <v>19</v>
      </c>
      <c r="J507" s="11" t="s">
        <v>61</v>
      </c>
      <c r="K507" s="11" t="s">
        <v>556</v>
      </c>
      <c r="L507" s="12">
        <v>0.375</v>
      </c>
      <c r="M507" s="11" t="s">
        <v>65</v>
      </c>
      <c r="N507" s="11" t="s">
        <v>23</v>
      </c>
      <c r="O507" s="11" t="s">
        <v>24</v>
      </c>
    </row>
    <row r="508" spans="1:15" x14ac:dyDescent="0.25">
      <c r="A508" s="11" t="s">
        <v>15</v>
      </c>
      <c r="B508" s="11" t="str">
        <f>"FES1162749742"</f>
        <v>FES1162749742</v>
      </c>
      <c r="C508" s="11" t="s">
        <v>112</v>
      </c>
      <c r="D508" s="11">
        <v>1</v>
      </c>
      <c r="E508" s="11" t="str">
        <f>"2170734198"</f>
        <v>2170734198</v>
      </c>
      <c r="F508" s="11" t="s">
        <v>17</v>
      </c>
      <c r="G508" s="11" t="s">
        <v>18</v>
      </c>
      <c r="H508" s="11" t="s">
        <v>18</v>
      </c>
      <c r="I508" s="11" t="s">
        <v>29</v>
      </c>
      <c r="J508" s="11" t="s">
        <v>629</v>
      </c>
      <c r="K508" s="11" t="s">
        <v>556</v>
      </c>
      <c r="L508" s="12">
        <v>0.35416666666666669</v>
      </c>
      <c r="M508" s="11" t="s">
        <v>745</v>
      </c>
      <c r="N508" s="11" t="s">
        <v>23</v>
      </c>
      <c r="O508" s="11" t="s">
        <v>24</v>
      </c>
    </row>
    <row r="509" spans="1:15" x14ac:dyDescent="0.25">
      <c r="A509" s="11" t="s">
        <v>15</v>
      </c>
      <c r="B509" s="11" t="str">
        <f>"FES1162749717"</f>
        <v>FES1162749717</v>
      </c>
      <c r="C509" s="11" t="s">
        <v>112</v>
      </c>
      <c r="D509" s="11">
        <v>1</v>
      </c>
      <c r="E509" s="11" t="str">
        <f>"2170739464"</f>
        <v>2170739464</v>
      </c>
      <c r="F509" s="11" t="s">
        <v>17</v>
      </c>
      <c r="G509" s="11" t="s">
        <v>18</v>
      </c>
      <c r="H509" s="11" t="s">
        <v>85</v>
      </c>
      <c r="I509" s="11" t="s">
        <v>86</v>
      </c>
      <c r="J509" s="11" t="s">
        <v>87</v>
      </c>
      <c r="K509" s="11" t="s">
        <v>556</v>
      </c>
      <c r="L509" s="12">
        <v>0.48333333333333334</v>
      </c>
      <c r="M509" s="11" t="s">
        <v>746</v>
      </c>
      <c r="N509" s="11" t="s">
        <v>23</v>
      </c>
      <c r="O509" s="11" t="s">
        <v>24</v>
      </c>
    </row>
    <row r="510" spans="1:15" x14ac:dyDescent="0.25">
      <c r="A510" s="11" t="s">
        <v>15</v>
      </c>
      <c r="B510" s="11" t="str">
        <f>"FES1162749698"</f>
        <v>FES1162749698</v>
      </c>
      <c r="C510" s="11" t="s">
        <v>112</v>
      </c>
      <c r="D510" s="11">
        <v>0</v>
      </c>
      <c r="E510" s="11" t="str">
        <f>"2170737710"</f>
        <v>2170737710</v>
      </c>
      <c r="F510" s="11" t="s">
        <v>17</v>
      </c>
      <c r="G510" s="11" t="s">
        <v>18</v>
      </c>
      <c r="H510" s="11" t="s">
        <v>85</v>
      </c>
      <c r="I510" s="11" t="s">
        <v>144</v>
      </c>
      <c r="J510" s="11" t="s">
        <v>360</v>
      </c>
      <c r="K510" s="11" t="s">
        <v>556</v>
      </c>
      <c r="L510" s="12">
        <v>0.625</v>
      </c>
      <c r="M510" s="11" t="s">
        <v>747</v>
      </c>
      <c r="N510" s="11" t="s">
        <v>23</v>
      </c>
      <c r="O510" s="11" t="s">
        <v>24</v>
      </c>
    </row>
    <row r="511" spans="1:15" x14ac:dyDescent="0.25">
      <c r="A511" s="11" t="s">
        <v>15</v>
      </c>
      <c r="B511" s="11" t="str">
        <f>"FES1162749763"</f>
        <v>FES1162749763</v>
      </c>
      <c r="C511" s="11" t="s">
        <v>112</v>
      </c>
      <c r="D511" s="11">
        <v>1</v>
      </c>
      <c r="E511" s="11" t="str">
        <f>"2170740147"</f>
        <v>2170740147</v>
      </c>
      <c r="F511" s="11" t="s">
        <v>17</v>
      </c>
      <c r="G511" s="11" t="s">
        <v>18</v>
      </c>
      <c r="H511" s="11" t="s">
        <v>48</v>
      </c>
      <c r="I511" s="11" t="s">
        <v>110</v>
      </c>
      <c r="J511" s="11" t="s">
        <v>111</v>
      </c>
      <c r="K511" s="11" t="s">
        <v>662</v>
      </c>
      <c r="L511" s="12">
        <v>0.34861111111111115</v>
      </c>
      <c r="M511" s="11" t="s">
        <v>111</v>
      </c>
      <c r="N511" s="11" t="s">
        <v>23</v>
      </c>
      <c r="O511" s="11" t="s">
        <v>24</v>
      </c>
    </row>
    <row r="512" spans="1:15" x14ac:dyDescent="0.25">
      <c r="A512" s="11" t="s">
        <v>15</v>
      </c>
      <c r="B512" s="11" t="str">
        <f>"FES1162749731"</f>
        <v>FES1162749731</v>
      </c>
      <c r="C512" s="11" t="s">
        <v>112</v>
      </c>
      <c r="D512" s="11">
        <v>1</v>
      </c>
      <c r="E512" s="11" t="str">
        <f>"2170740120"</f>
        <v>2170740120</v>
      </c>
      <c r="F512" s="11" t="s">
        <v>17</v>
      </c>
      <c r="G512" s="11" t="s">
        <v>18</v>
      </c>
      <c r="H512" s="11" t="s">
        <v>40</v>
      </c>
      <c r="I512" s="11" t="s">
        <v>41</v>
      </c>
      <c r="J512" s="11" t="s">
        <v>359</v>
      </c>
      <c r="K512" s="11" t="s">
        <v>662</v>
      </c>
      <c r="L512" s="12">
        <v>0.34861111111111115</v>
      </c>
      <c r="M512" s="11" t="s">
        <v>827</v>
      </c>
      <c r="N512" s="11" t="s">
        <v>23</v>
      </c>
      <c r="O512" s="11" t="s">
        <v>826</v>
      </c>
    </row>
    <row r="513" spans="1:15" x14ac:dyDescent="0.25">
      <c r="A513" s="11" t="s">
        <v>15</v>
      </c>
      <c r="B513" s="11" t="str">
        <f>"FES1162749756"</f>
        <v>FES1162749756</v>
      </c>
      <c r="C513" s="11" t="s">
        <v>112</v>
      </c>
      <c r="D513" s="11">
        <v>1</v>
      </c>
      <c r="E513" s="11" t="str">
        <f>"2170740106"</f>
        <v>2170740106</v>
      </c>
      <c r="F513" s="11" t="s">
        <v>17</v>
      </c>
      <c r="G513" s="11" t="s">
        <v>18</v>
      </c>
      <c r="H513" s="11" t="s">
        <v>25</v>
      </c>
      <c r="I513" s="11" t="s">
        <v>26</v>
      </c>
      <c r="J513" s="11" t="s">
        <v>278</v>
      </c>
      <c r="K513" s="11" t="s">
        <v>556</v>
      </c>
      <c r="L513" s="12">
        <v>0.39027777777777778</v>
      </c>
      <c r="M513" s="11" t="s">
        <v>748</v>
      </c>
      <c r="N513" s="11" t="s">
        <v>23</v>
      </c>
      <c r="O513" s="11" t="s">
        <v>24</v>
      </c>
    </row>
    <row r="514" spans="1:15" x14ac:dyDescent="0.25">
      <c r="A514" s="11" t="s">
        <v>15</v>
      </c>
      <c r="B514" s="11" t="str">
        <f>"FES1162749759"</f>
        <v>FES1162749759</v>
      </c>
      <c r="C514" s="11" t="s">
        <v>112</v>
      </c>
      <c r="D514" s="11">
        <v>1</v>
      </c>
      <c r="E514" s="11" t="str">
        <f>"2170739910"</f>
        <v>2170739910</v>
      </c>
      <c r="F514" s="11" t="s">
        <v>17</v>
      </c>
      <c r="G514" s="11" t="s">
        <v>18</v>
      </c>
      <c r="H514" s="11" t="s">
        <v>48</v>
      </c>
      <c r="I514" s="11" t="s">
        <v>49</v>
      </c>
      <c r="J514" s="11" t="s">
        <v>630</v>
      </c>
      <c r="K514" s="11" t="s">
        <v>556</v>
      </c>
      <c r="L514" s="12">
        <v>0.39861111111111108</v>
      </c>
      <c r="M514" s="11" t="s">
        <v>749</v>
      </c>
      <c r="N514" s="11" t="s">
        <v>23</v>
      </c>
      <c r="O514" s="11" t="s">
        <v>24</v>
      </c>
    </row>
    <row r="515" spans="1:15" x14ac:dyDescent="0.25">
      <c r="A515" s="4" t="s">
        <v>15</v>
      </c>
      <c r="B515" s="4" t="str">
        <f>"FES1162749752"</f>
        <v>FES1162749752</v>
      </c>
      <c r="C515" s="4" t="s">
        <v>112</v>
      </c>
      <c r="D515" s="4">
        <v>0</v>
      </c>
      <c r="E515" s="4" t="str">
        <f>"2170740136"</f>
        <v>2170740136</v>
      </c>
      <c r="F515" s="4" t="s">
        <v>17</v>
      </c>
      <c r="G515" s="4" t="s">
        <v>18</v>
      </c>
      <c r="H515" s="4" t="s">
        <v>18</v>
      </c>
      <c r="I515" s="4" t="s">
        <v>204</v>
      </c>
      <c r="J515" s="4" t="s">
        <v>205</v>
      </c>
      <c r="K515" s="4" t="s">
        <v>556</v>
      </c>
      <c r="L515" s="5">
        <v>0.375</v>
      </c>
      <c r="M515" s="4" t="s">
        <v>65</v>
      </c>
      <c r="N515" s="4" t="s">
        <v>23</v>
      </c>
      <c r="O515" s="4" t="s">
        <v>24</v>
      </c>
    </row>
    <row r="516" spans="1:15" x14ac:dyDescent="0.25">
      <c r="A516" s="4" t="s">
        <v>15</v>
      </c>
      <c r="B516" s="4" t="str">
        <f>"FES1162749762"</f>
        <v>FES1162749762</v>
      </c>
      <c r="C516" s="4" t="s">
        <v>112</v>
      </c>
      <c r="D516" s="4">
        <v>0</v>
      </c>
      <c r="E516" s="4" t="str">
        <f>"2170740144"</f>
        <v>2170740144</v>
      </c>
      <c r="F516" s="4" t="s">
        <v>17</v>
      </c>
      <c r="G516" s="4" t="s">
        <v>18</v>
      </c>
      <c r="H516" s="4" t="s">
        <v>48</v>
      </c>
      <c r="I516" s="4" t="s">
        <v>49</v>
      </c>
      <c r="J516" s="4" t="s">
        <v>631</v>
      </c>
      <c r="K516" s="4" t="s">
        <v>556</v>
      </c>
      <c r="L516" s="5">
        <v>0.47847222222222219</v>
      </c>
      <c r="M516" s="4" t="s">
        <v>750</v>
      </c>
      <c r="N516" s="4" t="s">
        <v>23</v>
      </c>
      <c r="O516" s="4" t="s">
        <v>24</v>
      </c>
    </row>
    <row r="517" spans="1:15" x14ac:dyDescent="0.25">
      <c r="A517" s="4" t="s">
        <v>15</v>
      </c>
      <c r="B517" s="4" t="str">
        <f>"FES1162749771"</f>
        <v>FES1162749771</v>
      </c>
      <c r="C517" s="4" t="s">
        <v>112</v>
      </c>
      <c r="D517" s="4">
        <v>0</v>
      </c>
      <c r="E517" s="4" t="str">
        <f>"2170740155"</f>
        <v>2170740155</v>
      </c>
      <c r="F517" s="4" t="s">
        <v>17</v>
      </c>
      <c r="G517" s="4" t="s">
        <v>18</v>
      </c>
      <c r="H517" s="4" t="s">
        <v>36</v>
      </c>
      <c r="I517" s="4" t="s">
        <v>37</v>
      </c>
      <c r="J517" s="4" t="s">
        <v>197</v>
      </c>
      <c r="K517" s="4" t="s">
        <v>556</v>
      </c>
      <c r="L517" s="5">
        <v>0.3743055555555555</v>
      </c>
      <c r="M517" s="4" t="s">
        <v>751</v>
      </c>
      <c r="N517" s="4" t="s">
        <v>23</v>
      </c>
      <c r="O517" s="4" t="s">
        <v>24</v>
      </c>
    </row>
    <row r="518" spans="1:15" x14ac:dyDescent="0.25">
      <c r="A518" s="4" t="s">
        <v>15</v>
      </c>
      <c r="B518" s="4" t="str">
        <f>"FES1162749674"</f>
        <v>FES1162749674</v>
      </c>
      <c r="C518" s="4" t="s">
        <v>112</v>
      </c>
      <c r="D518" s="4">
        <v>0</v>
      </c>
      <c r="E518" s="4" t="str">
        <f>"2170737466"</f>
        <v>2170737466</v>
      </c>
      <c r="F518" s="4" t="s">
        <v>17</v>
      </c>
      <c r="G518" s="4" t="s">
        <v>18</v>
      </c>
      <c r="H518" s="4" t="s">
        <v>18</v>
      </c>
      <c r="I518" s="4" t="s">
        <v>97</v>
      </c>
      <c r="J518" s="4" t="s">
        <v>632</v>
      </c>
      <c r="K518" s="4" t="s">
        <v>556</v>
      </c>
      <c r="L518" s="5">
        <v>0.46458333333333335</v>
      </c>
      <c r="M518" s="4" t="s">
        <v>688</v>
      </c>
      <c r="N518" s="4" t="s">
        <v>23</v>
      </c>
      <c r="O518" s="4" t="s">
        <v>24</v>
      </c>
    </row>
    <row r="519" spans="1:15" x14ac:dyDescent="0.25">
      <c r="A519" s="11" t="s">
        <v>15</v>
      </c>
      <c r="B519" s="11" t="str">
        <f>"FES1162749772"</f>
        <v>FES1162749772</v>
      </c>
      <c r="C519" s="11" t="s">
        <v>112</v>
      </c>
      <c r="D519" s="11">
        <v>0</v>
      </c>
      <c r="E519" s="11" t="str">
        <f>"2170740156"</f>
        <v>2170740156</v>
      </c>
      <c r="F519" s="11" t="s">
        <v>17</v>
      </c>
      <c r="G519" s="11" t="s">
        <v>18</v>
      </c>
      <c r="H519" s="11" t="s">
        <v>25</v>
      </c>
      <c r="I519" s="11" t="s">
        <v>26</v>
      </c>
      <c r="J519" s="11" t="s">
        <v>413</v>
      </c>
      <c r="K519" s="11" t="s">
        <v>556</v>
      </c>
      <c r="L519" s="12">
        <v>0.42499999999999999</v>
      </c>
      <c r="M519" s="11" t="s">
        <v>700</v>
      </c>
      <c r="N519" s="11" t="s">
        <v>23</v>
      </c>
      <c r="O519" s="11" t="s">
        <v>24</v>
      </c>
    </row>
    <row r="520" spans="1:15" x14ac:dyDescent="0.25">
      <c r="A520" s="11" t="s">
        <v>15</v>
      </c>
      <c r="B520" s="11" t="str">
        <f>"FES1162749740"</f>
        <v>FES1162749740</v>
      </c>
      <c r="C520" s="11" t="s">
        <v>112</v>
      </c>
      <c r="D520" s="11">
        <v>0</v>
      </c>
      <c r="E520" s="11" t="str">
        <f>"2170740131"</f>
        <v>2170740131</v>
      </c>
      <c r="F520" s="11" t="s">
        <v>17</v>
      </c>
      <c r="G520" s="11" t="s">
        <v>18</v>
      </c>
      <c r="H520" s="11" t="s">
        <v>85</v>
      </c>
      <c r="I520" s="11" t="s">
        <v>207</v>
      </c>
      <c r="J520" s="11" t="s">
        <v>633</v>
      </c>
      <c r="K520" s="11" t="s">
        <v>556</v>
      </c>
      <c r="L520" s="12">
        <v>0.42083333333333334</v>
      </c>
      <c r="M520" s="11" t="s">
        <v>752</v>
      </c>
      <c r="N520" s="11" t="s">
        <v>23</v>
      </c>
      <c r="O520" s="11" t="s">
        <v>24</v>
      </c>
    </row>
    <row r="521" spans="1:15" x14ac:dyDescent="0.25">
      <c r="A521" s="11" t="s">
        <v>15</v>
      </c>
      <c r="B521" s="11" t="str">
        <f>"FES1162749766"</f>
        <v>FES1162749766</v>
      </c>
      <c r="C521" s="11" t="s">
        <v>112</v>
      </c>
      <c r="D521" s="11">
        <v>0</v>
      </c>
      <c r="E521" s="11" t="str">
        <f>"2170740152"</f>
        <v>2170740152</v>
      </c>
      <c r="F521" s="11" t="s">
        <v>17</v>
      </c>
      <c r="G521" s="11" t="s">
        <v>18</v>
      </c>
      <c r="H521" s="11" t="s">
        <v>40</v>
      </c>
      <c r="I521" s="11" t="s">
        <v>41</v>
      </c>
      <c r="J521" s="11" t="s">
        <v>221</v>
      </c>
      <c r="K521" s="11" t="s">
        <v>556</v>
      </c>
      <c r="L521" s="12">
        <v>0.42083333333333334</v>
      </c>
      <c r="M521" s="11" t="s">
        <v>827</v>
      </c>
      <c r="N521" s="11" t="s">
        <v>23</v>
      </c>
      <c r="O521" s="11" t="s">
        <v>826</v>
      </c>
    </row>
    <row r="522" spans="1:15" x14ac:dyDescent="0.25">
      <c r="A522" s="11" t="s">
        <v>15</v>
      </c>
      <c r="B522" s="11" t="str">
        <f>"FES1162749765"</f>
        <v>FES1162749765</v>
      </c>
      <c r="C522" s="11" t="s">
        <v>112</v>
      </c>
      <c r="D522" s="11">
        <v>1</v>
      </c>
      <c r="E522" s="11" t="str">
        <f>"2170740148"</f>
        <v>2170740148</v>
      </c>
      <c r="F522" s="11" t="s">
        <v>17</v>
      </c>
      <c r="G522" s="11" t="s">
        <v>18</v>
      </c>
      <c r="H522" s="11" t="s">
        <v>18</v>
      </c>
      <c r="I522" s="11" t="s">
        <v>68</v>
      </c>
      <c r="J522" s="11" t="s">
        <v>634</v>
      </c>
      <c r="K522" s="11" t="s">
        <v>556</v>
      </c>
      <c r="L522" s="12">
        <v>0.3979166666666667</v>
      </c>
      <c r="M522" s="11" t="s">
        <v>753</v>
      </c>
      <c r="N522" s="11" t="s">
        <v>23</v>
      </c>
      <c r="O522" s="11" t="s">
        <v>24</v>
      </c>
    </row>
    <row r="523" spans="1:15" x14ac:dyDescent="0.25">
      <c r="A523" s="11" t="s">
        <v>15</v>
      </c>
      <c r="B523" s="11" t="str">
        <f>"FES1162749764"</f>
        <v>FES1162749764</v>
      </c>
      <c r="C523" s="11" t="s">
        <v>112</v>
      </c>
      <c r="D523" s="11">
        <v>0</v>
      </c>
      <c r="E523" s="11" t="str">
        <f>"2170740076"</f>
        <v>2170740076</v>
      </c>
      <c r="F523" s="11" t="s">
        <v>17</v>
      </c>
      <c r="G523" s="11" t="s">
        <v>18</v>
      </c>
      <c r="H523" s="11" t="s">
        <v>18</v>
      </c>
      <c r="I523" s="11" t="s">
        <v>19</v>
      </c>
      <c r="J523" s="11" t="s">
        <v>635</v>
      </c>
      <c r="K523" s="11" t="s">
        <v>556</v>
      </c>
      <c r="L523" s="12">
        <v>0.33333333333333331</v>
      </c>
      <c r="M523" s="11" t="s">
        <v>754</v>
      </c>
      <c r="N523" s="11" t="s">
        <v>23</v>
      </c>
      <c r="O523" s="11" t="s">
        <v>24</v>
      </c>
    </row>
    <row r="524" spans="1:15" x14ac:dyDescent="0.25">
      <c r="A524" s="11" t="s">
        <v>15</v>
      </c>
      <c r="B524" s="11" t="str">
        <f>"FES1162749767"</f>
        <v>FES1162749767</v>
      </c>
      <c r="C524" s="11" t="s">
        <v>112</v>
      </c>
      <c r="D524" s="11">
        <v>0</v>
      </c>
      <c r="E524" s="11" t="str">
        <f>"2170739239"</f>
        <v>2170739239</v>
      </c>
      <c r="F524" s="11" t="s">
        <v>17</v>
      </c>
      <c r="G524" s="11" t="s">
        <v>18</v>
      </c>
      <c r="H524" s="11" t="s">
        <v>18</v>
      </c>
      <c r="I524" s="11" t="s">
        <v>19</v>
      </c>
      <c r="J524" s="11" t="s">
        <v>636</v>
      </c>
      <c r="K524" s="11" t="s">
        <v>556</v>
      </c>
      <c r="L524" s="12">
        <v>0.34930555555555554</v>
      </c>
      <c r="M524" s="11" t="s">
        <v>755</v>
      </c>
      <c r="N524" s="11" t="s">
        <v>23</v>
      </c>
      <c r="O524" s="11" t="s">
        <v>24</v>
      </c>
    </row>
    <row r="525" spans="1:15" x14ac:dyDescent="0.25">
      <c r="A525" s="4" t="s">
        <v>15</v>
      </c>
      <c r="B525" s="4" t="str">
        <f>"FES1162749773"</f>
        <v>FES1162749773</v>
      </c>
      <c r="C525" s="4" t="s">
        <v>112</v>
      </c>
      <c r="D525" s="4">
        <v>0</v>
      </c>
      <c r="E525" s="4" t="str">
        <f>"2170737511"</f>
        <v>2170737511</v>
      </c>
      <c r="F525" s="4" t="s">
        <v>17</v>
      </c>
      <c r="G525" s="4" t="s">
        <v>18</v>
      </c>
      <c r="H525" s="4" t="s">
        <v>85</v>
      </c>
      <c r="I525" s="4" t="s">
        <v>144</v>
      </c>
      <c r="J525" s="4" t="s">
        <v>210</v>
      </c>
      <c r="K525" s="4" t="s">
        <v>556</v>
      </c>
      <c r="L525" s="5">
        <v>0.59930555555555554</v>
      </c>
      <c r="M525" s="4" t="s">
        <v>744</v>
      </c>
      <c r="N525" s="4" t="s">
        <v>23</v>
      </c>
      <c r="O525" s="4" t="s">
        <v>24</v>
      </c>
    </row>
    <row r="526" spans="1:15" x14ac:dyDescent="0.25">
      <c r="A526" s="4" t="s">
        <v>15</v>
      </c>
      <c r="B526" s="4" t="str">
        <f>"FES1162749713"</f>
        <v>FES1162749713</v>
      </c>
      <c r="C526" s="4" t="s">
        <v>112</v>
      </c>
      <c r="D526" s="4">
        <v>1</v>
      </c>
      <c r="E526" s="4" t="str">
        <f>"2170739082"</f>
        <v>2170739082</v>
      </c>
      <c r="F526" s="4" t="s">
        <v>17</v>
      </c>
      <c r="G526" s="4" t="s">
        <v>18</v>
      </c>
      <c r="H526" s="4" t="s">
        <v>48</v>
      </c>
      <c r="I526" s="4" t="s">
        <v>49</v>
      </c>
      <c r="J526" s="4" t="s">
        <v>406</v>
      </c>
      <c r="K526" s="4" t="s">
        <v>556</v>
      </c>
      <c r="L526" s="5">
        <v>0.36805555555555558</v>
      </c>
      <c r="M526" s="4" t="s">
        <v>718</v>
      </c>
      <c r="N526" s="4" t="s">
        <v>23</v>
      </c>
      <c r="O526" s="4" t="s">
        <v>24</v>
      </c>
    </row>
    <row r="527" spans="1:15" x14ac:dyDescent="0.25">
      <c r="A527" s="4" t="s">
        <v>15</v>
      </c>
      <c r="B527" s="4" t="str">
        <f>"FES1162749743"</f>
        <v>FES1162749743</v>
      </c>
      <c r="C527" s="4" t="s">
        <v>112</v>
      </c>
      <c r="D527" s="4">
        <v>1</v>
      </c>
      <c r="E527" s="4" t="str">
        <f>"2170735097"</f>
        <v>2170735097</v>
      </c>
      <c r="F527" s="4" t="s">
        <v>17</v>
      </c>
      <c r="G527" s="4" t="s">
        <v>18</v>
      </c>
      <c r="H527" s="4" t="s">
        <v>85</v>
      </c>
      <c r="I527" s="4" t="s">
        <v>144</v>
      </c>
      <c r="J527" s="4" t="s">
        <v>637</v>
      </c>
      <c r="K527" s="4" t="s">
        <v>556</v>
      </c>
      <c r="L527" s="5">
        <v>0.54999999999999993</v>
      </c>
      <c r="M527" s="4" t="s">
        <v>756</v>
      </c>
      <c r="N527" s="4" t="s">
        <v>23</v>
      </c>
      <c r="O527" s="4" t="s">
        <v>24</v>
      </c>
    </row>
    <row r="528" spans="1:15" x14ac:dyDescent="0.25">
      <c r="A528" s="4" t="s">
        <v>15</v>
      </c>
      <c r="B528" s="4" t="str">
        <f>"FES1162749746"</f>
        <v>FES1162749746</v>
      </c>
      <c r="C528" s="4" t="s">
        <v>112</v>
      </c>
      <c r="D528" s="4">
        <v>1</v>
      </c>
      <c r="E528" s="4" t="str">
        <f>"2170739635"</f>
        <v>2170739635</v>
      </c>
      <c r="F528" s="4" t="s">
        <v>17</v>
      </c>
      <c r="G528" s="4" t="s">
        <v>18</v>
      </c>
      <c r="H528" s="4" t="s">
        <v>85</v>
      </c>
      <c r="I528" s="4" t="s">
        <v>144</v>
      </c>
      <c r="J528" s="4" t="s">
        <v>357</v>
      </c>
      <c r="K528" s="4" t="s">
        <v>556</v>
      </c>
      <c r="L528" s="5">
        <v>0.5493055555555556</v>
      </c>
      <c r="M528" s="4" t="s">
        <v>757</v>
      </c>
      <c r="N528" s="4" t="s">
        <v>23</v>
      </c>
      <c r="O528" s="4" t="s">
        <v>24</v>
      </c>
    </row>
    <row r="529" spans="1:15" x14ac:dyDescent="0.25">
      <c r="A529" s="4" t="s">
        <v>15</v>
      </c>
      <c r="B529" s="4" t="str">
        <f>"FES1162749758"</f>
        <v>FES1162749758</v>
      </c>
      <c r="C529" s="4" t="s">
        <v>112</v>
      </c>
      <c r="D529" s="4">
        <v>1</v>
      </c>
      <c r="E529" s="4" t="str">
        <f>"2170740139"</f>
        <v>2170740139</v>
      </c>
      <c r="F529" s="4" t="s">
        <v>17</v>
      </c>
      <c r="G529" s="4" t="s">
        <v>18</v>
      </c>
      <c r="H529" s="4" t="s">
        <v>18</v>
      </c>
      <c r="I529" s="4" t="s">
        <v>29</v>
      </c>
      <c r="J529" s="4" t="s">
        <v>638</v>
      </c>
      <c r="K529" s="4" t="s">
        <v>556</v>
      </c>
      <c r="L529" s="5">
        <v>0.43055555555555558</v>
      </c>
      <c r="M529" s="4" t="s">
        <v>758</v>
      </c>
      <c r="N529" s="4" t="s">
        <v>23</v>
      </c>
      <c r="O529" s="4" t="s">
        <v>24</v>
      </c>
    </row>
    <row r="530" spans="1:15" x14ac:dyDescent="0.25">
      <c r="A530" s="4" t="s">
        <v>15</v>
      </c>
      <c r="B530" s="4" t="str">
        <f>"FES1162749739"</f>
        <v>FES1162749739</v>
      </c>
      <c r="C530" s="4" t="s">
        <v>112</v>
      </c>
      <c r="D530" s="4">
        <v>1</v>
      </c>
      <c r="E530" s="4" t="str">
        <f>"2170740130"</f>
        <v>2170740130</v>
      </c>
      <c r="F530" s="4" t="s">
        <v>17</v>
      </c>
      <c r="G530" s="4" t="s">
        <v>18</v>
      </c>
      <c r="H530" s="4" t="s">
        <v>85</v>
      </c>
      <c r="I530" s="4" t="s">
        <v>207</v>
      </c>
      <c r="J530" s="4" t="s">
        <v>245</v>
      </c>
      <c r="K530" s="4" t="s">
        <v>556</v>
      </c>
      <c r="L530" s="5">
        <v>0.59305555555555556</v>
      </c>
      <c r="M530" s="4" t="s">
        <v>669</v>
      </c>
      <c r="N530" s="4" t="s">
        <v>23</v>
      </c>
      <c r="O530" s="4" t="s">
        <v>24</v>
      </c>
    </row>
    <row r="531" spans="1:15" x14ac:dyDescent="0.25">
      <c r="A531" s="4" t="s">
        <v>15</v>
      </c>
      <c r="B531" s="4" t="str">
        <f>"FES1162749760"</f>
        <v>FES1162749760</v>
      </c>
      <c r="C531" s="4" t="s">
        <v>112</v>
      </c>
      <c r="D531" s="4">
        <v>1</v>
      </c>
      <c r="E531" s="4" t="str">
        <f>"2170740141"</f>
        <v>2170740141</v>
      </c>
      <c r="F531" s="4" t="s">
        <v>17</v>
      </c>
      <c r="G531" s="4" t="s">
        <v>18</v>
      </c>
      <c r="H531" s="4" t="s">
        <v>32</v>
      </c>
      <c r="I531" s="4" t="s">
        <v>33</v>
      </c>
      <c r="J531" s="4" t="s">
        <v>639</v>
      </c>
      <c r="K531" s="4" t="s">
        <v>556</v>
      </c>
      <c r="L531" s="5">
        <v>0.3888888888888889</v>
      </c>
      <c r="M531" s="4" t="s">
        <v>759</v>
      </c>
      <c r="N531" s="4" t="s">
        <v>23</v>
      </c>
      <c r="O531" s="4" t="s">
        <v>24</v>
      </c>
    </row>
    <row r="532" spans="1:15" x14ac:dyDescent="0.25">
      <c r="A532" s="4" t="s">
        <v>15</v>
      </c>
      <c r="B532" s="4" t="str">
        <f>"FES1162749747"</f>
        <v>FES1162749747</v>
      </c>
      <c r="C532" s="4" t="s">
        <v>112</v>
      </c>
      <c r="D532" s="4">
        <v>0</v>
      </c>
      <c r="E532" s="4" t="str">
        <f>"217074009"</f>
        <v>217074009</v>
      </c>
      <c r="F532" s="4" t="s">
        <v>17</v>
      </c>
      <c r="G532" s="4" t="s">
        <v>18</v>
      </c>
      <c r="H532" s="4" t="s">
        <v>25</v>
      </c>
      <c r="I532" s="4" t="s">
        <v>26</v>
      </c>
      <c r="J532" s="4" t="s">
        <v>411</v>
      </c>
      <c r="K532" s="4" t="s">
        <v>556</v>
      </c>
      <c r="L532" s="5">
        <v>0.3743055555555555</v>
      </c>
      <c r="M532" s="4" t="s">
        <v>539</v>
      </c>
      <c r="N532" s="4" t="s">
        <v>23</v>
      </c>
      <c r="O532" s="4" t="s">
        <v>24</v>
      </c>
    </row>
    <row r="533" spans="1:15" x14ac:dyDescent="0.25">
      <c r="A533" s="4" t="s">
        <v>15</v>
      </c>
      <c r="B533" s="4" t="str">
        <f>"FES1162749775"</f>
        <v>FES1162749775</v>
      </c>
      <c r="C533" s="4" t="s">
        <v>112</v>
      </c>
      <c r="D533" s="4">
        <v>1</v>
      </c>
      <c r="E533" s="4" t="str">
        <f>"2170740160"</f>
        <v>2170740160</v>
      </c>
      <c r="F533" s="4" t="s">
        <v>17</v>
      </c>
      <c r="G533" s="4" t="s">
        <v>18</v>
      </c>
      <c r="H533" s="4" t="s">
        <v>167</v>
      </c>
      <c r="I533" s="4" t="s">
        <v>168</v>
      </c>
      <c r="J533" s="4" t="s">
        <v>169</v>
      </c>
      <c r="K533" s="4" t="s">
        <v>556</v>
      </c>
      <c r="L533" s="5">
        <v>0.41666666666666669</v>
      </c>
      <c r="M533" s="4" t="s">
        <v>760</v>
      </c>
      <c r="N533" s="4" t="s">
        <v>23</v>
      </c>
      <c r="O533" s="4" t="s">
        <v>24</v>
      </c>
    </row>
    <row r="534" spans="1:15" ht="15.75" thickBot="1" x14ac:dyDescent="0.3">
      <c r="A534" s="7" t="s">
        <v>15</v>
      </c>
      <c r="B534" s="7" t="str">
        <f>"FES1162749774"</f>
        <v>FES1162749774</v>
      </c>
      <c r="C534" s="7" t="s">
        <v>112</v>
      </c>
      <c r="D534" s="7">
        <v>1</v>
      </c>
      <c r="E534" s="7" t="str">
        <f>"2170740073"</f>
        <v>2170740073</v>
      </c>
      <c r="F534" s="7" t="s">
        <v>17</v>
      </c>
      <c r="G534" s="7" t="s">
        <v>18</v>
      </c>
      <c r="H534" s="7" t="s">
        <v>18</v>
      </c>
      <c r="I534" s="7" t="s">
        <v>97</v>
      </c>
      <c r="J534" s="7" t="s">
        <v>603</v>
      </c>
      <c r="K534" s="7" t="s">
        <v>556</v>
      </c>
      <c r="L534" s="8">
        <v>0.37291666666666662</v>
      </c>
      <c r="M534" s="7" t="s">
        <v>714</v>
      </c>
      <c r="N534" s="7" t="s">
        <v>23</v>
      </c>
      <c r="O534" s="7" t="s">
        <v>24</v>
      </c>
    </row>
    <row r="535" spans="1:15" x14ac:dyDescent="0.25">
      <c r="A535" s="1" t="s">
        <v>15</v>
      </c>
      <c r="B535" s="1" t="str">
        <f>"FES1162749857"</f>
        <v>FES1162749857</v>
      </c>
      <c r="C535" s="1" t="s">
        <v>556</v>
      </c>
      <c r="D535" s="1">
        <v>1</v>
      </c>
      <c r="E535" s="1" t="str">
        <f>"2170738517"</f>
        <v>2170738517</v>
      </c>
      <c r="F535" s="1" t="s">
        <v>17</v>
      </c>
      <c r="G535" s="1" t="s">
        <v>18</v>
      </c>
      <c r="H535" s="1" t="s">
        <v>18</v>
      </c>
      <c r="I535" s="1" t="s">
        <v>58</v>
      </c>
      <c r="J535" s="1" t="s">
        <v>761</v>
      </c>
      <c r="K535" s="1" t="s">
        <v>662</v>
      </c>
      <c r="L535" s="2">
        <v>0.42152777777777778</v>
      </c>
      <c r="M535" s="1" t="s">
        <v>960</v>
      </c>
      <c r="N535" s="3" t="s">
        <v>23</v>
      </c>
      <c r="O535" s="1" t="s">
        <v>24</v>
      </c>
    </row>
    <row r="536" spans="1:15" x14ac:dyDescent="0.25">
      <c r="A536" s="4" t="s">
        <v>15</v>
      </c>
      <c r="B536" s="4" t="str">
        <f>"FES1162749894"</f>
        <v>FES1162749894</v>
      </c>
      <c r="C536" s="4" t="s">
        <v>556</v>
      </c>
      <c r="D536" s="4">
        <v>0</v>
      </c>
      <c r="E536" s="4" t="str">
        <f>"2170740223"</f>
        <v>2170740223</v>
      </c>
      <c r="F536" s="4" t="s">
        <v>17</v>
      </c>
      <c r="G536" s="4" t="s">
        <v>18</v>
      </c>
      <c r="H536" s="4" t="s">
        <v>18</v>
      </c>
      <c r="I536" s="4" t="s">
        <v>19</v>
      </c>
      <c r="J536" s="4" t="s">
        <v>20</v>
      </c>
      <c r="K536" s="4" t="s">
        <v>662</v>
      </c>
      <c r="L536" s="5">
        <v>0.39583333333333331</v>
      </c>
      <c r="M536" s="4" t="s">
        <v>664</v>
      </c>
      <c r="N536" s="6" t="s">
        <v>23</v>
      </c>
      <c r="O536" s="4" t="s">
        <v>24</v>
      </c>
    </row>
    <row r="537" spans="1:15" x14ac:dyDescent="0.25">
      <c r="A537" s="4" t="s">
        <v>15</v>
      </c>
      <c r="B537" s="4" t="str">
        <f>"FES1162749874"</f>
        <v>FES1162749874</v>
      </c>
      <c r="C537" s="4" t="s">
        <v>556</v>
      </c>
      <c r="D537" s="4">
        <v>0</v>
      </c>
      <c r="E537" s="4" t="str">
        <f>"2170738813"</f>
        <v>2170738813</v>
      </c>
      <c r="F537" s="4" t="s">
        <v>17</v>
      </c>
      <c r="G537" s="4" t="s">
        <v>18</v>
      </c>
      <c r="H537" s="4" t="s">
        <v>18</v>
      </c>
      <c r="I537" s="4" t="s">
        <v>29</v>
      </c>
      <c r="J537" s="4" t="s">
        <v>762</v>
      </c>
      <c r="K537" s="4" t="s">
        <v>662</v>
      </c>
      <c r="L537" s="5">
        <v>0.31875000000000003</v>
      </c>
      <c r="M537" s="4" t="s">
        <v>475</v>
      </c>
      <c r="N537" s="6" t="s">
        <v>23</v>
      </c>
      <c r="O537" s="4" t="s">
        <v>24</v>
      </c>
    </row>
    <row r="538" spans="1:15" x14ac:dyDescent="0.25">
      <c r="A538" s="4" t="s">
        <v>15</v>
      </c>
      <c r="B538" s="4" t="str">
        <f>"FES1162749833"</f>
        <v>FES1162749833</v>
      </c>
      <c r="C538" s="4" t="s">
        <v>556</v>
      </c>
      <c r="D538" s="4">
        <v>0</v>
      </c>
      <c r="E538" s="4" t="str">
        <f>"2170738795"</f>
        <v>2170738795</v>
      </c>
      <c r="F538" s="4" t="s">
        <v>17</v>
      </c>
      <c r="G538" s="4" t="s">
        <v>18</v>
      </c>
      <c r="H538" s="4" t="s">
        <v>32</v>
      </c>
      <c r="I538" s="4" t="s">
        <v>33</v>
      </c>
      <c r="J538" s="4" t="s">
        <v>388</v>
      </c>
      <c r="K538" s="4" t="s">
        <v>662</v>
      </c>
      <c r="L538" s="5">
        <v>0.40277777777777773</v>
      </c>
      <c r="M538" s="4" t="s">
        <v>949</v>
      </c>
      <c r="N538" s="6" t="s">
        <v>23</v>
      </c>
      <c r="O538" s="4" t="s">
        <v>24</v>
      </c>
    </row>
    <row r="539" spans="1:15" x14ac:dyDescent="0.25">
      <c r="A539" s="4" t="s">
        <v>15</v>
      </c>
      <c r="B539" s="4" t="str">
        <f>"FES1162749867"</f>
        <v>FES1162749867</v>
      </c>
      <c r="C539" s="4" t="s">
        <v>556</v>
      </c>
      <c r="D539" s="4">
        <v>0</v>
      </c>
      <c r="E539" s="4" t="str">
        <f>"2170738611"</f>
        <v>2170738611</v>
      </c>
      <c r="F539" s="4" t="s">
        <v>17</v>
      </c>
      <c r="G539" s="4" t="s">
        <v>18</v>
      </c>
      <c r="H539" s="4" t="s">
        <v>18</v>
      </c>
      <c r="I539" s="4" t="s">
        <v>307</v>
      </c>
      <c r="J539" s="4" t="s">
        <v>308</v>
      </c>
      <c r="K539" s="4" t="s">
        <v>662</v>
      </c>
      <c r="L539" s="5">
        <v>0.43055555555555558</v>
      </c>
      <c r="M539" s="4" t="s">
        <v>466</v>
      </c>
      <c r="N539" s="6" t="s">
        <v>23</v>
      </c>
      <c r="O539" s="4" t="s">
        <v>24</v>
      </c>
    </row>
    <row r="540" spans="1:15" x14ac:dyDescent="0.25">
      <c r="A540" s="4" t="s">
        <v>15</v>
      </c>
      <c r="B540" s="4" t="str">
        <f>"FES1162749869"</f>
        <v>FES1162749869</v>
      </c>
      <c r="C540" s="4" t="s">
        <v>556</v>
      </c>
      <c r="D540" s="4">
        <v>0</v>
      </c>
      <c r="E540" s="4" t="str">
        <f>"2170738619"</f>
        <v>2170738619</v>
      </c>
      <c r="F540" s="4" t="s">
        <v>17</v>
      </c>
      <c r="G540" s="4" t="s">
        <v>18</v>
      </c>
      <c r="H540" s="4" t="s">
        <v>52</v>
      </c>
      <c r="I540" s="4" t="s">
        <v>53</v>
      </c>
      <c r="J540" s="4" t="s">
        <v>171</v>
      </c>
      <c r="K540" s="4" t="s">
        <v>662</v>
      </c>
      <c r="L540" s="5">
        <v>0.36180555555555555</v>
      </c>
      <c r="M540" s="4" t="s">
        <v>959</v>
      </c>
      <c r="N540" s="6" t="s">
        <v>23</v>
      </c>
      <c r="O540" s="4" t="s">
        <v>24</v>
      </c>
    </row>
    <row r="541" spans="1:15" x14ac:dyDescent="0.25">
      <c r="A541" s="4" t="s">
        <v>15</v>
      </c>
      <c r="B541" s="4" t="str">
        <f>"FES1162749898"</f>
        <v>FES1162749898</v>
      </c>
      <c r="C541" s="4" t="s">
        <v>556</v>
      </c>
      <c r="D541" s="4">
        <v>0</v>
      </c>
      <c r="E541" s="4" t="str">
        <f>"2170733105"</f>
        <v>2170733105</v>
      </c>
      <c r="F541" s="4" t="s">
        <v>17</v>
      </c>
      <c r="G541" s="4" t="s">
        <v>18</v>
      </c>
      <c r="H541" s="4" t="s">
        <v>25</v>
      </c>
      <c r="I541" s="4" t="s">
        <v>26</v>
      </c>
      <c r="J541" s="4" t="s">
        <v>763</v>
      </c>
      <c r="K541" s="4" t="s">
        <v>662</v>
      </c>
      <c r="L541" s="5">
        <v>0.38194444444444442</v>
      </c>
      <c r="M541" s="4" t="s">
        <v>764</v>
      </c>
      <c r="N541" s="6" t="s">
        <v>23</v>
      </c>
      <c r="O541" s="4" t="s">
        <v>24</v>
      </c>
    </row>
    <row r="542" spans="1:15" x14ac:dyDescent="0.25">
      <c r="A542" s="10" t="s">
        <v>15</v>
      </c>
      <c r="B542" s="10" t="str">
        <f>"FES1162749906"</f>
        <v>FES1162749906</v>
      </c>
      <c r="C542" s="10" t="s">
        <v>556</v>
      </c>
      <c r="D542" s="10">
        <v>0</v>
      </c>
      <c r="E542" s="10" t="str">
        <f>"2170738718"</f>
        <v>2170738718</v>
      </c>
      <c r="F542" s="10" t="s">
        <v>17</v>
      </c>
      <c r="G542" s="10" t="s">
        <v>18</v>
      </c>
      <c r="H542" s="10" t="s">
        <v>25</v>
      </c>
      <c r="I542" s="10" t="s">
        <v>765</v>
      </c>
      <c r="J542" s="10" t="s">
        <v>766</v>
      </c>
      <c r="K542" s="10" t="s">
        <v>43</v>
      </c>
      <c r="L542" s="10"/>
      <c r="M542" s="10" t="s">
        <v>44</v>
      </c>
      <c r="N542" s="10" t="s">
        <v>837</v>
      </c>
      <c r="O542" s="10" t="s">
        <v>837</v>
      </c>
    </row>
    <row r="543" spans="1:15" x14ac:dyDescent="0.25">
      <c r="A543" s="4" t="s">
        <v>15</v>
      </c>
      <c r="B543" s="4" t="str">
        <f>"FES1162749899"</f>
        <v>FES1162749899</v>
      </c>
      <c r="C543" s="4" t="s">
        <v>556</v>
      </c>
      <c r="D543" s="4">
        <v>0</v>
      </c>
      <c r="E543" s="4" t="str">
        <f>"2170734057"</f>
        <v>2170734057</v>
      </c>
      <c r="F543" s="4" t="s">
        <v>17</v>
      </c>
      <c r="G543" s="4" t="s">
        <v>18</v>
      </c>
      <c r="H543" s="4" t="s">
        <v>52</v>
      </c>
      <c r="I543" s="4" t="s">
        <v>767</v>
      </c>
      <c r="J543" s="4" t="s">
        <v>768</v>
      </c>
      <c r="K543" s="4" t="s">
        <v>662</v>
      </c>
      <c r="L543" s="5">
        <v>0.43611111111111112</v>
      </c>
      <c r="M543" s="4" t="s">
        <v>958</v>
      </c>
      <c r="N543" s="6" t="s">
        <v>23</v>
      </c>
      <c r="O543" s="4" t="s">
        <v>24</v>
      </c>
    </row>
    <row r="544" spans="1:15" x14ac:dyDescent="0.25">
      <c r="A544" s="4" t="s">
        <v>15</v>
      </c>
      <c r="B544" s="4" t="str">
        <f>"FES1162749840"</f>
        <v>FES1162749840</v>
      </c>
      <c r="C544" s="4" t="s">
        <v>556</v>
      </c>
      <c r="D544" s="4">
        <v>1</v>
      </c>
      <c r="E544" s="4" t="str">
        <f>"2170739061"</f>
        <v>2170739061</v>
      </c>
      <c r="F544" s="4" t="s">
        <v>17</v>
      </c>
      <c r="G544" s="4" t="s">
        <v>18</v>
      </c>
      <c r="H544" s="4" t="s">
        <v>18</v>
      </c>
      <c r="I544" s="4" t="s">
        <v>29</v>
      </c>
      <c r="J544" s="4" t="s">
        <v>30</v>
      </c>
      <c r="K544" s="4" t="s">
        <v>662</v>
      </c>
      <c r="L544" s="5">
        <v>0.40277777777777773</v>
      </c>
      <c r="M544" s="4" t="s">
        <v>908</v>
      </c>
      <c r="N544" s="6" t="s">
        <v>23</v>
      </c>
      <c r="O544" s="4" t="s">
        <v>24</v>
      </c>
    </row>
    <row r="545" spans="1:15" x14ac:dyDescent="0.25">
      <c r="A545" s="4" t="s">
        <v>15</v>
      </c>
      <c r="B545" s="4" t="str">
        <f>"009940113383"</f>
        <v>009940113383</v>
      </c>
      <c r="C545" s="4" t="s">
        <v>556</v>
      </c>
      <c r="D545" s="4">
        <v>1</v>
      </c>
      <c r="E545" s="4" t="str">
        <f>""</f>
        <v/>
      </c>
      <c r="F545" s="4" t="s">
        <v>135</v>
      </c>
      <c r="G545" s="4" t="s">
        <v>18</v>
      </c>
      <c r="H545" s="4" t="s">
        <v>18</v>
      </c>
      <c r="I545" s="4" t="s">
        <v>29</v>
      </c>
      <c r="J545" s="4" t="s">
        <v>769</v>
      </c>
      <c r="K545" s="4" t="s">
        <v>662</v>
      </c>
      <c r="L545" s="5">
        <v>0.36041666666666666</v>
      </c>
      <c r="M545" s="4" t="s">
        <v>609</v>
      </c>
      <c r="N545" s="6" t="s">
        <v>23</v>
      </c>
      <c r="O545" s="4" t="s">
        <v>24</v>
      </c>
    </row>
    <row r="546" spans="1:15" x14ac:dyDescent="0.25">
      <c r="A546" s="4" t="s">
        <v>15</v>
      </c>
      <c r="B546" s="4" t="str">
        <f>"FES1162749937"</f>
        <v>FES1162749937</v>
      </c>
      <c r="C546" s="4" t="s">
        <v>556</v>
      </c>
      <c r="D546" s="4">
        <v>0</v>
      </c>
      <c r="E546" s="4" t="str">
        <f>"2170740277"</f>
        <v>2170740277</v>
      </c>
      <c r="F546" s="4" t="s">
        <v>17</v>
      </c>
      <c r="G546" s="4" t="s">
        <v>18</v>
      </c>
      <c r="H546" s="4" t="s">
        <v>52</v>
      </c>
      <c r="I546" s="4" t="s">
        <v>53</v>
      </c>
      <c r="J546" s="4" t="s">
        <v>56</v>
      </c>
      <c r="K546" s="4" t="s">
        <v>662</v>
      </c>
      <c r="L546" s="5">
        <v>0.44513888888888892</v>
      </c>
      <c r="M546" s="4" t="s">
        <v>957</v>
      </c>
      <c r="N546" s="6" t="s">
        <v>23</v>
      </c>
      <c r="O546" s="4" t="s">
        <v>24</v>
      </c>
    </row>
    <row r="547" spans="1:15" x14ac:dyDescent="0.25">
      <c r="A547" s="4" t="s">
        <v>15</v>
      </c>
      <c r="B547" s="4" t="str">
        <f>"FES1162749938"</f>
        <v>FES1162749938</v>
      </c>
      <c r="C547" s="4" t="s">
        <v>556</v>
      </c>
      <c r="D547" s="4">
        <v>0</v>
      </c>
      <c r="E547" s="4" t="str">
        <f>"2170740278"</f>
        <v>2170740278</v>
      </c>
      <c r="F547" s="4" t="s">
        <v>17</v>
      </c>
      <c r="G547" s="4" t="s">
        <v>18</v>
      </c>
      <c r="H547" s="4" t="s">
        <v>32</v>
      </c>
      <c r="I547" s="4" t="s">
        <v>33</v>
      </c>
      <c r="J547" s="4" t="s">
        <v>317</v>
      </c>
      <c r="K547" s="4" t="s">
        <v>662</v>
      </c>
      <c r="L547" s="5">
        <v>0.42291666666666666</v>
      </c>
      <c r="M547" s="4" t="s">
        <v>956</v>
      </c>
      <c r="N547" s="6" t="s">
        <v>23</v>
      </c>
      <c r="O547" s="4" t="s">
        <v>24</v>
      </c>
    </row>
    <row r="548" spans="1:15" x14ac:dyDescent="0.25">
      <c r="A548" s="4" t="s">
        <v>15</v>
      </c>
      <c r="B548" s="4" t="str">
        <f>"FES1162749928"</f>
        <v>FES1162749928</v>
      </c>
      <c r="C548" s="4" t="s">
        <v>556</v>
      </c>
      <c r="D548" s="4">
        <v>0</v>
      </c>
      <c r="E548" s="4" t="str">
        <f>"2170740268"</f>
        <v>2170740268</v>
      </c>
      <c r="F548" s="4" t="s">
        <v>17</v>
      </c>
      <c r="G548" s="4" t="s">
        <v>18</v>
      </c>
      <c r="H548" s="4" t="s">
        <v>32</v>
      </c>
      <c r="I548" s="4" t="s">
        <v>33</v>
      </c>
      <c r="J548" s="4" t="s">
        <v>272</v>
      </c>
      <c r="K548" s="4" t="s">
        <v>662</v>
      </c>
      <c r="L548" s="5">
        <v>0.41319444444444442</v>
      </c>
      <c r="M548" s="4" t="s">
        <v>953</v>
      </c>
      <c r="N548" s="6" t="s">
        <v>23</v>
      </c>
      <c r="O548" s="4" t="s">
        <v>24</v>
      </c>
    </row>
    <row r="549" spans="1:15" x14ac:dyDescent="0.25">
      <c r="A549" s="4" t="s">
        <v>15</v>
      </c>
      <c r="B549" s="4" t="str">
        <f>"FES1162749777"</f>
        <v>FES1162749777</v>
      </c>
      <c r="C549" s="4" t="s">
        <v>556</v>
      </c>
      <c r="D549" s="4">
        <v>2</v>
      </c>
      <c r="E549" s="4" t="str">
        <f>"2170740043"</f>
        <v>2170740043</v>
      </c>
      <c r="F549" s="4" t="s">
        <v>135</v>
      </c>
      <c r="G549" s="4" t="s">
        <v>18</v>
      </c>
      <c r="H549" s="4" t="s">
        <v>18</v>
      </c>
      <c r="I549" s="4" t="s">
        <v>97</v>
      </c>
      <c r="J549" s="4" t="s">
        <v>599</v>
      </c>
      <c r="K549" s="4" t="s">
        <v>662</v>
      </c>
      <c r="L549" s="5">
        <v>0.32569444444444445</v>
      </c>
      <c r="M549" s="4" t="s">
        <v>955</v>
      </c>
      <c r="N549" s="6" t="s">
        <v>23</v>
      </c>
      <c r="O549" s="4" t="s">
        <v>24</v>
      </c>
    </row>
    <row r="550" spans="1:15" x14ac:dyDescent="0.25">
      <c r="A550" s="4" t="s">
        <v>15</v>
      </c>
      <c r="B550" s="4" t="str">
        <f>"FES1162749821"</f>
        <v>FES1162749821</v>
      </c>
      <c r="C550" s="4" t="s">
        <v>556</v>
      </c>
      <c r="D550" s="4">
        <v>1</v>
      </c>
      <c r="E550" s="4" t="str">
        <f>"2170740213"</f>
        <v>2170740213</v>
      </c>
      <c r="F550" s="4" t="s">
        <v>17</v>
      </c>
      <c r="G550" s="4" t="s">
        <v>18</v>
      </c>
      <c r="H550" s="4" t="s">
        <v>25</v>
      </c>
      <c r="I550" s="4" t="s">
        <v>26</v>
      </c>
      <c r="J550" s="4" t="s">
        <v>770</v>
      </c>
      <c r="K550" s="4" t="s">
        <v>662</v>
      </c>
      <c r="L550" s="5">
        <v>0.38541666666666669</v>
      </c>
      <c r="M550" s="4" t="s">
        <v>771</v>
      </c>
      <c r="N550" s="6" t="s">
        <v>23</v>
      </c>
      <c r="O550" s="4" t="s">
        <v>24</v>
      </c>
    </row>
    <row r="551" spans="1:15" x14ac:dyDescent="0.25">
      <c r="A551" s="4" t="s">
        <v>15</v>
      </c>
      <c r="B551" s="4" t="str">
        <f>"FES1162749921"</f>
        <v>FES1162749921</v>
      </c>
      <c r="C551" s="4" t="s">
        <v>556</v>
      </c>
      <c r="D551" s="4">
        <v>0</v>
      </c>
      <c r="E551" s="4" t="str">
        <f>"2170740269"</f>
        <v>2170740269</v>
      </c>
      <c r="F551" s="4" t="s">
        <v>17</v>
      </c>
      <c r="G551" s="4" t="s">
        <v>18</v>
      </c>
      <c r="H551" s="4" t="s">
        <v>32</v>
      </c>
      <c r="I551" s="4" t="s">
        <v>33</v>
      </c>
      <c r="J551" s="4" t="s">
        <v>604</v>
      </c>
      <c r="K551" s="4" t="s">
        <v>662</v>
      </c>
      <c r="L551" s="5">
        <v>0.45833333333333331</v>
      </c>
      <c r="M551" s="4" t="s">
        <v>954</v>
      </c>
      <c r="N551" s="6" t="s">
        <v>23</v>
      </c>
      <c r="O551" s="4" t="s">
        <v>24</v>
      </c>
    </row>
    <row r="552" spans="1:15" x14ac:dyDescent="0.25">
      <c r="A552" s="4" t="s">
        <v>15</v>
      </c>
      <c r="B552" s="4" t="str">
        <f>"FES1162749929"</f>
        <v>FES1162749929</v>
      </c>
      <c r="C552" s="4" t="s">
        <v>556</v>
      </c>
      <c r="D552" s="4">
        <v>0</v>
      </c>
      <c r="E552" s="4" t="str">
        <f>"2170740269"</f>
        <v>2170740269</v>
      </c>
      <c r="F552" s="4" t="s">
        <v>17</v>
      </c>
      <c r="G552" s="4" t="s">
        <v>18</v>
      </c>
      <c r="H552" s="4" t="s">
        <v>32</v>
      </c>
      <c r="I552" s="4" t="s">
        <v>33</v>
      </c>
      <c r="J552" s="4" t="s">
        <v>272</v>
      </c>
      <c r="K552" s="4" t="s">
        <v>662</v>
      </c>
      <c r="L552" s="5">
        <v>0.41319444444444442</v>
      </c>
      <c r="M552" s="4" t="s">
        <v>953</v>
      </c>
      <c r="N552" s="6" t="s">
        <v>23</v>
      </c>
      <c r="O552" s="4" t="s">
        <v>24</v>
      </c>
    </row>
    <row r="553" spans="1:15" x14ac:dyDescent="0.25">
      <c r="A553" s="4" t="s">
        <v>15</v>
      </c>
      <c r="B553" s="4" t="str">
        <f>"FES1162749822"</f>
        <v>FES1162749822</v>
      </c>
      <c r="C553" s="4" t="s">
        <v>556</v>
      </c>
      <c r="D553" s="4">
        <v>1</v>
      </c>
      <c r="E553" s="4" t="str">
        <f>"2170740227"</f>
        <v>2170740227</v>
      </c>
      <c r="F553" s="4" t="s">
        <v>164</v>
      </c>
      <c r="G553" s="4" t="s">
        <v>18</v>
      </c>
      <c r="H553" s="4" t="s">
        <v>18</v>
      </c>
      <c r="I553" s="4" t="s">
        <v>147</v>
      </c>
      <c r="J553" s="4" t="s">
        <v>772</v>
      </c>
      <c r="K553" s="4" t="s">
        <v>662</v>
      </c>
      <c r="L553" s="5">
        <v>0.37708333333333338</v>
      </c>
      <c r="M553" s="4" t="s">
        <v>952</v>
      </c>
      <c r="N553" s="6" t="s">
        <v>23</v>
      </c>
      <c r="O553" s="4" t="s">
        <v>24</v>
      </c>
    </row>
    <row r="554" spans="1:15" x14ac:dyDescent="0.25">
      <c r="A554" s="4" t="s">
        <v>15</v>
      </c>
      <c r="B554" s="4" t="str">
        <f>"FES1162749918"</f>
        <v>FES1162749918</v>
      </c>
      <c r="C554" s="4" t="s">
        <v>556</v>
      </c>
      <c r="D554" s="4">
        <v>1</v>
      </c>
      <c r="E554" s="4" t="str">
        <f>"2170740253"</f>
        <v>2170740253</v>
      </c>
      <c r="F554" s="4" t="s">
        <v>17</v>
      </c>
      <c r="G554" s="4" t="s">
        <v>18</v>
      </c>
      <c r="H554" s="4" t="s">
        <v>25</v>
      </c>
      <c r="I554" s="4" t="s">
        <v>26</v>
      </c>
      <c r="J554" s="4" t="s">
        <v>773</v>
      </c>
      <c r="K554" s="4" t="s">
        <v>662</v>
      </c>
      <c r="L554" s="5">
        <v>0.40902777777777777</v>
      </c>
      <c r="M554" s="4" t="s">
        <v>951</v>
      </c>
      <c r="N554" s="6" t="s">
        <v>23</v>
      </c>
      <c r="O554" s="4" t="s">
        <v>24</v>
      </c>
    </row>
    <row r="555" spans="1:15" x14ac:dyDescent="0.25">
      <c r="A555" s="10" t="s">
        <v>15</v>
      </c>
      <c r="B555" s="10" t="str">
        <f>"FES1162749892"</f>
        <v>FES1162749892</v>
      </c>
      <c r="C555" s="10" t="s">
        <v>556</v>
      </c>
      <c r="D555" s="10">
        <v>0</v>
      </c>
      <c r="E555" s="10" t="str">
        <f>"217073654"</f>
        <v>217073654</v>
      </c>
      <c r="F555" s="10" t="s">
        <v>17</v>
      </c>
      <c r="G555" s="10" t="s">
        <v>18</v>
      </c>
      <c r="H555" s="10" t="s">
        <v>32</v>
      </c>
      <c r="I555" s="10" t="s">
        <v>33</v>
      </c>
      <c r="J555" s="10" t="s">
        <v>774</v>
      </c>
      <c r="K555" s="10" t="s">
        <v>43</v>
      </c>
      <c r="L555" s="10"/>
      <c r="M555" s="10" t="s">
        <v>44</v>
      </c>
      <c r="N555" s="10" t="s">
        <v>824</v>
      </c>
      <c r="O555" s="10" t="s">
        <v>824</v>
      </c>
    </row>
    <row r="556" spans="1:15" x14ac:dyDescent="0.25">
      <c r="A556" s="4" t="s">
        <v>15</v>
      </c>
      <c r="B556" s="4" t="str">
        <f>"FES1162749855"</f>
        <v>FES1162749855</v>
      </c>
      <c r="C556" s="4" t="s">
        <v>556</v>
      </c>
      <c r="D556" s="4">
        <v>0</v>
      </c>
      <c r="E556" s="4" t="str">
        <f>"2170738343"</f>
        <v>2170738343</v>
      </c>
      <c r="F556" s="4" t="s">
        <v>17</v>
      </c>
      <c r="G556" s="4" t="s">
        <v>18</v>
      </c>
      <c r="H556" s="4" t="s">
        <v>32</v>
      </c>
      <c r="I556" s="4" t="s">
        <v>33</v>
      </c>
      <c r="J556" s="4" t="s">
        <v>300</v>
      </c>
      <c r="K556" s="4" t="s">
        <v>662</v>
      </c>
      <c r="L556" s="5">
        <v>0.4909722222222222</v>
      </c>
      <c r="M556" s="4" t="s">
        <v>65</v>
      </c>
      <c r="N556" s="6" t="s">
        <v>23</v>
      </c>
      <c r="O556" s="4" t="s">
        <v>24</v>
      </c>
    </row>
    <row r="557" spans="1:15" x14ac:dyDescent="0.25">
      <c r="A557" s="11" t="s">
        <v>15</v>
      </c>
      <c r="B557" s="11" t="str">
        <f>"FES1162749844"</f>
        <v>FES1162749844</v>
      </c>
      <c r="C557" s="11" t="s">
        <v>556</v>
      </c>
      <c r="D557" s="11">
        <v>0</v>
      </c>
      <c r="E557" s="11" t="str">
        <f>"2170735824"</f>
        <v>2170735824</v>
      </c>
      <c r="F557" s="11" t="s">
        <v>17</v>
      </c>
      <c r="G557" s="11" t="s">
        <v>18</v>
      </c>
      <c r="H557" s="11" t="s">
        <v>32</v>
      </c>
      <c r="I557" s="11" t="s">
        <v>33</v>
      </c>
      <c r="J557" s="11" t="s">
        <v>775</v>
      </c>
      <c r="K557" s="11" t="s">
        <v>662</v>
      </c>
      <c r="L557" s="12">
        <v>0.40972222222222227</v>
      </c>
      <c r="M557" s="11" t="s">
        <v>950</v>
      </c>
      <c r="N557" s="13" t="s">
        <v>23</v>
      </c>
      <c r="O557" s="11" t="s">
        <v>24</v>
      </c>
    </row>
    <row r="558" spans="1:15" x14ac:dyDescent="0.25">
      <c r="A558" s="11" t="s">
        <v>15</v>
      </c>
      <c r="B558" s="11" t="str">
        <f>"FES1162749902"</f>
        <v>FES1162749902</v>
      </c>
      <c r="C558" s="11" t="s">
        <v>556</v>
      </c>
      <c r="D558" s="11">
        <v>0</v>
      </c>
      <c r="E558" s="11" t="str">
        <f>"21707324228"</f>
        <v>21707324228</v>
      </c>
      <c r="F558" s="11" t="s">
        <v>17</v>
      </c>
      <c r="G558" s="11" t="s">
        <v>18</v>
      </c>
      <c r="H558" s="11" t="s">
        <v>776</v>
      </c>
      <c r="I558" s="11" t="s">
        <v>777</v>
      </c>
      <c r="J558" s="11" t="s">
        <v>778</v>
      </c>
      <c r="K558" s="11" t="s">
        <v>662</v>
      </c>
      <c r="L558" s="12">
        <v>0.40972222222222227</v>
      </c>
      <c r="M558" s="11" t="s">
        <v>1555</v>
      </c>
      <c r="N558" s="13" t="s">
        <v>23</v>
      </c>
      <c r="O558" s="11" t="s">
        <v>24</v>
      </c>
    </row>
    <row r="559" spans="1:15" x14ac:dyDescent="0.25">
      <c r="A559" s="11" t="s">
        <v>15</v>
      </c>
      <c r="B559" s="11" t="str">
        <f>"RFES1162748173"</f>
        <v>RFES1162748173</v>
      </c>
      <c r="C559" s="11" t="s">
        <v>556</v>
      </c>
      <c r="D559" s="11">
        <v>1</v>
      </c>
      <c r="E559" s="11" t="str">
        <f>"2170734678"</f>
        <v>2170734678</v>
      </c>
      <c r="F559" s="11" t="s">
        <v>17</v>
      </c>
      <c r="G559" s="11" t="s">
        <v>85</v>
      </c>
      <c r="H559" s="11" t="s">
        <v>18</v>
      </c>
      <c r="I559" s="11" t="s">
        <v>29</v>
      </c>
      <c r="J559" s="11" t="s">
        <v>417</v>
      </c>
      <c r="K559" s="11" t="s">
        <v>662</v>
      </c>
      <c r="L559" s="12">
        <v>0.3611111111111111</v>
      </c>
      <c r="M559" s="11" t="s">
        <v>609</v>
      </c>
      <c r="N559" s="13" t="s">
        <v>23</v>
      </c>
      <c r="O559" s="11" t="s">
        <v>24</v>
      </c>
    </row>
    <row r="560" spans="1:15" x14ac:dyDescent="0.25">
      <c r="A560" s="11" t="s">
        <v>15</v>
      </c>
      <c r="B560" s="11" t="str">
        <f>"FES1162749791"</f>
        <v>FES1162749791</v>
      </c>
      <c r="C560" s="11" t="s">
        <v>556</v>
      </c>
      <c r="D560" s="11">
        <v>0</v>
      </c>
      <c r="E560" s="11" t="str">
        <f>"2170740178"</f>
        <v>2170740178</v>
      </c>
      <c r="F560" s="11" t="s">
        <v>17</v>
      </c>
      <c r="G560" s="11" t="s">
        <v>18</v>
      </c>
      <c r="H560" s="11" t="s">
        <v>32</v>
      </c>
      <c r="I560" s="11" t="s">
        <v>33</v>
      </c>
      <c r="J560" s="11" t="s">
        <v>388</v>
      </c>
      <c r="K560" s="11" t="s">
        <v>662</v>
      </c>
      <c r="L560" s="12">
        <v>0.40277777777777773</v>
      </c>
      <c r="M560" s="11" t="s">
        <v>949</v>
      </c>
      <c r="N560" s="13" t="s">
        <v>23</v>
      </c>
      <c r="O560" s="11" t="s">
        <v>24</v>
      </c>
    </row>
    <row r="561" spans="1:15" x14ac:dyDescent="0.25">
      <c r="A561" s="11" t="s">
        <v>15</v>
      </c>
      <c r="B561" s="11" t="str">
        <f>"RFES1162741128"</f>
        <v>RFES1162741128</v>
      </c>
      <c r="C561" s="11" t="s">
        <v>556</v>
      </c>
      <c r="D561" s="11">
        <v>1</v>
      </c>
      <c r="E561" s="11" t="str">
        <f>"2170737623"</f>
        <v>2170737623</v>
      </c>
      <c r="F561" s="11" t="s">
        <v>17</v>
      </c>
      <c r="G561" s="11" t="s">
        <v>85</v>
      </c>
      <c r="H561" s="11" t="s">
        <v>18</v>
      </c>
      <c r="I561" s="11" t="s">
        <v>29</v>
      </c>
      <c r="J561" s="11" t="s">
        <v>417</v>
      </c>
      <c r="K561" s="11" t="s">
        <v>662</v>
      </c>
      <c r="L561" s="12">
        <v>0.36041666666666666</v>
      </c>
      <c r="M561" s="11" t="s">
        <v>609</v>
      </c>
      <c r="N561" s="13" t="s">
        <v>23</v>
      </c>
      <c r="O561" s="11" t="s">
        <v>24</v>
      </c>
    </row>
    <row r="562" spans="1:15" x14ac:dyDescent="0.25">
      <c r="A562" s="4" t="s">
        <v>15</v>
      </c>
      <c r="B562" s="4" t="str">
        <f>"FES1162749856"</f>
        <v>FES1162749856</v>
      </c>
      <c r="C562" s="4" t="s">
        <v>556</v>
      </c>
      <c r="D562" s="4">
        <v>0</v>
      </c>
      <c r="E562" s="4" t="str">
        <f>"21707378494"</f>
        <v>21707378494</v>
      </c>
      <c r="F562" s="4" t="s">
        <v>17</v>
      </c>
      <c r="G562" s="4" t="s">
        <v>18</v>
      </c>
      <c r="H562" s="4" t="s">
        <v>48</v>
      </c>
      <c r="I562" s="4" t="s">
        <v>73</v>
      </c>
      <c r="J562" s="4" t="s">
        <v>779</v>
      </c>
      <c r="K562" s="4" t="s">
        <v>662</v>
      </c>
      <c r="L562" s="5">
        <v>0.4770833333333333</v>
      </c>
      <c r="M562" s="4" t="s">
        <v>948</v>
      </c>
      <c r="N562" s="6" t="s">
        <v>23</v>
      </c>
      <c r="O562" s="4" t="s">
        <v>24</v>
      </c>
    </row>
    <row r="563" spans="1:15" x14ac:dyDescent="0.25">
      <c r="A563" s="4" t="s">
        <v>15</v>
      </c>
      <c r="B563" s="4" t="str">
        <f>"FES1162749845"</f>
        <v>FES1162749845</v>
      </c>
      <c r="C563" s="4" t="s">
        <v>556</v>
      </c>
      <c r="D563" s="4">
        <v>0</v>
      </c>
      <c r="E563" s="4" t="str">
        <f>"2170735039"</f>
        <v>2170735039</v>
      </c>
      <c r="F563" s="4" t="s">
        <v>17</v>
      </c>
      <c r="G563" s="4" t="s">
        <v>18</v>
      </c>
      <c r="H563" s="4" t="s">
        <v>48</v>
      </c>
      <c r="I563" s="4" t="s">
        <v>49</v>
      </c>
      <c r="J563" s="4" t="s">
        <v>393</v>
      </c>
      <c r="K563" s="4" t="s">
        <v>662</v>
      </c>
      <c r="L563" s="5">
        <v>0.4368055555555555</v>
      </c>
      <c r="M563" s="4" t="s">
        <v>947</v>
      </c>
      <c r="N563" s="6" t="s">
        <v>23</v>
      </c>
      <c r="O563" s="4" t="s">
        <v>24</v>
      </c>
    </row>
    <row r="564" spans="1:15" x14ac:dyDescent="0.25">
      <c r="A564" s="4" t="s">
        <v>15</v>
      </c>
      <c r="B564" s="4" t="str">
        <f>"FES1162749819"</f>
        <v>FES1162749819</v>
      </c>
      <c r="C564" s="4" t="s">
        <v>556</v>
      </c>
      <c r="D564" s="4">
        <v>0</v>
      </c>
      <c r="E564" s="4" t="str">
        <f>"2170740215"</f>
        <v>2170740215</v>
      </c>
      <c r="F564" s="4" t="s">
        <v>17</v>
      </c>
      <c r="G564" s="4" t="s">
        <v>18</v>
      </c>
      <c r="H564" s="4" t="s">
        <v>48</v>
      </c>
      <c r="I564" s="4" t="s">
        <v>108</v>
      </c>
      <c r="J564" s="4" t="s">
        <v>109</v>
      </c>
      <c r="K564" s="4" t="s">
        <v>662</v>
      </c>
      <c r="L564" s="5">
        <v>0.38819444444444445</v>
      </c>
      <c r="M564" s="4" t="s">
        <v>946</v>
      </c>
      <c r="N564" s="6" t="s">
        <v>23</v>
      </c>
      <c r="O564" s="4" t="s">
        <v>24</v>
      </c>
    </row>
    <row r="565" spans="1:15" x14ac:dyDescent="0.25">
      <c r="A565" s="4" t="s">
        <v>15</v>
      </c>
      <c r="B565" s="4" t="str">
        <f>"FES1162749786"</f>
        <v>FES1162749786</v>
      </c>
      <c r="C565" s="4" t="s">
        <v>556</v>
      </c>
      <c r="D565" s="4">
        <v>0</v>
      </c>
      <c r="E565" s="4" t="str">
        <f>"2170740151"</f>
        <v>2170740151</v>
      </c>
      <c r="F565" s="4" t="s">
        <v>17</v>
      </c>
      <c r="G565" s="4" t="s">
        <v>18</v>
      </c>
      <c r="H565" s="4" t="s">
        <v>48</v>
      </c>
      <c r="I565" s="4" t="s">
        <v>73</v>
      </c>
      <c r="J565" s="4" t="s">
        <v>247</v>
      </c>
      <c r="K565" s="4" t="s">
        <v>662</v>
      </c>
      <c r="L565" s="5">
        <v>0.47569444444444442</v>
      </c>
      <c r="M565" s="4" t="s">
        <v>945</v>
      </c>
      <c r="N565" s="6" t="s">
        <v>23</v>
      </c>
      <c r="O565" s="4" t="s">
        <v>24</v>
      </c>
    </row>
    <row r="566" spans="1:15" x14ac:dyDescent="0.25">
      <c r="A566" s="4" t="s">
        <v>15</v>
      </c>
      <c r="B566" s="4" t="str">
        <f>"FES1162749818"</f>
        <v>FES1162749818</v>
      </c>
      <c r="C566" s="4" t="s">
        <v>556</v>
      </c>
      <c r="D566" s="4">
        <v>0</v>
      </c>
      <c r="E566" s="4" t="str">
        <f>"2170739750"</f>
        <v>2170739750</v>
      </c>
      <c r="F566" s="4" t="s">
        <v>17</v>
      </c>
      <c r="G566" s="4" t="s">
        <v>18</v>
      </c>
      <c r="H566" s="4" t="s">
        <v>326</v>
      </c>
      <c r="I566" s="4" t="s">
        <v>327</v>
      </c>
      <c r="J566" s="4" t="s">
        <v>780</v>
      </c>
      <c r="K566" s="4" t="s">
        <v>662</v>
      </c>
      <c r="L566" s="5">
        <v>0.50347222222222221</v>
      </c>
      <c r="M566" s="4" t="s">
        <v>944</v>
      </c>
      <c r="N566" s="6" t="s">
        <v>23</v>
      </c>
      <c r="O566" s="4" t="s">
        <v>24</v>
      </c>
    </row>
    <row r="567" spans="1:15" x14ac:dyDescent="0.25">
      <c r="A567" s="4" t="s">
        <v>15</v>
      </c>
      <c r="B567" s="4" t="str">
        <f>"FES1162749802"</f>
        <v>FES1162749802</v>
      </c>
      <c r="C567" s="4" t="s">
        <v>556</v>
      </c>
      <c r="D567" s="4">
        <v>0</v>
      </c>
      <c r="E567" s="4" t="str">
        <f>"217074191"</f>
        <v>217074191</v>
      </c>
      <c r="F567" s="4" t="s">
        <v>17</v>
      </c>
      <c r="G567" s="4" t="s">
        <v>18</v>
      </c>
      <c r="H567" s="4" t="s">
        <v>25</v>
      </c>
      <c r="I567" s="4" t="s">
        <v>92</v>
      </c>
      <c r="J567" s="4" t="s">
        <v>781</v>
      </c>
      <c r="K567" s="4" t="s">
        <v>662</v>
      </c>
      <c r="L567" s="5">
        <v>0.3576388888888889</v>
      </c>
      <c r="M567" s="4" t="s">
        <v>782</v>
      </c>
      <c r="N567" s="6" t="s">
        <v>23</v>
      </c>
      <c r="O567" s="4" t="s">
        <v>24</v>
      </c>
    </row>
    <row r="568" spans="1:15" x14ac:dyDescent="0.25">
      <c r="A568" s="4" t="s">
        <v>15</v>
      </c>
      <c r="B568" s="4" t="str">
        <f>"FES1162749829"</f>
        <v>FES1162749829</v>
      </c>
      <c r="C568" s="4" t="s">
        <v>556</v>
      </c>
      <c r="D568" s="4">
        <v>0</v>
      </c>
      <c r="E568" s="4" t="str">
        <f>"2170739385"</f>
        <v>2170739385</v>
      </c>
      <c r="F568" s="4" t="s">
        <v>17</v>
      </c>
      <c r="G568" s="4" t="s">
        <v>18</v>
      </c>
      <c r="H568" s="4" t="s">
        <v>18</v>
      </c>
      <c r="I568" s="4" t="s">
        <v>19</v>
      </c>
      <c r="J568" s="4" t="s">
        <v>270</v>
      </c>
      <c r="K568" s="4" t="s">
        <v>662</v>
      </c>
      <c r="L568" s="5">
        <v>0.34027777777777773</v>
      </c>
      <c r="M568" s="4" t="s">
        <v>932</v>
      </c>
      <c r="N568" s="6" t="s">
        <v>23</v>
      </c>
      <c r="O568" s="4" t="s">
        <v>24</v>
      </c>
    </row>
    <row r="569" spans="1:15" x14ac:dyDescent="0.25">
      <c r="A569" s="4" t="s">
        <v>15</v>
      </c>
      <c r="B569" s="4" t="str">
        <f>"FES1162749793"</f>
        <v>FES1162749793</v>
      </c>
      <c r="C569" s="4" t="s">
        <v>556</v>
      </c>
      <c r="D569" s="4">
        <v>0</v>
      </c>
      <c r="E569" s="4" t="str">
        <f>"2170740180"</f>
        <v>2170740180</v>
      </c>
      <c r="F569" s="4" t="s">
        <v>17</v>
      </c>
      <c r="G569" s="4" t="s">
        <v>18</v>
      </c>
      <c r="H569" s="4" t="s">
        <v>18</v>
      </c>
      <c r="I569" s="4" t="s">
        <v>147</v>
      </c>
      <c r="J569" s="4" t="s">
        <v>783</v>
      </c>
      <c r="K569" s="4" t="s">
        <v>662</v>
      </c>
      <c r="L569" s="5">
        <v>0.33333333333333331</v>
      </c>
      <c r="M569" s="4" t="s">
        <v>128</v>
      </c>
      <c r="N569" s="6" t="s">
        <v>23</v>
      </c>
      <c r="O569" s="4" t="s">
        <v>24</v>
      </c>
    </row>
    <row r="570" spans="1:15" x14ac:dyDescent="0.25">
      <c r="A570" s="4" t="s">
        <v>15</v>
      </c>
      <c r="B570" s="4" t="str">
        <f>"FES1162749782"</f>
        <v>FES1162749782</v>
      </c>
      <c r="C570" s="4" t="s">
        <v>556</v>
      </c>
      <c r="D570" s="4">
        <v>0</v>
      </c>
      <c r="E570" s="4" t="str">
        <f>"2170739147"</f>
        <v>2170739147</v>
      </c>
      <c r="F570" s="4" t="s">
        <v>17</v>
      </c>
      <c r="G570" s="4" t="s">
        <v>18</v>
      </c>
      <c r="H570" s="4" t="s">
        <v>18</v>
      </c>
      <c r="I570" s="4" t="s">
        <v>29</v>
      </c>
      <c r="J570" s="4" t="s">
        <v>348</v>
      </c>
      <c r="K570" s="4" t="s">
        <v>662</v>
      </c>
      <c r="L570" s="5">
        <v>0.40972222222222227</v>
      </c>
      <c r="M570" s="4" t="s">
        <v>941</v>
      </c>
      <c r="N570" s="6" t="s">
        <v>23</v>
      </c>
      <c r="O570" s="4" t="s">
        <v>24</v>
      </c>
    </row>
    <row r="571" spans="1:15" x14ac:dyDescent="0.25">
      <c r="A571" s="4" t="s">
        <v>15</v>
      </c>
      <c r="B571" s="4" t="str">
        <f>"FES1162749794"</f>
        <v>FES1162749794</v>
      </c>
      <c r="C571" s="4" t="s">
        <v>556</v>
      </c>
      <c r="D571" s="4">
        <v>0</v>
      </c>
      <c r="E571" s="4" t="str">
        <f>"2170740181"</f>
        <v>2170740181</v>
      </c>
      <c r="F571" s="4" t="s">
        <v>17</v>
      </c>
      <c r="G571" s="4" t="s">
        <v>18</v>
      </c>
      <c r="H571" s="4" t="s">
        <v>18</v>
      </c>
      <c r="I571" s="4" t="s">
        <v>97</v>
      </c>
      <c r="J571" s="4" t="s">
        <v>784</v>
      </c>
      <c r="K571" s="4" t="s">
        <v>662</v>
      </c>
      <c r="L571" s="5">
        <v>0.4465277777777778</v>
      </c>
      <c r="M571" s="4" t="s">
        <v>943</v>
      </c>
      <c r="N571" s="6" t="s">
        <v>23</v>
      </c>
      <c r="O571" s="4" t="s">
        <v>24</v>
      </c>
    </row>
    <row r="572" spans="1:15" x14ac:dyDescent="0.25">
      <c r="A572" s="4" t="s">
        <v>15</v>
      </c>
      <c r="B572" s="4" t="str">
        <f>"FES1162749789"</f>
        <v>FES1162749789</v>
      </c>
      <c r="C572" s="4" t="s">
        <v>556</v>
      </c>
      <c r="D572" s="4">
        <v>0</v>
      </c>
      <c r="E572" s="4" t="str">
        <f>"2170740173"</f>
        <v>2170740173</v>
      </c>
      <c r="F572" s="4" t="s">
        <v>17</v>
      </c>
      <c r="G572" s="4" t="s">
        <v>18</v>
      </c>
      <c r="H572" s="4" t="s">
        <v>18</v>
      </c>
      <c r="I572" s="4" t="s">
        <v>19</v>
      </c>
      <c r="J572" s="4" t="s">
        <v>785</v>
      </c>
      <c r="K572" s="4" t="s">
        <v>662</v>
      </c>
      <c r="L572" s="5">
        <v>0.41319444444444442</v>
      </c>
      <c r="M572" s="4" t="s">
        <v>942</v>
      </c>
      <c r="N572" s="6" t="s">
        <v>23</v>
      </c>
      <c r="O572" s="4" t="s">
        <v>24</v>
      </c>
    </row>
    <row r="573" spans="1:15" x14ac:dyDescent="0.25">
      <c r="A573" s="11" t="s">
        <v>15</v>
      </c>
      <c r="B573" s="11" t="str">
        <f>"FES1162749868"</f>
        <v>FES1162749868</v>
      </c>
      <c r="C573" s="11" t="s">
        <v>556</v>
      </c>
      <c r="D573" s="11">
        <v>0</v>
      </c>
      <c r="E573" s="11" t="str">
        <f>"2170738616"</f>
        <v>2170738616</v>
      </c>
      <c r="F573" s="11" t="s">
        <v>17</v>
      </c>
      <c r="G573" s="11" t="s">
        <v>18</v>
      </c>
      <c r="H573" s="11" t="s">
        <v>48</v>
      </c>
      <c r="I573" s="11" t="s">
        <v>49</v>
      </c>
      <c r="J573" s="11" t="s">
        <v>605</v>
      </c>
      <c r="K573" s="11" t="s">
        <v>662</v>
      </c>
      <c r="L573" s="12">
        <v>0.3979166666666667</v>
      </c>
      <c r="M573" s="11" t="s">
        <v>717</v>
      </c>
      <c r="N573" s="13" t="s">
        <v>23</v>
      </c>
      <c r="O573" s="11" t="s">
        <v>24</v>
      </c>
    </row>
    <row r="574" spans="1:15" x14ac:dyDescent="0.25">
      <c r="A574" s="11" t="s">
        <v>15</v>
      </c>
      <c r="B574" s="11" t="str">
        <f>"FES1162749807"</f>
        <v>FES1162749807</v>
      </c>
      <c r="C574" s="11" t="s">
        <v>556</v>
      </c>
      <c r="D574" s="11">
        <v>0</v>
      </c>
      <c r="E574" s="11" t="str">
        <f>"2170740199"</f>
        <v>2170740199</v>
      </c>
      <c r="F574" s="11" t="s">
        <v>17</v>
      </c>
      <c r="G574" s="11" t="s">
        <v>18</v>
      </c>
      <c r="H574" s="11" t="s">
        <v>18</v>
      </c>
      <c r="I574" s="11" t="s">
        <v>97</v>
      </c>
      <c r="J574" s="11" t="s">
        <v>786</v>
      </c>
      <c r="K574" s="11" t="s">
        <v>662</v>
      </c>
      <c r="L574" s="12">
        <v>0.31458333333333333</v>
      </c>
      <c r="M574" s="11" t="s">
        <v>128</v>
      </c>
      <c r="N574" s="13" t="s">
        <v>23</v>
      </c>
      <c r="O574" s="11" t="s">
        <v>24</v>
      </c>
    </row>
    <row r="575" spans="1:15" x14ac:dyDescent="0.25">
      <c r="A575" s="11" t="s">
        <v>15</v>
      </c>
      <c r="B575" s="11" t="str">
        <f>"FES1162749858"</f>
        <v>FES1162749858</v>
      </c>
      <c r="C575" s="11" t="s">
        <v>556</v>
      </c>
      <c r="D575" s="11">
        <v>0</v>
      </c>
      <c r="E575" s="11" t="str">
        <f>"217073850"</f>
        <v>217073850</v>
      </c>
      <c r="F575" s="11" t="s">
        <v>17</v>
      </c>
      <c r="G575" s="11" t="s">
        <v>18</v>
      </c>
      <c r="H575" s="11" t="s">
        <v>18</v>
      </c>
      <c r="I575" s="11" t="s">
        <v>147</v>
      </c>
      <c r="J575" s="11" t="s">
        <v>299</v>
      </c>
      <c r="K575" s="11" t="s">
        <v>662</v>
      </c>
      <c r="L575" s="12">
        <v>0.33333333333333331</v>
      </c>
      <c r="M575" s="11" t="s">
        <v>941</v>
      </c>
      <c r="N575" s="13" t="s">
        <v>23</v>
      </c>
      <c r="O575" s="11" t="s">
        <v>24</v>
      </c>
    </row>
    <row r="576" spans="1:15" x14ac:dyDescent="0.25">
      <c r="A576" s="11" t="s">
        <v>15</v>
      </c>
      <c r="B576" s="11" t="str">
        <f>"FES1162749830"</f>
        <v>FES1162749830</v>
      </c>
      <c r="C576" s="11" t="s">
        <v>556</v>
      </c>
      <c r="D576" s="11">
        <v>0</v>
      </c>
      <c r="E576" s="11" t="str">
        <f>"2170738952"</f>
        <v>2170738952</v>
      </c>
      <c r="F576" s="11" t="s">
        <v>17</v>
      </c>
      <c r="G576" s="11" t="s">
        <v>18</v>
      </c>
      <c r="H576" s="11" t="s">
        <v>18</v>
      </c>
      <c r="I576" s="11" t="s">
        <v>382</v>
      </c>
      <c r="J576" s="11" t="s">
        <v>787</v>
      </c>
      <c r="K576" s="11" t="s">
        <v>662</v>
      </c>
      <c r="L576" s="12">
        <v>0.33333333333333331</v>
      </c>
      <c r="M576" s="11" t="s">
        <v>1433</v>
      </c>
      <c r="N576" s="13" t="s">
        <v>23</v>
      </c>
      <c r="O576" s="11" t="s">
        <v>432</v>
      </c>
    </row>
    <row r="577" spans="1:15" x14ac:dyDescent="0.25">
      <c r="A577" s="11" t="s">
        <v>15</v>
      </c>
      <c r="B577" s="11" t="str">
        <f>"FES1162749880"</f>
        <v>FES1162749880</v>
      </c>
      <c r="C577" s="11" t="s">
        <v>556</v>
      </c>
      <c r="D577" s="11">
        <v>1</v>
      </c>
      <c r="E577" s="11" t="str">
        <f>"2170739824"</f>
        <v>2170739824</v>
      </c>
      <c r="F577" s="11" t="s">
        <v>17</v>
      </c>
      <c r="G577" s="11" t="s">
        <v>18</v>
      </c>
      <c r="H577" s="11" t="s">
        <v>48</v>
      </c>
      <c r="I577" s="11" t="s">
        <v>108</v>
      </c>
      <c r="J577" s="11" t="s">
        <v>109</v>
      </c>
      <c r="K577" s="11" t="s">
        <v>662</v>
      </c>
      <c r="L577" s="12">
        <v>0.38819444444444445</v>
      </c>
      <c r="M577" s="11" t="s">
        <v>740</v>
      </c>
      <c r="N577" s="13" t="s">
        <v>23</v>
      </c>
      <c r="O577" s="11" t="s">
        <v>24</v>
      </c>
    </row>
    <row r="578" spans="1:15" x14ac:dyDescent="0.25">
      <c r="A578" s="11" t="s">
        <v>15</v>
      </c>
      <c r="B578" s="11" t="str">
        <f>"FES1162749877"</f>
        <v>FES1162749877</v>
      </c>
      <c r="C578" s="11" t="s">
        <v>556</v>
      </c>
      <c r="D578" s="11">
        <v>1</v>
      </c>
      <c r="E578" s="11" t="str">
        <f>"2170739507"</f>
        <v>2170739507</v>
      </c>
      <c r="F578" s="11" t="s">
        <v>17</v>
      </c>
      <c r="G578" s="11" t="s">
        <v>18</v>
      </c>
      <c r="H578" s="11" t="s">
        <v>18</v>
      </c>
      <c r="I578" s="11" t="s">
        <v>97</v>
      </c>
      <c r="J578" s="11" t="s">
        <v>632</v>
      </c>
      <c r="K578" s="11" t="s">
        <v>662</v>
      </c>
      <c r="L578" s="12">
        <v>0.4513888888888889</v>
      </c>
      <c r="M578" s="11" t="s">
        <v>936</v>
      </c>
      <c r="N578" s="13" t="s">
        <v>23</v>
      </c>
      <c r="O578" s="11" t="s">
        <v>24</v>
      </c>
    </row>
    <row r="579" spans="1:15" x14ac:dyDescent="0.25">
      <c r="A579" s="11" t="s">
        <v>15</v>
      </c>
      <c r="B579" s="11" t="str">
        <f>"FES1162749792"</f>
        <v>FES1162749792</v>
      </c>
      <c r="C579" s="11" t="s">
        <v>556</v>
      </c>
      <c r="D579" s="11">
        <v>1</v>
      </c>
      <c r="E579" s="11" t="str">
        <f>"2170740179"</f>
        <v>2170740179</v>
      </c>
      <c r="F579" s="11" t="s">
        <v>17</v>
      </c>
      <c r="G579" s="11" t="s">
        <v>18</v>
      </c>
      <c r="H579" s="11" t="s">
        <v>18</v>
      </c>
      <c r="I579" s="11" t="s">
        <v>29</v>
      </c>
      <c r="J579" s="11" t="s">
        <v>302</v>
      </c>
      <c r="K579" s="11" t="s">
        <v>662</v>
      </c>
      <c r="L579" s="12">
        <v>0.41666666666666669</v>
      </c>
      <c r="M579" s="11" t="s">
        <v>466</v>
      </c>
      <c r="N579" s="13" t="s">
        <v>23</v>
      </c>
      <c r="O579" s="11" t="s">
        <v>24</v>
      </c>
    </row>
    <row r="580" spans="1:15" x14ac:dyDescent="0.25">
      <c r="A580" s="11" t="s">
        <v>15</v>
      </c>
      <c r="B580" s="11" t="str">
        <f>"FES1162749848"</f>
        <v>FES1162749848</v>
      </c>
      <c r="C580" s="11" t="s">
        <v>556</v>
      </c>
      <c r="D580" s="11">
        <v>1</v>
      </c>
      <c r="E580" s="11" t="str">
        <f>"2170737071"</f>
        <v>2170737071</v>
      </c>
      <c r="F580" s="11" t="s">
        <v>17</v>
      </c>
      <c r="G580" s="11" t="s">
        <v>18</v>
      </c>
      <c r="H580" s="11" t="s">
        <v>25</v>
      </c>
      <c r="I580" s="11" t="s">
        <v>26</v>
      </c>
      <c r="J580" s="11" t="s">
        <v>414</v>
      </c>
      <c r="K580" s="11" t="s">
        <v>662</v>
      </c>
      <c r="L580" s="12">
        <v>0.42986111111111108</v>
      </c>
      <c r="M580" s="11" t="s">
        <v>940</v>
      </c>
      <c r="N580" s="13" t="s">
        <v>23</v>
      </c>
      <c r="O580" s="11" t="s">
        <v>24</v>
      </c>
    </row>
    <row r="581" spans="1:15" x14ac:dyDescent="0.25">
      <c r="A581" s="11" t="s">
        <v>15</v>
      </c>
      <c r="B581" s="11" t="str">
        <f>"FES1162749851"</f>
        <v>FES1162749851</v>
      </c>
      <c r="C581" s="11" t="s">
        <v>556</v>
      </c>
      <c r="D581" s="11">
        <v>1</v>
      </c>
      <c r="E581" s="11" t="str">
        <f>"2170737854"</f>
        <v>2170737854</v>
      </c>
      <c r="F581" s="11" t="s">
        <v>17</v>
      </c>
      <c r="G581" s="11" t="s">
        <v>18</v>
      </c>
      <c r="H581" s="11" t="s">
        <v>25</v>
      </c>
      <c r="I581" s="11" t="s">
        <v>394</v>
      </c>
      <c r="J581" s="11" t="s">
        <v>395</v>
      </c>
      <c r="K581" s="11" t="s">
        <v>662</v>
      </c>
      <c r="L581" s="12">
        <v>0.42986111111111108</v>
      </c>
      <c r="M581" s="11" t="s">
        <v>1432</v>
      </c>
      <c r="N581" s="13" t="s">
        <v>23</v>
      </c>
      <c r="O581" s="11" t="s">
        <v>24</v>
      </c>
    </row>
    <row r="582" spans="1:15" x14ac:dyDescent="0.25">
      <c r="A582" s="11" t="s">
        <v>15</v>
      </c>
      <c r="B582" s="11" t="str">
        <f>"FES1162749838"</f>
        <v>FES1162749838</v>
      </c>
      <c r="C582" s="11" t="s">
        <v>556</v>
      </c>
      <c r="D582" s="11">
        <v>0</v>
      </c>
      <c r="E582" s="11" t="str">
        <f>"2170739095"</f>
        <v>2170739095</v>
      </c>
      <c r="F582" s="11" t="s">
        <v>17</v>
      </c>
      <c r="G582" s="11" t="s">
        <v>18</v>
      </c>
      <c r="H582" s="11" t="s">
        <v>18</v>
      </c>
      <c r="I582" s="11" t="s">
        <v>29</v>
      </c>
      <c r="J582" s="11" t="s">
        <v>788</v>
      </c>
      <c r="K582" s="11" t="s">
        <v>662</v>
      </c>
      <c r="L582" s="12">
        <v>0.40625</v>
      </c>
      <c r="M582" s="11" t="s">
        <v>939</v>
      </c>
      <c r="N582" s="13" t="s">
        <v>23</v>
      </c>
      <c r="O582" s="11" t="s">
        <v>24</v>
      </c>
    </row>
    <row r="583" spans="1:15" x14ac:dyDescent="0.25">
      <c r="A583" s="11" t="s">
        <v>15</v>
      </c>
      <c r="B583" s="11" t="str">
        <f>"FES1162749798"</f>
        <v>FES1162749798</v>
      </c>
      <c r="C583" s="11" t="s">
        <v>556</v>
      </c>
      <c r="D583" s="11">
        <v>0</v>
      </c>
      <c r="E583" s="11" t="str">
        <f>"2170740186"</f>
        <v>2170740186</v>
      </c>
      <c r="F583" s="11" t="s">
        <v>17</v>
      </c>
      <c r="G583" s="11" t="s">
        <v>18</v>
      </c>
      <c r="H583" s="11" t="s">
        <v>25</v>
      </c>
      <c r="I583" s="11" t="s">
        <v>26</v>
      </c>
      <c r="J583" s="11" t="s">
        <v>411</v>
      </c>
      <c r="K583" s="11" t="s">
        <v>662</v>
      </c>
      <c r="L583" s="12">
        <v>0.42152777777777778</v>
      </c>
      <c r="M583" s="11" t="s">
        <v>539</v>
      </c>
      <c r="N583" s="13" t="s">
        <v>23</v>
      </c>
      <c r="O583" s="11" t="s">
        <v>24</v>
      </c>
    </row>
    <row r="584" spans="1:15" x14ac:dyDescent="0.25">
      <c r="A584" s="11" t="s">
        <v>15</v>
      </c>
      <c r="B584" s="11" t="str">
        <f>"FES1162749832"</f>
        <v>FES1162749832</v>
      </c>
      <c r="C584" s="11" t="s">
        <v>556</v>
      </c>
      <c r="D584" s="11">
        <v>0</v>
      </c>
      <c r="E584" s="11" t="str">
        <f>"2170738969"</f>
        <v>2170738969</v>
      </c>
      <c r="F584" s="11" t="s">
        <v>17</v>
      </c>
      <c r="G584" s="11" t="s">
        <v>18</v>
      </c>
      <c r="H584" s="11" t="s">
        <v>25</v>
      </c>
      <c r="I584" s="11" t="s">
        <v>83</v>
      </c>
      <c r="J584" s="11" t="s">
        <v>84</v>
      </c>
      <c r="K584" s="11" t="s">
        <v>662</v>
      </c>
      <c r="L584" s="11" t="s">
        <v>938</v>
      </c>
      <c r="M584" s="11" t="s">
        <v>698</v>
      </c>
      <c r="N584" s="13" t="s">
        <v>23</v>
      </c>
      <c r="O584" s="11" t="s">
        <v>24</v>
      </c>
    </row>
    <row r="585" spans="1:15" x14ac:dyDescent="0.25">
      <c r="A585" s="11" t="s">
        <v>15</v>
      </c>
      <c r="B585" s="11" t="str">
        <f>"FES1162749893"</f>
        <v>FES1162749893</v>
      </c>
      <c r="C585" s="11" t="s">
        <v>556</v>
      </c>
      <c r="D585" s="11">
        <v>0</v>
      </c>
      <c r="E585" s="11" t="str">
        <f>"2170732988"</f>
        <v>2170732988</v>
      </c>
      <c r="F585" s="11" t="s">
        <v>17</v>
      </c>
      <c r="G585" s="11" t="s">
        <v>18</v>
      </c>
      <c r="H585" s="11" t="s">
        <v>25</v>
      </c>
      <c r="I585" s="11" t="s">
        <v>26</v>
      </c>
      <c r="J585" s="11" t="s">
        <v>763</v>
      </c>
      <c r="K585" s="11" t="s">
        <v>662</v>
      </c>
      <c r="L585" s="12">
        <v>0.38194444444444442</v>
      </c>
      <c r="M585" s="11" t="s">
        <v>764</v>
      </c>
      <c r="N585" s="13" t="s">
        <v>23</v>
      </c>
      <c r="O585" s="11" t="s">
        <v>24</v>
      </c>
    </row>
    <row r="586" spans="1:15" x14ac:dyDescent="0.25">
      <c r="A586" s="11" t="s">
        <v>15</v>
      </c>
      <c r="B586" s="11" t="str">
        <f>"FES1162749896"</f>
        <v>FES1162749896</v>
      </c>
      <c r="C586" s="11" t="s">
        <v>556</v>
      </c>
      <c r="D586" s="11">
        <v>0</v>
      </c>
      <c r="E586" s="11" t="str">
        <f>"2170740238"</f>
        <v>2170740238</v>
      </c>
      <c r="F586" s="11" t="s">
        <v>17</v>
      </c>
      <c r="G586" s="11" t="s">
        <v>18</v>
      </c>
      <c r="H586" s="11" t="s">
        <v>25</v>
      </c>
      <c r="I586" s="11" t="s">
        <v>26</v>
      </c>
      <c r="J586" s="11" t="s">
        <v>202</v>
      </c>
      <c r="K586" s="11" t="s">
        <v>662</v>
      </c>
      <c r="L586" s="12">
        <v>0.39583333333333331</v>
      </c>
      <c r="M586" s="11" t="s">
        <v>203</v>
      </c>
      <c r="N586" s="13" t="s">
        <v>23</v>
      </c>
      <c r="O586" s="11" t="s">
        <v>24</v>
      </c>
    </row>
    <row r="587" spans="1:15" x14ac:dyDescent="0.25">
      <c r="A587" s="4" t="s">
        <v>15</v>
      </c>
      <c r="B587" s="4" t="str">
        <f>"FES1162749797"</f>
        <v>FES1162749797</v>
      </c>
      <c r="C587" s="4" t="s">
        <v>556</v>
      </c>
      <c r="D587" s="4">
        <v>0</v>
      </c>
      <c r="E587" s="4" t="str">
        <f>"2170740184"</f>
        <v>2170740184</v>
      </c>
      <c r="F587" s="4" t="s">
        <v>17</v>
      </c>
      <c r="G587" s="4" t="s">
        <v>18</v>
      </c>
      <c r="H587" s="4" t="s">
        <v>25</v>
      </c>
      <c r="I587" s="4" t="s">
        <v>92</v>
      </c>
      <c r="J587" s="4" t="s">
        <v>781</v>
      </c>
      <c r="K587" s="4" t="s">
        <v>662</v>
      </c>
      <c r="L587" s="5">
        <v>0.35069444444444442</v>
      </c>
      <c r="M587" s="4" t="s">
        <v>789</v>
      </c>
      <c r="N587" s="6" t="s">
        <v>23</v>
      </c>
      <c r="O587" s="4" t="s">
        <v>24</v>
      </c>
    </row>
    <row r="588" spans="1:15" x14ac:dyDescent="0.25">
      <c r="A588" s="4" t="s">
        <v>15</v>
      </c>
      <c r="B588" s="4" t="str">
        <f>"FES1162749816"</f>
        <v>FES1162749816</v>
      </c>
      <c r="C588" s="4" t="s">
        <v>556</v>
      </c>
      <c r="D588" s="4">
        <v>0</v>
      </c>
      <c r="E588" s="4" t="str">
        <f>"2170740209"</f>
        <v>2170740209</v>
      </c>
      <c r="F588" s="4" t="s">
        <v>17</v>
      </c>
      <c r="G588" s="4" t="s">
        <v>18</v>
      </c>
      <c r="H588" s="4" t="s">
        <v>25</v>
      </c>
      <c r="I588" s="4" t="s">
        <v>26</v>
      </c>
      <c r="J588" s="4" t="s">
        <v>283</v>
      </c>
      <c r="K588" s="4" t="s">
        <v>662</v>
      </c>
      <c r="L588" s="5">
        <v>0.41388888888888892</v>
      </c>
      <c r="M588" s="4" t="s">
        <v>937</v>
      </c>
      <c r="N588" s="6" t="s">
        <v>23</v>
      </c>
      <c r="O588" s="4" t="s">
        <v>24</v>
      </c>
    </row>
    <row r="589" spans="1:15" x14ac:dyDescent="0.25">
      <c r="A589" s="4" t="s">
        <v>15</v>
      </c>
      <c r="B589" s="4" t="str">
        <f>"FES1162749836"</f>
        <v>FES1162749836</v>
      </c>
      <c r="C589" s="4" t="s">
        <v>556</v>
      </c>
      <c r="D589" s="4">
        <v>0</v>
      </c>
      <c r="E589" s="4" t="str">
        <f>"21707390638"</f>
        <v>21707390638</v>
      </c>
      <c r="F589" s="4" t="s">
        <v>17</v>
      </c>
      <c r="G589" s="4" t="s">
        <v>18</v>
      </c>
      <c r="H589" s="4" t="s">
        <v>48</v>
      </c>
      <c r="I589" s="4" t="s">
        <v>49</v>
      </c>
      <c r="J589" s="4" t="s">
        <v>790</v>
      </c>
      <c r="K589" s="4" t="s">
        <v>662</v>
      </c>
      <c r="L589" s="5">
        <v>0.37361111111111112</v>
      </c>
      <c r="M589" s="4" t="s">
        <v>791</v>
      </c>
      <c r="N589" s="6" t="s">
        <v>23</v>
      </c>
      <c r="O589" s="4" t="s">
        <v>24</v>
      </c>
    </row>
    <row r="590" spans="1:15" x14ac:dyDescent="0.25">
      <c r="A590" s="4" t="s">
        <v>15</v>
      </c>
      <c r="B590" s="4" t="str">
        <f>"FES1162749885"</f>
        <v>FES1162749885</v>
      </c>
      <c r="C590" s="4" t="s">
        <v>556</v>
      </c>
      <c r="D590" s="4">
        <v>2</v>
      </c>
      <c r="E590" s="4" t="str">
        <f>"2170738304"</f>
        <v>2170738304</v>
      </c>
      <c r="F590" s="4" t="s">
        <v>17</v>
      </c>
      <c r="G590" s="4" t="s">
        <v>18</v>
      </c>
      <c r="H590" s="4" t="s">
        <v>18</v>
      </c>
      <c r="I590" s="4" t="s">
        <v>29</v>
      </c>
      <c r="J590" s="4" t="s">
        <v>591</v>
      </c>
      <c r="K590" s="4" t="s">
        <v>662</v>
      </c>
      <c r="L590" s="5">
        <v>0.3520833333333333</v>
      </c>
      <c r="M590" s="4" t="s">
        <v>696</v>
      </c>
      <c r="N590" s="6" t="s">
        <v>23</v>
      </c>
      <c r="O590" s="4" t="s">
        <v>24</v>
      </c>
    </row>
    <row r="591" spans="1:15" x14ac:dyDescent="0.25">
      <c r="A591" s="4" t="s">
        <v>15</v>
      </c>
      <c r="B591" s="4" t="str">
        <f>"FES1162749875"</f>
        <v>FES1162749875</v>
      </c>
      <c r="C591" s="4" t="s">
        <v>556</v>
      </c>
      <c r="D591" s="4">
        <v>0</v>
      </c>
      <c r="E591" s="4" t="str">
        <f>"2170738883"</f>
        <v>2170738883</v>
      </c>
      <c r="F591" s="4" t="s">
        <v>17</v>
      </c>
      <c r="G591" s="4" t="s">
        <v>18</v>
      </c>
      <c r="H591" s="4" t="s">
        <v>18</v>
      </c>
      <c r="I591" s="4" t="s">
        <v>97</v>
      </c>
      <c r="J591" s="4" t="s">
        <v>632</v>
      </c>
      <c r="K591" s="4" t="s">
        <v>662</v>
      </c>
      <c r="L591" s="5">
        <v>0.4513888888888889</v>
      </c>
      <c r="M591" s="4" t="s">
        <v>936</v>
      </c>
      <c r="N591" s="6" t="s">
        <v>23</v>
      </c>
      <c r="O591" s="4" t="s">
        <v>24</v>
      </c>
    </row>
    <row r="592" spans="1:15" x14ac:dyDescent="0.25">
      <c r="A592" s="4" t="s">
        <v>15</v>
      </c>
      <c r="B592" s="4" t="str">
        <f>"FES1162749814"</f>
        <v>FES1162749814</v>
      </c>
      <c r="C592" s="4" t="s">
        <v>556</v>
      </c>
      <c r="D592" s="4">
        <v>0</v>
      </c>
      <c r="E592" s="4" t="str">
        <f>"2170740063"</f>
        <v>2170740063</v>
      </c>
      <c r="F592" s="4" t="s">
        <v>17</v>
      </c>
      <c r="G592" s="4" t="s">
        <v>18</v>
      </c>
      <c r="H592" s="4" t="s">
        <v>18</v>
      </c>
      <c r="I592" s="4" t="s">
        <v>19</v>
      </c>
      <c r="J592" s="4" t="s">
        <v>381</v>
      </c>
      <c r="K592" s="4" t="s">
        <v>662</v>
      </c>
      <c r="L592" s="5">
        <v>0.39305555555555555</v>
      </c>
      <c r="M592" s="4" t="s">
        <v>128</v>
      </c>
      <c r="N592" s="6" t="s">
        <v>23</v>
      </c>
      <c r="O592" s="4" t="s">
        <v>24</v>
      </c>
    </row>
    <row r="593" spans="1:15" x14ac:dyDescent="0.25">
      <c r="A593" s="4" t="s">
        <v>15</v>
      </c>
      <c r="B593" s="4" t="str">
        <f>"FES1162749815"</f>
        <v>FES1162749815</v>
      </c>
      <c r="C593" s="4" t="s">
        <v>556</v>
      </c>
      <c r="D593" s="4">
        <v>1</v>
      </c>
      <c r="E593" s="4" t="str">
        <f>"2170740208"</f>
        <v>2170740208</v>
      </c>
      <c r="F593" s="4" t="s">
        <v>17</v>
      </c>
      <c r="G593" s="4" t="s">
        <v>18</v>
      </c>
      <c r="H593" s="4" t="s">
        <v>18</v>
      </c>
      <c r="I593" s="4" t="s">
        <v>29</v>
      </c>
      <c r="J593" s="4" t="s">
        <v>302</v>
      </c>
      <c r="K593" s="4" t="s">
        <v>662</v>
      </c>
      <c r="L593" s="5">
        <v>0.4236111111111111</v>
      </c>
      <c r="M593" s="4" t="s">
        <v>462</v>
      </c>
      <c r="N593" s="6" t="s">
        <v>23</v>
      </c>
      <c r="O593" s="4" t="s">
        <v>24</v>
      </c>
    </row>
    <row r="594" spans="1:15" x14ac:dyDescent="0.25">
      <c r="A594" s="4" t="s">
        <v>15</v>
      </c>
      <c r="B594" s="4" t="str">
        <f>"FES1162749842"</f>
        <v>FES1162749842</v>
      </c>
      <c r="C594" s="4" t="s">
        <v>556</v>
      </c>
      <c r="D594" s="4">
        <v>0</v>
      </c>
      <c r="E594" s="4" t="str">
        <f>"2170739495"</f>
        <v>2170739495</v>
      </c>
      <c r="F594" s="4" t="s">
        <v>17</v>
      </c>
      <c r="G594" s="4" t="s">
        <v>18</v>
      </c>
      <c r="H594" s="4" t="s">
        <v>18</v>
      </c>
      <c r="I594" s="4" t="s">
        <v>19</v>
      </c>
      <c r="J594" s="4" t="s">
        <v>792</v>
      </c>
      <c r="K594" s="4" t="s">
        <v>662</v>
      </c>
      <c r="L594" s="5">
        <v>0.33333333333333331</v>
      </c>
      <c r="M594" s="4" t="s">
        <v>935</v>
      </c>
      <c r="N594" s="6" t="s">
        <v>23</v>
      </c>
      <c r="O594" s="4" t="s">
        <v>24</v>
      </c>
    </row>
    <row r="595" spans="1:15" x14ac:dyDescent="0.25">
      <c r="A595" s="4" t="s">
        <v>15</v>
      </c>
      <c r="B595" s="4" t="str">
        <f>"FES1162749884"</f>
        <v>FES1162749884</v>
      </c>
      <c r="C595" s="4" t="s">
        <v>556</v>
      </c>
      <c r="D595" s="4">
        <v>1</v>
      </c>
      <c r="E595" s="4" t="str">
        <f>"2170740234"</f>
        <v>2170740234</v>
      </c>
      <c r="F595" s="4" t="s">
        <v>17</v>
      </c>
      <c r="G595" s="4" t="s">
        <v>18</v>
      </c>
      <c r="H595" s="4" t="s">
        <v>25</v>
      </c>
      <c r="I595" s="4" t="s">
        <v>92</v>
      </c>
      <c r="J595" s="4" t="s">
        <v>93</v>
      </c>
      <c r="K595" s="4" t="s">
        <v>662</v>
      </c>
      <c r="L595" s="5">
        <v>0.35069444444444442</v>
      </c>
      <c r="M595" s="4" t="s">
        <v>793</v>
      </c>
      <c r="N595" s="6" t="s">
        <v>23</v>
      </c>
      <c r="O595" s="4" t="s">
        <v>24</v>
      </c>
    </row>
    <row r="596" spans="1:15" x14ac:dyDescent="0.25">
      <c r="A596" s="4" t="s">
        <v>15</v>
      </c>
      <c r="B596" s="4" t="str">
        <f>"FES1162749825"</f>
        <v>FES1162749825</v>
      </c>
      <c r="C596" s="4" t="s">
        <v>556</v>
      </c>
      <c r="D596" s="4">
        <v>1</v>
      </c>
      <c r="E596" s="4" t="str">
        <f>"2170738062"</f>
        <v>2170738062</v>
      </c>
      <c r="F596" s="4" t="s">
        <v>17</v>
      </c>
      <c r="G596" s="4" t="s">
        <v>18</v>
      </c>
      <c r="H596" s="4" t="s">
        <v>25</v>
      </c>
      <c r="I596" s="4" t="s">
        <v>281</v>
      </c>
      <c r="J596" s="4" t="s">
        <v>624</v>
      </c>
      <c r="K596" s="4" t="s">
        <v>662</v>
      </c>
      <c r="L596" s="5">
        <v>0.3840277777777778</v>
      </c>
      <c r="M596" s="4" t="s">
        <v>737</v>
      </c>
      <c r="N596" s="6" t="s">
        <v>23</v>
      </c>
      <c r="O596" s="4" t="s">
        <v>24</v>
      </c>
    </row>
    <row r="597" spans="1:15" x14ac:dyDescent="0.25">
      <c r="A597" s="4" t="s">
        <v>15</v>
      </c>
      <c r="B597" s="4" t="str">
        <f>"FES1162749882"</f>
        <v>FES1162749882</v>
      </c>
      <c r="C597" s="4" t="s">
        <v>556</v>
      </c>
      <c r="D597" s="4">
        <v>1</v>
      </c>
      <c r="E597" s="4" t="str">
        <f>"2170740023"</f>
        <v>2170740023</v>
      </c>
      <c r="F597" s="4" t="s">
        <v>17</v>
      </c>
      <c r="G597" s="4" t="s">
        <v>18</v>
      </c>
      <c r="H597" s="4" t="s">
        <v>25</v>
      </c>
      <c r="I597" s="4" t="s">
        <v>26</v>
      </c>
      <c r="J597" s="4" t="s">
        <v>416</v>
      </c>
      <c r="K597" s="4" t="s">
        <v>662</v>
      </c>
      <c r="L597" s="5">
        <v>0.3743055555555555</v>
      </c>
      <c r="M597" s="4" t="s">
        <v>794</v>
      </c>
      <c r="N597" s="6" t="s">
        <v>23</v>
      </c>
      <c r="O597" s="4" t="s">
        <v>24</v>
      </c>
    </row>
    <row r="598" spans="1:15" x14ac:dyDescent="0.25">
      <c r="A598" s="4" t="s">
        <v>15</v>
      </c>
      <c r="B598" s="4" t="str">
        <f>"FES1162749871"</f>
        <v>FES1162749871</v>
      </c>
      <c r="C598" s="4" t="s">
        <v>556</v>
      </c>
      <c r="D598" s="4">
        <v>1</v>
      </c>
      <c r="E598" s="4" t="str">
        <f>"2170738729"</f>
        <v>2170738729</v>
      </c>
      <c r="F598" s="4" t="s">
        <v>17</v>
      </c>
      <c r="G598" s="4" t="s">
        <v>18</v>
      </c>
      <c r="H598" s="4" t="s">
        <v>48</v>
      </c>
      <c r="I598" s="4" t="s">
        <v>49</v>
      </c>
      <c r="J598" s="4" t="s">
        <v>605</v>
      </c>
      <c r="K598" s="4" t="s">
        <v>662</v>
      </c>
      <c r="L598" s="5">
        <v>0.3979166666666667</v>
      </c>
      <c r="M598" s="4" t="s">
        <v>717</v>
      </c>
      <c r="N598" s="6" t="s">
        <v>23</v>
      </c>
      <c r="O598" s="4" t="s">
        <v>24</v>
      </c>
    </row>
    <row r="599" spans="1:15" x14ac:dyDescent="0.25">
      <c r="A599" s="4" t="s">
        <v>15</v>
      </c>
      <c r="B599" s="4" t="str">
        <f>"FES1162749820"</f>
        <v>FES1162749820</v>
      </c>
      <c r="C599" s="4" t="s">
        <v>556</v>
      </c>
      <c r="D599" s="4">
        <v>1</v>
      </c>
      <c r="E599" s="4" t="str">
        <f>"2170740219"</f>
        <v>2170740219</v>
      </c>
      <c r="F599" s="4" t="s">
        <v>135</v>
      </c>
      <c r="G599" s="4" t="s">
        <v>18</v>
      </c>
      <c r="H599" s="4" t="s">
        <v>48</v>
      </c>
      <c r="I599" s="4" t="s">
        <v>108</v>
      </c>
      <c r="J599" s="4" t="s">
        <v>109</v>
      </c>
      <c r="K599" s="4" t="s">
        <v>662</v>
      </c>
      <c r="L599" s="5">
        <v>0.3979166666666667</v>
      </c>
      <c r="M599" s="4" t="s">
        <v>967</v>
      </c>
      <c r="N599" s="6" t="s">
        <v>23</v>
      </c>
      <c r="O599" s="4" t="s">
        <v>166</v>
      </c>
    </row>
    <row r="600" spans="1:15" x14ac:dyDescent="0.25">
      <c r="A600" s="4" t="s">
        <v>15</v>
      </c>
      <c r="B600" s="4" t="str">
        <f>"FES1162749784"</f>
        <v>FES1162749784</v>
      </c>
      <c r="C600" s="4" t="s">
        <v>556</v>
      </c>
      <c r="D600" s="4">
        <v>1</v>
      </c>
      <c r="E600" s="4" t="str">
        <f>"2170739791"</f>
        <v>2170739791</v>
      </c>
      <c r="F600" s="4" t="s">
        <v>17</v>
      </c>
      <c r="G600" s="4" t="s">
        <v>18</v>
      </c>
      <c r="H600" s="4" t="s">
        <v>48</v>
      </c>
      <c r="I600" s="4" t="s">
        <v>73</v>
      </c>
      <c r="J600" s="4" t="s">
        <v>247</v>
      </c>
      <c r="K600" s="4" t="s">
        <v>662</v>
      </c>
      <c r="L600" s="5">
        <v>0.5756944444444444</v>
      </c>
      <c r="M600" s="4" t="s">
        <v>934</v>
      </c>
      <c r="N600" s="6" t="s">
        <v>23</v>
      </c>
      <c r="O600" s="4" t="s">
        <v>24</v>
      </c>
    </row>
    <row r="601" spans="1:15" x14ac:dyDescent="0.25">
      <c r="A601" s="4" t="s">
        <v>15</v>
      </c>
      <c r="B601" s="4" t="str">
        <f>"FES1162749864"</f>
        <v>FES1162749864</v>
      </c>
      <c r="C601" s="4" t="s">
        <v>556</v>
      </c>
      <c r="D601" s="4">
        <v>1</v>
      </c>
      <c r="E601" s="4" t="str">
        <f>"2170738602"</f>
        <v>2170738602</v>
      </c>
      <c r="F601" s="4" t="s">
        <v>17</v>
      </c>
      <c r="G601" s="4" t="s">
        <v>18</v>
      </c>
      <c r="H601" s="4" t="s">
        <v>48</v>
      </c>
      <c r="I601" s="4" t="s">
        <v>366</v>
      </c>
      <c r="J601" s="4" t="s">
        <v>795</v>
      </c>
      <c r="K601" s="4" t="s">
        <v>662</v>
      </c>
      <c r="L601" s="5">
        <v>0.5756944444444444</v>
      </c>
      <c r="M601" s="4" t="s">
        <v>966</v>
      </c>
      <c r="N601" s="6" t="s">
        <v>23</v>
      </c>
      <c r="O601" s="4" t="s">
        <v>24</v>
      </c>
    </row>
    <row r="602" spans="1:15" x14ac:dyDescent="0.25">
      <c r="A602" s="4" t="s">
        <v>15</v>
      </c>
      <c r="B602" s="4" t="str">
        <f>"FES1162749796"</f>
        <v>FES1162749796</v>
      </c>
      <c r="C602" s="4" t="s">
        <v>556</v>
      </c>
      <c r="D602" s="4">
        <v>0</v>
      </c>
      <c r="E602" s="4" t="str">
        <f>"2170740183"</f>
        <v>2170740183</v>
      </c>
      <c r="F602" s="4" t="s">
        <v>17</v>
      </c>
      <c r="G602" s="4" t="s">
        <v>18</v>
      </c>
      <c r="H602" s="4" t="s">
        <v>18</v>
      </c>
      <c r="I602" s="4" t="s">
        <v>97</v>
      </c>
      <c r="J602" s="4" t="s">
        <v>796</v>
      </c>
      <c r="K602" s="4" t="s">
        <v>662</v>
      </c>
      <c r="L602" s="5">
        <v>0.33680555555555558</v>
      </c>
      <c r="M602" s="4" t="s">
        <v>933</v>
      </c>
      <c r="N602" s="6" t="s">
        <v>23</v>
      </c>
      <c r="O602" s="4" t="s">
        <v>24</v>
      </c>
    </row>
    <row r="603" spans="1:15" x14ac:dyDescent="0.25">
      <c r="A603" s="4" t="s">
        <v>15</v>
      </c>
      <c r="B603" s="4" t="str">
        <f>"FES1162749780"</f>
        <v>FES1162749780</v>
      </c>
      <c r="C603" s="4" t="s">
        <v>556</v>
      </c>
      <c r="D603" s="4">
        <v>0</v>
      </c>
      <c r="E603" s="4" t="str">
        <f>"21707390959"</f>
        <v>21707390959</v>
      </c>
      <c r="F603" s="4" t="s">
        <v>17</v>
      </c>
      <c r="G603" s="4" t="s">
        <v>18</v>
      </c>
      <c r="H603" s="4" t="s">
        <v>18</v>
      </c>
      <c r="I603" s="4" t="s">
        <v>29</v>
      </c>
      <c r="J603" s="4" t="s">
        <v>788</v>
      </c>
      <c r="K603" s="4" t="s">
        <v>662</v>
      </c>
      <c r="L603" s="5">
        <v>0.40625</v>
      </c>
      <c r="M603" s="4" t="s">
        <v>912</v>
      </c>
      <c r="N603" s="6" t="s">
        <v>23</v>
      </c>
      <c r="O603" s="4" t="s">
        <v>24</v>
      </c>
    </row>
    <row r="604" spans="1:15" x14ac:dyDescent="0.25">
      <c r="A604" s="4" t="s">
        <v>15</v>
      </c>
      <c r="B604" s="4" t="str">
        <f>"FES1162749878"</f>
        <v>FES1162749878</v>
      </c>
      <c r="C604" s="4" t="s">
        <v>556</v>
      </c>
      <c r="D604" s="4">
        <v>0</v>
      </c>
      <c r="E604" s="4" t="str">
        <f>"2170739784"</f>
        <v>2170739784</v>
      </c>
      <c r="F604" s="4" t="s">
        <v>17</v>
      </c>
      <c r="G604" s="4" t="s">
        <v>18</v>
      </c>
      <c r="H604" s="4" t="s">
        <v>18</v>
      </c>
      <c r="I604" s="4" t="s">
        <v>19</v>
      </c>
      <c r="J604" s="4" t="s">
        <v>250</v>
      </c>
      <c r="K604" s="4" t="s">
        <v>662</v>
      </c>
      <c r="L604" s="5">
        <v>0.33333333333333331</v>
      </c>
      <c r="M604" s="4" t="s">
        <v>170</v>
      </c>
      <c r="N604" s="6" t="s">
        <v>23</v>
      </c>
      <c r="O604" s="4" t="s">
        <v>24</v>
      </c>
    </row>
    <row r="605" spans="1:15" x14ac:dyDescent="0.25">
      <c r="A605" s="4" t="s">
        <v>15</v>
      </c>
      <c r="B605" s="4" t="str">
        <f>"FES1162749853"</f>
        <v>FES1162749853</v>
      </c>
      <c r="C605" s="4" t="s">
        <v>556</v>
      </c>
      <c r="D605" s="4">
        <v>0</v>
      </c>
      <c r="E605" s="4" t="str">
        <f>"2170738641"</f>
        <v>2170738641</v>
      </c>
      <c r="F605" s="4" t="s">
        <v>17</v>
      </c>
      <c r="G605" s="4" t="s">
        <v>18</v>
      </c>
      <c r="H605" s="4" t="s">
        <v>18</v>
      </c>
      <c r="I605" s="4" t="s">
        <v>19</v>
      </c>
      <c r="J605" s="4" t="s">
        <v>270</v>
      </c>
      <c r="K605" s="4" t="s">
        <v>662</v>
      </c>
      <c r="L605" s="5">
        <v>0.33958333333333335</v>
      </c>
      <c r="M605" s="4" t="s">
        <v>932</v>
      </c>
      <c r="N605" s="6" t="s">
        <v>23</v>
      </c>
      <c r="O605" s="4" t="s">
        <v>24</v>
      </c>
    </row>
    <row r="606" spans="1:15" x14ac:dyDescent="0.25">
      <c r="A606" s="4" t="s">
        <v>15</v>
      </c>
      <c r="B606" s="4" t="str">
        <f>"FES1162749883"</f>
        <v>FES1162749883</v>
      </c>
      <c r="C606" s="4" t="s">
        <v>556</v>
      </c>
      <c r="D606" s="4">
        <v>0</v>
      </c>
      <c r="E606" s="4" t="str">
        <f>"2170740180"</f>
        <v>2170740180</v>
      </c>
      <c r="F606" s="4" t="s">
        <v>17</v>
      </c>
      <c r="G606" s="4" t="s">
        <v>18</v>
      </c>
      <c r="H606" s="4" t="s">
        <v>18</v>
      </c>
      <c r="I606" s="4" t="s">
        <v>147</v>
      </c>
      <c r="J606" s="4" t="s">
        <v>783</v>
      </c>
      <c r="K606" s="4" t="s">
        <v>662</v>
      </c>
      <c r="L606" s="5">
        <v>0.33333333333333331</v>
      </c>
      <c r="M606" s="4" t="s">
        <v>931</v>
      </c>
      <c r="N606" s="6" t="s">
        <v>23</v>
      </c>
      <c r="O606" s="4" t="s">
        <v>24</v>
      </c>
    </row>
    <row r="607" spans="1:15" x14ac:dyDescent="0.25">
      <c r="A607" s="4" t="s">
        <v>15</v>
      </c>
      <c r="B607" s="4" t="str">
        <f>"FES1162749808"</f>
        <v>FES1162749808</v>
      </c>
      <c r="C607" s="4" t="s">
        <v>556</v>
      </c>
      <c r="D607" s="4">
        <v>1</v>
      </c>
      <c r="E607" s="4" t="str">
        <f>"2170740176"</f>
        <v>2170740176</v>
      </c>
      <c r="F607" s="4" t="s">
        <v>17</v>
      </c>
      <c r="G607" s="4" t="s">
        <v>18</v>
      </c>
      <c r="H607" s="4" t="s">
        <v>18</v>
      </c>
      <c r="I607" s="4" t="s">
        <v>19</v>
      </c>
      <c r="J607" s="4" t="s">
        <v>176</v>
      </c>
      <c r="K607" s="4" t="s">
        <v>662</v>
      </c>
      <c r="L607" s="5">
        <v>0.4368055555555555</v>
      </c>
      <c r="M607" s="4" t="s">
        <v>930</v>
      </c>
      <c r="N607" s="6" t="s">
        <v>23</v>
      </c>
      <c r="O607" s="4" t="s">
        <v>24</v>
      </c>
    </row>
    <row r="608" spans="1:15" x14ac:dyDescent="0.25">
      <c r="A608" s="4" t="s">
        <v>15</v>
      </c>
      <c r="B608" s="4" t="str">
        <f>"FES1162749886"</f>
        <v>FES1162749886</v>
      </c>
      <c r="C608" s="4" t="s">
        <v>556</v>
      </c>
      <c r="D608" s="4">
        <v>1</v>
      </c>
      <c r="E608" s="4" t="str">
        <f>"2170737986"</f>
        <v>2170737986</v>
      </c>
      <c r="F608" s="4" t="s">
        <v>17</v>
      </c>
      <c r="G608" s="4" t="s">
        <v>18</v>
      </c>
      <c r="H608" s="4" t="s">
        <v>32</v>
      </c>
      <c r="I608" s="4" t="s">
        <v>33</v>
      </c>
      <c r="J608" s="4" t="s">
        <v>797</v>
      </c>
      <c r="K608" s="4" t="s">
        <v>662</v>
      </c>
      <c r="L608" s="5">
        <v>0.39583333333333331</v>
      </c>
      <c r="M608" s="4" t="s">
        <v>65</v>
      </c>
      <c r="N608" s="6" t="s">
        <v>23</v>
      </c>
      <c r="O608" s="4" t="s">
        <v>24</v>
      </c>
    </row>
    <row r="609" spans="1:15" x14ac:dyDescent="0.25">
      <c r="A609" s="10" t="s">
        <v>15</v>
      </c>
      <c r="B609" s="10" t="str">
        <f>"FES1162749891"</f>
        <v>FES1162749891</v>
      </c>
      <c r="C609" s="10" t="s">
        <v>556</v>
      </c>
      <c r="D609" s="10">
        <v>1</v>
      </c>
      <c r="E609" s="10" t="str">
        <f>"2170732496"</f>
        <v>2170732496</v>
      </c>
      <c r="F609" s="10" t="s">
        <v>17</v>
      </c>
      <c r="G609" s="10" t="s">
        <v>18</v>
      </c>
      <c r="H609" s="10" t="s">
        <v>32</v>
      </c>
      <c r="I609" s="10" t="s">
        <v>33</v>
      </c>
      <c r="J609" s="10" t="s">
        <v>774</v>
      </c>
      <c r="K609" s="10" t="s">
        <v>43</v>
      </c>
      <c r="L609" s="10"/>
      <c r="M609" s="10" t="s">
        <v>44</v>
      </c>
      <c r="N609" s="10" t="s">
        <v>965</v>
      </c>
      <c r="O609" s="10" t="s">
        <v>965</v>
      </c>
    </row>
    <row r="610" spans="1:15" x14ac:dyDescent="0.25">
      <c r="A610" s="4" t="s">
        <v>15</v>
      </c>
      <c r="B610" s="4" t="str">
        <f>"FES1162749850"</f>
        <v>FES1162749850</v>
      </c>
      <c r="C610" s="4" t="s">
        <v>556</v>
      </c>
      <c r="D610" s="4">
        <v>1</v>
      </c>
      <c r="E610" s="4" t="str">
        <f>"2170737472"</f>
        <v>2170737472</v>
      </c>
      <c r="F610" s="4" t="s">
        <v>17</v>
      </c>
      <c r="G610" s="4" t="s">
        <v>18</v>
      </c>
      <c r="H610" s="4" t="s">
        <v>32</v>
      </c>
      <c r="I610" s="4" t="s">
        <v>106</v>
      </c>
      <c r="J610" s="4" t="s">
        <v>107</v>
      </c>
      <c r="K610" s="4" t="s">
        <v>662</v>
      </c>
      <c r="L610" s="5">
        <v>0.45833333333333331</v>
      </c>
      <c r="M610" s="4" t="s">
        <v>928</v>
      </c>
      <c r="N610" s="6" t="s">
        <v>23</v>
      </c>
      <c r="O610" s="4" t="s">
        <v>24</v>
      </c>
    </row>
    <row r="611" spans="1:15" x14ac:dyDescent="0.25">
      <c r="A611" s="4" t="s">
        <v>15</v>
      </c>
      <c r="B611" s="4" t="str">
        <f>"FES1162749907"</f>
        <v>FES1162749907</v>
      </c>
      <c r="C611" s="4" t="s">
        <v>556</v>
      </c>
      <c r="D611" s="4">
        <v>1</v>
      </c>
      <c r="E611" s="4" t="str">
        <f>"2170739092"</f>
        <v>2170739092</v>
      </c>
      <c r="F611" s="4" t="s">
        <v>135</v>
      </c>
      <c r="G611" s="4" t="s">
        <v>18</v>
      </c>
      <c r="H611" s="4" t="s">
        <v>36</v>
      </c>
      <c r="I611" s="4" t="s">
        <v>37</v>
      </c>
      <c r="J611" s="4" t="s">
        <v>798</v>
      </c>
      <c r="K611" s="4" t="s">
        <v>662</v>
      </c>
      <c r="L611" s="5">
        <v>0.51527777777777783</v>
      </c>
      <c r="M611" s="4" t="s">
        <v>929</v>
      </c>
      <c r="N611" s="6" t="s">
        <v>23</v>
      </c>
      <c r="O611" s="4" t="s">
        <v>24</v>
      </c>
    </row>
    <row r="612" spans="1:15" x14ac:dyDescent="0.25">
      <c r="A612" s="11" t="s">
        <v>15</v>
      </c>
      <c r="B612" s="11" t="str">
        <f>"FES1162749887"</f>
        <v>FES1162749887</v>
      </c>
      <c r="C612" s="11" t="s">
        <v>556</v>
      </c>
      <c r="D612" s="11">
        <v>1</v>
      </c>
      <c r="E612" s="11" t="str">
        <f>"2170737461"</f>
        <v>2170737461</v>
      </c>
      <c r="F612" s="11" t="s">
        <v>17</v>
      </c>
      <c r="G612" s="11" t="s">
        <v>18</v>
      </c>
      <c r="H612" s="11" t="s">
        <v>32</v>
      </c>
      <c r="I612" s="11" t="s">
        <v>106</v>
      </c>
      <c r="J612" s="11" t="s">
        <v>107</v>
      </c>
      <c r="K612" s="11" t="s">
        <v>662</v>
      </c>
      <c r="L612" s="12">
        <v>0.46388888888888885</v>
      </c>
      <c r="M612" s="11" t="s">
        <v>928</v>
      </c>
      <c r="N612" s="13" t="s">
        <v>23</v>
      </c>
      <c r="O612" s="11" t="s">
        <v>24</v>
      </c>
    </row>
    <row r="613" spans="1:15" x14ac:dyDescent="0.25">
      <c r="A613" s="11" t="s">
        <v>15</v>
      </c>
      <c r="B613" s="11" t="str">
        <f>"FES1162749900"</f>
        <v>FES1162749900</v>
      </c>
      <c r="C613" s="11" t="s">
        <v>556</v>
      </c>
      <c r="D613" s="11">
        <v>1</v>
      </c>
      <c r="E613" s="11" t="str">
        <f>"2170734169"</f>
        <v>2170734169</v>
      </c>
      <c r="F613" s="11" t="s">
        <v>17</v>
      </c>
      <c r="G613" s="11" t="s">
        <v>18</v>
      </c>
      <c r="H613" s="11" t="s">
        <v>25</v>
      </c>
      <c r="I613" s="11" t="s">
        <v>26</v>
      </c>
      <c r="J613" s="11" t="s">
        <v>799</v>
      </c>
      <c r="K613" s="11" t="s">
        <v>662</v>
      </c>
      <c r="L613" s="12">
        <v>0.46388888888888885</v>
      </c>
      <c r="M613" s="11" t="s">
        <v>1431</v>
      </c>
      <c r="N613" s="13" t="s">
        <v>23</v>
      </c>
      <c r="O613" s="11" t="s">
        <v>1109</v>
      </c>
    </row>
    <row r="614" spans="1:15" x14ac:dyDescent="0.25">
      <c r="A614" s="11" t="s">
        <v>15</v>
      </c>
      <c r="B614" s="11" t="str">
        <f>"FES1162749876"</f>
        <v>FES1162749876</v>
      </c>
      <c r="C614" s="11" t="s">
        <v>556</v>
      </c>
      <c r="D614" s="11">
        <v>1</v>
      </c>
      <c r="E614" s="11" t="str">
        <f>"2170739481"</f>
        <v>2170739481</v>
      </c>
      <c r="F614" s="11" t="s">
        <v>17</v>
      </c>
      <c r="G614" s="11" t="s">
        <v>18</v>
      </c>
      <c r="H614" s="11" t="s">
        <v>48</v>
      </c>
      <c r="I614" s="11" t="s">
        <v>49</v>
      </c>
      <c r="J614" s="11" t="s">
        <v>405</v>
      </c>
      <c r="K614" s="11" t="s">
        <v>662</v>
      </c>
      <c r="L614" s="12">
        <v>0.37916666666666665</v>
      </c>
      <c r="M614" s="11" t="s">
        <v>532</v>
      </c>
      <c r="N614" s="13" t="s">
        <v>23</v>
      </c>
      <c r="O614" s="11" t="s">
        <v>24</v>
      </c>
    </row>
    <row r="615" spans="1:15" x14ac:dyDescent="0.25">
      <c r="A615" s="11" t="s">
        <v>15</v>
      </c>
      <c r="B615" s="11" t="str">
        <f>"FES1162749795"</f>
        <v>FES1162749795</v>
      </c>
      <c r="C615" s="11" t="s">
        <v>556</v>
      </c>
      <c r="D615" s="11">
        <v>1</v>
      </c>
      <c r="E615" s="11" t="str">
        <f>"2170740182"</f>
        <v>2170740182</v>
      </c>
      <c r="F615" s="11" t="s">
        <v>17</v>
      </c>
      <c r="G615" s="11" t="s">
        <v>18</v>
      </c>
      <c r="H615" s="11" t="s">
        <v>48</v>
      </c>
      <c r="I615" s="11" t="s">
        <v>110</v>
      </c>
      <c r="J615" s="11" t="s">
        <v>111</v>
      </c>
      <c r="K615" s="11" t="s">
        <v>662</v>
      </c>
      <c r="L615" s="12">
        <v>0.37916666666666665</v>
      </c>
      <c r="M615" s="11" t="s">
        <v>647</v>
      </c>
      <c r="N615" s="13" t="s">
        <v>23</v>
      </c>
      <c r="O615" s="11" t="s">
        <v>24</v>
      </c>
    </row>
    <row r="616" spans="1:15" x14ac:dyDescent="0.25">
      <c r="A616" s="4" t="s">
        <v>15</v>
      </c>
      <c r="B616" s="4" t="str">
        <f>"FES1162749783"</f>
        <v>FES1162749783</v>
      </c>
      <c r="C616" s="4" t="s">
        <v>556</v>
      </c>
      <c r="D616" s="4">
        <v>1</v>
      </c>
      <c r="E616" s="4" t="str">
        <f>"2170739215"</f>
        <v>2170739215</v>
      </c>
      <c r="F616" s="4" t="s">
        <v>17</v>
      </c>
      <c r="G616" s="4" t="s">
        <v>18</v>
      </c>
      <c r="H616" s="4" t="s">
        <v>48</v>
      </c>
      <c r="I616" s="4" t="s">
        <v>49</v>
      </c>
      <c r="J616" s="4" t="s">
        <v>602</v>
      </c>
      <c r="K616" s="4" t="s">
        <v>662</v>
      </c>
      <c r="L616" s="5">
        <v>0.41666666666666669</v>
      </c>
      <c r="M616" s="4" t="s">
        <v>927</v>
      </c>
      <c r="N616" s="6" t="s">
        <v>23</v>
      </c>
      <c r="O616" s="4" t="s">
        <v>24</v>
      </c>
    </row>
    <row r="617" spans="1:15" x14ac:dyDescent="0.25">
      <c r="A617" s="4" t="s">
        <v>15</v>
      </c>
      <c r="B617" s="4" t="str">
        <f>"FES1162749852"</f>
        <v>FES1162749852</v>
      </c>
      <c r="C617" s="4" t="s">
        <v>556</v>
      </c>
      <c r="D617" s="4">
        <v>1</v>
      </c>
      <c r="E617" s="4" t="str">
        <f>"2170738056"</f>
        <v>2170738056</v>
      </c>
      <c r="F617" s="4" t="s">
        <v>17</v>
      </c>
      <c r="G617" s="4" t="s">
        <v>18</v>
      </c>
      <c r="H617" s="4" t="s">
        <v>48</v>
      </c>
      <c r="I617" s="4" t="s">
        <v>199</v>
      </c>
      <c r="J617" s="4" t="s">
        <v>200</v>
      </c>
      <c r="K617" s="4" t="s">
        <v>662</v>
      </c>
      <c r="L617" s="5">
        <v>0.50208333333333333</v>
      </c>
      <c r="M617" s="4" t="s">
        <v>926</v>
      </c>
      <c r="N617" s="6" t="s">
        <v>23</v>
      </c>
      <c r="O617" s="4" t="s">
        <v>24</v>
      </c>
    </row>
    <row r="618" spans="1:15" x14ac:dyDescent="0.25">
      <c r="A618" s="4" t="s">
        <v>15</v>
      </c>
      <c r="B618" s="4" t="str">
        <f>"FES1162749859"</f>
        <v>FES1162749859</v>
      </c>
      <c r="C618" s="4" t="s">
        <v>556</v>
      </c>
      <c r="D618" s="4">
        <v>1</v>
      </c>
      <c r="E618" s="4" t="str">
        <f>"2170738525"</f>
        <v>2170738525</v>
      </c>
      <c r="F618" s="4" t="s">
        <v>17</v>
      </c>
      <c r="G618" s="4" t="s">
        <v>18</v>
      </c>
      <c r="H618" s="4" t="s">
        <v>18</v>
      </c>
      <c r="I618" s="4" t="s">
        <v>219</v>
      </c>
      <c r="J618" s="4" t="s">
        <v>800</v>
      </c>
      <c r="K618" s="4" t="s">
        <v>662</v>
      </c>
      <c r="L618" s="5">
        <v>0.37847222222222227</v>
      </c>
      <c r="M618" s="4" t="s">
        <v>925</v>
      </c>
      <c r="N618" s="6" t="s">
        <v>23</v>
      </c>
      <c r="O618" s="4" t="s">
        <v>24</v>
      </c>
    </row>
    <row r="619" spans="1:15" x14ac:dyDescent="0.25">
      <c r="A619" s="4" t="s">
        <v>15</v>
      </c>
      <c r="B619" s="4" t="str">
        <f>"009935712369"</f>
        <v>009935712369</v>
      </c>
      <c r="C619" s="4" t="s">
        <v>556</v>
      </c>
      <c r="D619" s="4">
        <v>1</v>
      </c>
      <c r="E619" s="4" t="str">
        <f>"2170739343"</f>
        <v>2170739343</v>
      </c>
      <c r="F619" s="4" t="s">
        <v>17</v>
      </c>
      <c r="G619" s="4" t="s">
        <v>18</v>
      </c>
      <c r="H619" s="4" t="s">
        <v>18</v>
      </c>
      <c r="I619" s="4" t="s">
        <v>292</v>
      </c>
      <c r="J619" s="4" t="s">
        <v>312</v>
      </c>
      <c r="K619" s="4" t="s">
        <v>662</v>
      </c>
      <c r="L619" s="5">
        <v>0.33333333333333331</v>
      </c>
      <c r="M619" s="4" t="s">
        <v>128</v>
      </c>
      <c r="N619" s="6" t="s">
        <v>23</v>
      </c>
      <c r="O619" s="4" t="s">
        <v>801</v>
      </c>
    </row>
    <row r="620" spans="1:15" x14ac:dyDescent="0.25">
      <c r="A620" s="4" t="s">
        <v>15</v>
      </c>
      <c r="B620" s="4" t="str">
        <f>"FES1162749946"</f>
        <v>FES1162749946</v>
      </c>
      <c r="C620" s="4" t="s">
        <v>556</v>
      </c>
      <c r="D620" s="4">
        <v>1</v>
      </c>
      <c r="E620" s="4" t="str">
        <f>"2170740286"</f>
        <v>2170740286</v>
      </c>
      <c r="F620" s="4" t="s">
        <v>17</v>
      </c>
      <c r="G620" s="4" t="s">
        <v>18</v>
      </c>
      <c r="H620" s="4" t="s">
        <v>25</v>
      </c>
      <c r="I620" s="4" t="s">
        <v>92</v>
      </c>
      <c r="J620" s="4" t="s">
        <v>93</v>
      </c>
      <c r="K620" s="4" t="s">
        <v>662</v>
      </c>
      <c r="L620" s="5">
        <v>0.34722222222222227</v>
      </c>
      <c r="M620" s="4" t="s">
        <v>793</v>
      </c>
      <c r="N620" s="6" t="s">
        <v>23</v>
      </c>
      <c r="O620" s="4" t="s">
        <v>24</v>
      </c>
    </row>
    <row r="621" spans="1:15" x14ac:dyDescent="0.25">
      <c r="A621" s="4" t="s">
        <v>15</v>
      </c>
      <c r="B621" s="4" t="str">
        <f>"FES1162749934"</f>
        <v>FES1162749934</v>
      </c>
      <c r="C621" s="4" t="s">
        <v>556</v>
      </c>
      <c r="D621" s="4">
        <v>1</v>
      </c>
      <c r="E621" s="4" t="str">
        <f>"2170740274"</f>
        <v>2170740274</v>
      </c>
      <c r="F621" s="4" t="s">
        <v>17</v>
      </c>
      <c r="G621" s="4" t="s">
        <v>18</v>
      </c>
      <c r="H621" s="4" t="s">
        <v>167</v>
      </c>
      <c r="I621" s="4" t="s">
        <v>168</v>
      </c>
      <c r="J621" s="4" t="s">
        <v>169</v>
      </c>
      <c r="K621" s="4" t="s">
        <v>662</v>
      </c>
      <c r="L621" s="5">
        <v>0.41666666666666669</v>
      </c>
      <c r="M621" s="4" t="s">
        <v>490</v>
      </c>
      <c r="N621" s="6" t="s">
        <v>23</v>
      </c>
      <c r="O621" s="4" t="s">
        <v>24</v>
      </c>
    </row>
    <row r="622" spans="1:15" x14ac:dyDescent="0.25">
      <c r="A622" s="4" t="s">
        <v>15</v>
      </c>
      <c r="B622" s="4" t="str">
        <f>"FES1162749942"</f>
        <v>FES1162749942</v>
      </c>
      <c r="C622" s="4" t="s">
        <v>556</v>
      </c>
      <c r="D622" s="4">
        <v>0</v>
      </c>
      <c r="E622" s="4" t="str">
        <f>"2170740281"</f>
        <v>2170740281</v>
      </c>
      <c r="F622" s="4" t="s">
        <v>17</v>
      </c>
      <c r="G622" s="4" t="s">
        <v>18</v>
      </c>
      <c r="H622" s="4" t="s">
        <v>18</v>
      </c>
      <c r="I622" s="4" t="s">
        <v>29</v>
      </c>
      <c r="J622" s="4" t="s">
        <v>802</v>
      </c>
      <c r="K622" s="4" t="s">
        <v>662</v>
      </c>
      <c r="L622" s="5">
        <v>0.3888888888888889</v>
      </c>
      <c r="M622" s="4" t="s">
        <v>803</v>
      </c>
      <c r="N622" s="6" t="s">
        <v>23</v>
      </c>
      <c r="O622" s="4" t="s">
        <v>24</v>
      </c>
    </row>
    <row r="623" spans="1:15" x14ac:dyDescent="0.25">
      <c r="A623" s="4" t="s">
        <v>15</v>
      </c>
      <c r="B623" s="4" t="str">
        <f>"FES1162749925"</f>
        <v>FES1162749925</v>
      </c>
      <c r="C623" s="4" t="s">
        <v>556</v>
      </c>
      <c r="D623" s="4">
        <v>0</v>
      </c>
      <c r="E623" s="4" t="str">
        <f>"2170740260"</f>
        <v>2170740260</v>
      </c>
      <c r="F623" s="4" t="s">
        <v>17</v>
      </c>
      <c r="G623" s="4" t="s">
        <v>18</v>
      </c>
      <c r="H623" s="4" t="s">
        <v>18</v>
      </c>
      <c r="I623" s="4" t="s">
        <v>19</v>
      </c>
      <c r="J623" s="4" t="s">
        <v>20</v>
      </c>
      <c r="K623" s="4" t="s">
        <v>662</v>
      </c>
      <c r="L623" s="5">
        <v>0.39583333333333331</v>
      </c>
      <c r="M623" s="4" t="s">
        <v>664</v>
      </c>
      <c r="N623" s="6" t="s">
        <v>23</v>
      </c>
      <c r="O623" s="4" t="s">
        <v>24</v>
      </c>
    </row>
    <row r="624" spans="1:15" x14ac:dyDescent="0.25">
      <c r="A624" s="4" t="s">
        <v>15</v>
      </c>
      <c r="B624" s="4" t="str">
        <f>"FES1162749947"</f>
        <v>FES1162749947</v>
      </c>
      <c r="C624" s="4" t="s">
        <v>556</v>
      </c>
      <c r="D624" s="4">
        <v>1</v>
      </c>
      <c r="E624" s="4" t="str">
        <f>"2170740287"</f>
        <v>2170740287</v>
      </c>
      <c r="F624" s="4" t="s">
        <v>17</v>
      </c>
      <c r="G624" s="4" t="s">
        <v>18</v>
      </c>
      <c r="H624" s="4" t="s">
        <v>18</v>
      </c>
      <c r="I624" s="4" t="s">
        <v>29</v>
      </c>
      <c r="J624" s="4" t="s">
        <v>302</v>
      </c>
      <c r="K624" s="4" t="s">
        <v>662</v>
      </c>
      <c r="L624" s="5">
        <v>0.41666666666666669</v>
      </c>
      <c r="M624" s="4" t="s">
        <v>462</v>
      </c>
      <c r="N624" s="6" t="s">
        <v>23</v>
      </c>
      <c r="O624" s="4" t="s">
        <v>24</v>
      </c>
    </row>
    <row r="625" spans="1:15" x14ac:dyDescent="0.25">
      <c r="A625" s="4" t="s">
        <v>15</v>
      </c>
      <c r="B625" s="4" t="str">
        <f>"FES1162749905"</f>
        <v>FES1162749905</v>
      </c>
      <c r="C625" s="4" t="s">
        <v>556</v>
      </c>
      <c r="D625" s="4">
        <v>1</v>
      </c>
      <c r="E625" s="4" t="str">
        <f>"2170735207"</f>
        <v>2170735207</v>
      </c>
      <c r="F625" s="4" t="s">
        <v>17</v>
      </c>
      <c r="G625" s="4" t="s">
        <v>18</v>
      </c>
      <c r="H625" s="4" t="s">
        <v>18</v>
      </c>
      <c r="I625" s="4" t="s">
        <v>290</v>
      </c>
      <c r="J625" s="4" t="s">
        <v>804</v>
      </c>
      <c r="K625" s="4" t="s">
        <v>662</v>
      </c>
      <c r="L625" s="5">
        <v>0.43055555555555558</v>
      </c>
      <c r="M625" s="4" t="s">
        <v>466</v>
      </c>
      <c r="N625" s="6" t="s">
        <v>23</v>
      </c>
      <c r="O625" s="4" t="s">
        <v>24</v>
      </c>
    </row>
    <row r="626" spans="1:15" x14ac:dyDescent="0.25">
      <c r="A626" s="4" t="s">
        <v>15</v>
      </c>
      <c r="B626" s="4" t="str">
        <f>"FES1162749933"</f>
        <v>FES1162749933</v>
      </c>
      <c r="C626" s="4" t="s">
        <v>556</v>
      </c>
      <c r="D626" s="4">
        <v>0</v>
      </c>
      <c r="E626" s="4" t="str">
        <f>"2170740273"</f>
        <v>2170740273</v>
      </c>
      <c r="F626" s="4" t="s">
        <v>17</v>
      </c>
      <c r="G626" s="4" t="s">
        <v>18</v>
      </c>
      <c r="H626" s="4" t="s">
        <v>167</v>
      </c>
      <c r="I626" s="4" t="s">
        <v>168</v>
      </c>
      <c r="J626" s="4" t="s">
        <v>169</v>
      </c>
      <c r="K626" s="4" t="s">
        <v>662</v>
      </c>
      <c r="L626" s="5">
        <v>0.41666666666666669</v>
      </c>
      <c r="M626" s="4" t="s">
        <v>490</v>
      </c>
      <c r="N626" s="6" t="s">
        <v>23</v>
      </c>
      <c r="O626" s="4" t="s">
        <v>24</v>
      </c>
    </row>
    <row r="627" spans="1:15" x14ac:dyDescent="0.25">
      <c r="A627" s="4" t="s">
        <v>15</v>
      </c>
      <c r="B627" s="4" t="str">
        <f>"FES1162749935"</f>
        <v>FES1162749935</v>
      </c>
      <c r="C627" s="4" t="s">
        <v>556</v>
      </c>
      <c r="D627" s="4">
        <v>0</v>
      </c>
      <c r="E627" s="4" t="str">
        <f>"2170740275"</f>
        <v>2170740275</v>
      </c>
      <c r="F627" s="4" t="s">
        <v>17</v>
      </c>
      <c r="G627" s="4" t="s">
        <v>18</v>
      </c>
      <c r="H627" s="4" t="s">
        <v>167</v>
      </c>
      <c r="I627" s="4" t="s">
        <v>168</v>
      </c>
      <c r="J627" s="4" t="s">
        <v>169</v>
      </c>
      <c r="K627" s="4" t="s">
        <v>662</v>
      </c>
      <c r="L627" s="5">
        <v>0.41666666666666669</v>
      </c>
      <c r="M627" s="4" t="s">
        <v>490</v>
      </c>
      <c r="N627" s="6" t="s">
        <v>23</v>
      </c>
      <c r="O627" s="4" t="s">
        <v>24</v>
      </c>
    </row>
    <row r="628" spans="1:15" x14ac:dyDescent="0.25">
      <c r="A628" s="4" t="s">
        <v>15</v>
      </c>
      <c r="B628" s="4" t="str">
        <f>"FES1162749930"</f>
        <v>FES1162749930</v>
      </c>
      <c r="C628" s="4" t="s">
        <v>556</v>
      </c>
      <c r="D628" s="4">
        <v>0</v>
      </c>
      <c r="E628" s="4" t="str">
        <f>"2170737985"</f>
        <v>2170737985</v>
      </c>
      <c r="F628" s="4" t="s">
        <v>17</v>
      </c>
      <c r="G628" s="4" t="s">
        <v>18</v>
      </c>
      <c r="H628" s="4" t="s">
        <v>18</v>
      </c>
      <c r="I628" s="4" t="s">
        <v>382</v>
      </c>
      <c r="J628" s="4" t="s">
        <v>805</v>
      </c>
      <c r="K628" s="4" t="s">
        <v>662</v>
      </c>
      <c r="L628" s="5">
        <v>0.33333333333333331</v>
      </c>
      <c r="M628" s="4" t="s">
        <v>924</v>
      </c>
      <c r="N628" s="6" t="s">
        <v>23</v>
      </c>
      <c r="O628" s="4" t="s">
        <v>24</v>
      </c>
    </row>
    <row r="629" spans="1:15" x14ac:dyDescent="0.25">
      <c r="A629" s="4" t="s">
        <v>15</v>
      </c>
      <c r="B629" s="4" t="str">
        <f>"FES1162749957"</f>
        <v>FES1162749957</v>
      </c>
      <c r="C629" s="4" t="s">
        <v>556</v>
      </c>
      <c r="D629" s="4">
        <v>0</v>
      </c>
      <c r="E629" s="4" t="str">
        <f>"2170740200"</f>
        <v>2170740200</v>
      </c>
      <c r="F629" s="4" t="s">
        <v>17</v>
      </c>
      <c r="G629" s="4" t="s">
        <v>18</v>
      </c>
      <c r="H629" s="4" t="s">
        <v>18</v>
      </c>
      <c r="I629" s="4" t="s">
        <v>97</v>
      </c>
      <c r="J629" s="4" t="s">
        <v>806</v>
      </c>
      <c r="K629" s="4" t="s">
        <v>662</v>
      </c>
      <c r="L629" s="5">
        <v>0.35972222222222222</v>
      </c>
      <c r="M629" s="4" t="s">
        <v>923</v>
      </c>
      <c r="N629" s="6" t="s">
        <v>23</v>
      </c>
      <c r="O629" s="4" t="s">
        <v>24</v>
      </c>
    </row>
    <row r="630" spans="1:15" x14ac:dyDescent="0.25">
      <c r="A630" s="4" t="s">
        <v>15</v>
      </c>
      <c r="B630" s="4" t="str">
        <f>"FES1162749908"</f>
        <v>FES1162749908</v>
      </c>
      <c r="C630" s="4" t="s">
        <v>556</v>
      </c>
      <c r="D630" s="4">
        <v>0</v>
      </c>
      <c r="E630" s="4" t="str">
        <f>"2170740201"</f>
        <v>2170740201</v>
      </c>
      <c r="F630" s="4" t="s">
        <v>17</v>
      </c>
      <c r="G630" s="4" t="s">
        <v>18</v>
      </c>
      <c r="H630" s="4" t="s">
        <v>85</v>
      </c>
      <c r="I630" s="4" t="s">
        <v>408</v>
      </c>
      <c r="J630" s="4" t="s">
        <v>409</v>
      </c>
      <c r="K630" s="4" t="s">
        <v>662</v>
      </c>
      <c r="L630" s="5">
        <v>0.61736111111111114</v>
      </c>
      <c r="M630" s="4" t="s">
        <v>922</v>
      </c>
      <c r="N630" s="6" t="s">
        <v>23</v>
      </c>
      <c r="O630" s="4" t="s">
        <v>24</v>
      </c>
    </row>
    <row r="631" spans="1:15" x14ac:dyDescent="0.25">
      <c r="A631" s="4" t="s">
        <v>15</v>
      </c>
      <c r="B631" s="4" t="str">
        <f>"FES1162749956"</f>
        <v>FES1162749956</v>
      </c>
      <c r="C631" s="4" t="s">
        <v>556</v>
      </c>
      <c r="D631" s="4">
        <v>0</v>
      </c>
      <c r="E631" s="4" t="str">
        <f>"2170739903"</f>
        <v>2170739903</v>
      </c>
      <c r="F631" s="4" t="s">
        <v>17</v>
      </c>
      <c r="G631" s="4" t="s">
        <v>18</v>
      </c>
      <c r="H631" s="4" t="s">
        <v>48</v>
      </c>
      <c r="I631" s="4" t="s">
        <v>390</v>
      </c>
      <c r="J631" s="4" t="s">
        <v>391</v>
      </c>
      <c r="K631" s="4" t="s">
        <v>662</v>
      </c>
      <c r="L631" s="5">
        <v>0.61736111111111114</v>
      </c>
      <c r="M631" s="4" t="s">
        <v>964</v>
      </c>
      <c r="N631" s="6" t="s">
        <v>23</v>
      </c>
      <c r="O631" s="4" t="s">
        <v>24</v>
      </c>
    </row>
    <row r="632" spans="1:15" x14ac:dyDescent="0.25">
      <c r="A632" s="4" t="s">
        <v>15</v>
      </c>
      <c r="B632" s="4" t="str">
        <f>"FES1162749932"</f>
        <v>FES1162749932</v>
      </c>
      <c r="C632" s="4" t="s">
        <v>556</v>
      </c>
      <c r="D632" s="4">
        <v>0</v>
      </c>
      <c r="E632" s="4" t="str">
        <f>"2170740272"</f>
        <v>2170740272</v>
      </c>
      <c r="F632" s="4" t="s">
        <v>17</v>
      </c>
      <c r="G632" s="4" t="s">
        <v>18</v>
      </c>
      <c r="H632" s="4" t="s">
        <v>48</v>
      </c>
      <c r="I632" s="4" t="s">
        <v>49</v>
      </c>
      <c r="J632" s="4" t="s">
        <v>320</v>
      </c>
      <c r="K632" s="4" t="s">
        <v>662</v>
      </c>
      <c r="L632" s="5">
        <v>0.35972222222222222</v>
      </c>
      <c r="M632" s="4" t="s">
        <v>321</v>
      </c>
      <c r="N632" s="6" t="s">
        <v>23</v>
      </c>
      <c r="O632" s="4" t="s">
        <v>24</v>
      </c>
    </row>
    <row r="633" spans="1:15" x14ac:dyDescent="0.25">
      <c r="A633" s="4" t="s">
        <v>15</v>
      </c>
      <c r="B633" s="4" t="str">
        <f>"FES1162749941"</f>
        <v>FES1162749941</v>
      </c>
      <c r="C633" s="4" t="s">
        <v>556</v>
      </c>
      <c r="D633" s="4">
        <v>0</v>
      </c>
      <c r="E633" s="4" t="str">
        <f>"2170740270"</f>
        <v>2170740270</v>
      </c>
      <c r="F633" s="4" t="s">
        <v>17</v>
      </c>
      <c r="G633" s="4" t="s">
        <v>18</v>
      </c>
      <c r="H633" s="4" t="s">
        <v>48</v>
      </c>
      <c r="I633" s="4" t="s">
        <v>49</v>
      </c>
      <c r="J633" s="4" t="s">
        <v>322</v>
      </c>
      <c r="K633" s="4" t="s">
        <v>662</v>
      </c>
      <c r="L633" s="5">
        <v>0.3125</v>
      </c>
      <c r="M633" s="4" t="s">
        <v>583</v>
      </c>
      <c r="N633" s="6" t="s">
        <v>23</v>
      </c>
      <c r="O633" s="4" t="s">
        <v>24</v>
      </c>
    </row>
    <row r="634" spans="1:15" x14ac:dyDescent="0.25">
      <c r="A634" s="4" t="s">
        <v>15</v>
      </c>
      <c r="B634" s="4" t="str">
        <f>"FES1162749912"</f>
        <v>FES1162749912</v>
      </c>
      <c r="C634" s="4" t="s">
        <v>556</v>
      </c>
      <c r="D634" s="4">
        <v>0</v>
      </c>
      <c r="E634" s="4" t="str">
        <f>"2170739593"</f>
        <v>2170739593</v>
      </c>
      <c r="F634" s="4" t="s">
        <v>17</v>
      </c>
      <c r="G634" s="4" t="s">
        <v>18</v>
      </c>
      <c r="H634" s="4" t="s">
        <v>48</v>
      </c>
      <c r="I634" s="4" t="s">
        <v>49</v>
      </c>
      <c r="J634" s="4" t="s">
        <v>580</v>
      </c>
      <c r="K634" s="4" t="s">
        <v>662</v>
      </c>
      <c r="L634" s="5">
        <v>0.41666666666666669</v>
      </c>
      <c r="M634" s="4" t="s">
        <v>921</v>
      </c>
      <c r="N634" s="6" t="s">
        <v>23</v>
      </c>
      <c r="O634" s="4" t="s">
        <v>24</v>
      </c>
    </row>
    <row r="635" spans="1:15" x14ac:dyDescent="0.25">
      <c r="A635" s="4" t="s">
        <v>15</v>
      </c>
      <c r="B635" s="4" t="str">
        <f>"FES1162749801"</f>
        <v>FES1162749801</v>
      </c>
      <c r="C635" s="4" t="s">
        <v>556</v>
      </c>
      <c r="D635" s="4">
        <v>0</v>
      </c>
      <c r="E635" s="4" t="str">
        <f>"2170740190"</f>
        <v>2170740190</v>
      </c>
      <c r="F635" s="4" t="s">
        <v>17</v>
      </c>
      <c r="G635" s="4" t="s">
        <v>18</v>
      </c>
      <c r="H635" s="4" t="s">
        <v>40</v>
      </c>
      <c r="I635" s="4" t="s">
        <v>78</v>
      </c>
      <c r="J635" s="4" t="s">
        <v>244</v>
      </c>
      <c r="K635" s="4" t="s">
        <v>662</v>
      </c>
      <c r="L635" s="5">
        <v>0.41666666666666669</v>
      </c>
      <c r="M635" s="4" t="s">
        <v>962</v>
      </c>
      <c r="N635" s="6" t="s">
        <v>23</v>
      </c>
      <c r="O635" s="4" t="s">
        <v>24</v>
      </c>
    </row>
    <row r="636" spans="1:15" x14ac:dyDescent="0.25">
      <c r="A636" s="4" t="s">
        <v>15</v>
      </c>
      <c r="B636" s="4" t="str">
        <f>"FES1162749803"</f>
        <v>FES1162749803</v>
      </c>
      <c r="C636" s="4" t="s">
        <v>556</v>
      </c>
      <c r="D636" s="4">
        <v>0</v>
      </c>
      <c r="E636" s="4" t="str">
        <f>"2170740193"</f>
        <v>2170740193</v>
      </c>
      <c r="F636" s="4" t="s">
        <v>17</v>
      </c>
      <c r="G636" s="4" t="s">
        <v>18</v>
      </c>
      <c r="H636" s="4" t="s">
        <v>40</v>
      </c>
      <c r="I636" s="4" t="s">
        <v>41</v>
      </c>
      <c r="J636" s="4" t="s">
        <v>807</v>
      </c>
      <c r="K636" s="4" t="s">
        <v>662</v>
      </c>
      <c r="L636" s="5">
        <v>0.41666666666666669</v>
      </c>
      <c r="M636" s="4" t="s">
        <v>963</v>
      </c>
      <c r="N636" s="6" t="s">
        <v>23</v>
      </c>
      <c r="O636" s="4" t="s">
        <v>24</v>
      </c>
    </row>
    <row r="637" spans="1:15" x14ac:dyDescent="0.25">
      <c r="A637" s="4" t="s">
        <v>15</v>
      </c>
      <c r="B637" s="4" t="str">
        <f>"FES1162749781"</f>
        <v>FES1162749781</v>
      </c>
      <c r="C637" s="4" t="s">
        <v>556</v>
      </c>
      <c r="D637" s="4">
        <v>0</v>
      </c>
      <c r="E637" s="4" t="str">
        <f>"2170739060"</f>
        <v>2170739060</v>
      </c>
      <c r="F637" s="4" t="s">
        <v>17</v>
      </c>
      <c r="G637" s="4" t="s">
        <v>18</v>
      </c>
      <c r="H637" s="4" t="s">
        <v>85</v>
      </c>
      <c r="I637" s="4" t="s">
        <v>144</v>
      </c>
      <c r="J637" s="4" t="s">
        <v>808</v>
      </c>
      <c r="K637" s="4" t="s">
        <v>662</v>
      </c>
      <c r="L637" s="5">
        <v>0.68055555555555547</v>
      </c>
      <c r="M637" s="4" t="s">
        <v>961</v>
      </c>
      <c r="N637" s="4" t="s">
        <v>23</v>
      </c>
      <c r="O637" s="4" t="s">
        <v>24</v>
      </c>
    </row>
    <row r="638" spans="1:15" x14ac:dyDescent="0.25">
      <c r="A638" s="4" t="s">
        <v>15</v>
      </c>
      <c r="B638" s="4" t="str">
        <f>"FES1162749785"</f>
        <v>FES1162749785</v>
      </c>
      <c r="C638" s="4" t="s">
        <v>556</v>
      </c>
      <c r="D638" s="4">
        <v>0</v>
      </c>
      <c r="E638" s="4" t="str">
        <f>"21707400695"</f>
        <v>21707400695</v>
      </c>
      <c r="F638" s="4" t="s">
        <v>17</v>
      </c>
      <c r="G638" s="4" t="s">
        <v>18</v>
      </c>
      <c r="H638" s="4" t="s">
        <v>85</v>
      </c>
      <c r="I638" s="4" t="s">
        <v>144</v>
      </c>
      <c r="J638" s="4" t="s">
        <v>809</v>
      </c>
      <c r="K638" s="4" t="s">
        <v>662</v>
      </c>
      <c r="L638" s="5">
        <v>0.68472222222222223</v>
      </c>
      <c r="M638" s="4" t="s">
        <v>920</v>
      </c>
      <c r="N638" s="6" t="s">
        <v>23</v>
      </c>
      <c r="O638" s="4" t="s">
        <v>24</v>
      </c>
    </row>
    <row r="639" spans="1:15" x14ac:dyDescent="0.25">
      <c r="A639" s="4" t="s">
        <v>15</v>
      </c>
      <c r="B639" s="4" t="str">
        <f>"FES1162749799"</f>
        <v>FES1162749799</v>
      </c>
      <c r="C639" s="4" t="s">
        <v>556</v>
      </c>
      <c r="D639" s="4">
        <v>0</v>
      </c>
      <c r="E639" s="4" t="str">
        <f>"2170740188"</f>
        <v>2170740188</v>
      </c>
      <c r="F639" s="4" t="s">
        <v>17</v>
      </c>
      <c r="G639" s="4" t="s">
        <v>18</v>
      </c>
      <c r="H639" s="4" t="s">
        <v>85</v>
      </c>
      <c r="I639" s="4" t="s">
        <v>207</v>
      </c>
      <c r="J639" s="4" t="s">
        <v>241</v>
      </c>
      <c r="K639" s="4" t="s">
        <v>662</v>
      </c>
      <c r="L639" s="5">
        <v>0.48402777777777778</v>
      </c>
      <c r="M639" s="4" t="s">
        <v>242</v>
      </c>
      <c r="N639" s="6" t="s">
        <v>23</v>
      </c>
      <c r="O639" s="4" t="s">
        <v>24</v>
      </c>
    </row>
    <row r="640" spans="1:15" x14ac:dyDescent="0.25">
      <c r="A640" s="4" t="s">
        <v>15</v>
      </c>
      <c r="B640" s="4" t="str">
        <f>"FES1162749961"</f>
        <v>FES1162749961</v>
      </c>
      <c r="C640" s="4" t="s">
        <v>556</v>
      </c>
      <c r="D640" s="4">
        <v>0</v>
      </c>
      <c r="E640" s="4" t="str">
        <f>"2170740299"</f>
        <v>2170740299</v>
      </c>
      <c r="F640" s="4" t="s">
        <v>17</v>
      </c>
      <c r="G640" s="4" t="s">
        <v>18</v>
      </c>
      <c r="H640" s="4" t="s">
        <v>85</v>
      </c>
      <c r="I640" s="4" t="s">
        <v>152</v>
      </c>
      <c r="J640" s="4" t="s">
        <v>810</v>
      </c>
      <c r="K640" s="4" t="s">
        <v>662</v>
      </c>
      <c r="L640" s="5">
        <v>0.54097222222222219</v>
      </c>
      <c r="M640" s="4" t="s">
        <v>240</v>
      </c>
      <c r="N640" s="6" t="s">
        <v>23</v>
      </c>
      <c r="O640" s="4" t="s">
        <v>24</v>
      </c>
    </row>
    <row r="641" spans="1:15" x14ac:dyDescent="0.25">
      <c r="A641" s="4" t="s">
        <v>15</v>
      </c>
      <c r="B641" s="4" t="str">
        <f>"FES1162749790"</f>
        <v>FES1162749790</v>
      </c>
      <c r="C641" s="4" t="s">
        <v>556</v>
      </c>
      <c r="D641" s="4">
        <v>0</v>
      </c>
      <c r="E641" s="4" t="str">
        <f>"2170740174"</f>
        <v>2170740174</v>
      </c>
      <c r="F641" s="4" t="s">
        <v>17</v>
      </c>
      <c r="G641" s="4" t="s">
        <v>18</v>
      </c>
      <c r="H641" s="4" t="s">
        <v>85</v>
      </c>
      <c r="I641" s="4" t="s">
        <v>207</v>
      </c>
      <c r="J641" s="4" t="s">
        <v>811</v>
      </c>
      <c r="K641" s="4" t="s">
        <v>662</v>
      </c>
      <c r="L641" s="5">
        <v>0.46736111111111112</v>
      </c>
      <c r="M641" s="4" t="s">
        <v>919</v>
      </c>
      <c r="N641" s="6" t="s">
        <v>23</v>
      </c>
      <c r="O641" s="4" t="s">
        <v>24</v>
      </c>
    </row>
    <row r="642" spans="1:15" x14ac:dyDescent="0.25">
      <c r="A642" s="4" t="s">
        <v>15</v>
      </c>
      <c r="B642" s="4" t="str">
        <f>"FES1162749809"</f>
        <v>FES1162749809</v>
      </c>
      <c r="C642" s="4" t="s">
        <v>556</v>
      </c>
      <c r="D642" s="4">
        <v>0</v>
      </c>
      <c r="E642" s="4" t="str">
        <f>"2170740185"</f>
        <v>2170740185</v>
      </c>
      <c r="F642" s="4" t="s">
        <v>17</v>
      </c>
      <c r="G642" s="4" t="s">
        <v>18</v>
      </c>
      <c r="H642" s="4" t="s">
        <v>85</v>
      </c>
      <c r="I642" s="4" t="s">
        <v>207</v>
      </c>
      <c r="J642" s="4" t="s">
        <v>406</v>
      </c>
      <c r="K642" s="4" t="s">
        <v>662</v>
      </c>
      <c r="L642" s="5">
        <v>0.41597222222222219</v>
      </c>
      <c r="M642" s="4" t="s">
        <v>918</v>
      </c>
      <c r="N642" s="6" t="s">
        <v>23</v>
      </c>
      <c r="O642" s="4" t="s">
        <v>24</v>
      </c>
    </row>
    <row r="643" spans="1:15" x14ac:dyDescent="0.25">
      <c r="A643" s="4" t="s">
        <v>15</v>
      </c>
      <c r="B643" s="4" t="str">
        <f>"FES1162749888"</f>
        <v>FES1162749888</v>
      </c>
      <c r="C643" s="4" t="s">
        <v>556</v>
      </c>
      <c r="D643" s="4">
        <v>1</v>
      </c>
      <c r="E643" s="4" t="str">
        <f>"2170740236"</f>
        <v>2170740236</v>
      </c>
      <c r="F643" s="4" t="s">
        <v>17</v>
      </c>
      <c r="G643" s="4" t="s">
        <v>18</v>
      </c>
      <c r="H643" s="4" t="s">
        <v>18</v>
      </c>
      <c r="I643" s="4" t="s">
        <v>19</v>
      </c>
      <c r="J643" s="4" t="s">
        <v>20</v>
      </c>
      <c r="K643" s="4" t="s">
        <v>662</v>
      </c>
      <c r="L643" s="5">
        <v>0.39513888888888887</v>
      </c>
      <c r="M643" s="4" t="s">
        <v>664</v>
      </c>
      <c r="N643" s="6" t="s">
        <v>23</v>
      </c>
      <c r="O643" s="4" t="s">
        <v>24</v>
      </c>
    </row>
    <row r="644" spans="1:15" x14ac:dyDescent="0.25">
      <c r="A644" s="10" t="s">
        <v>15</v>
      </c>
      <c r="B644" s="10" t="str">
        <f>"FES1162749901"</f>
        <v>FES1162749901</v>
      </c>
      <c r="C644" s="10" t="s">
        <v>556</v>
      </c>
      <c r="D644" s="10">
        <v>1</v>
      </c>
      <c r="E644" s="10" t="str">
        <f>"2170734208"</f>
        <v>2170734208</v>
      </c>
      <c r="F644" s="10" t="s">
        <v>17</v>
      </c>
      <c r="G644" s="10" t="s">
        <v>18</v>
      </c>
      <c r="H644" s="10" t="s">
        <v>32</v>
      </c>
      <c r="I644" s="10" t="s">
        <v>33</v>
      </c>
      <c r="J644" s="10" t="s">
        <v>812</v>
      </c>
      <c r="K644" s="10" t="s">
        <v>43</v>
      </c>
      <c r="L644" s="10"/>
      <c r="M644" s="10" t="s">
        <v>44</v>
      </c>
      <c r="N644" s="10" t="s">
        <v>833</v>
      </c>
      <c r="O644" s="10" t="s">
        <v>833</v>
      </c>
    </row>
    <row r="645" spans="1:15" x14ac:dyDescent="0.25">
      <c r="A645" s="4" t="s">
        <v>15</v>
      </c>
      <c r="B645" s="4" t="str">
        <f>"FES1162749846"</f>
        <v>FES1162749846</v>
      </c>
      <c r="C645" s="4" t="s">
        <v>556</v>
      </c>
      <c r="D645" s="4">
        <v>1</v>
      </c>
      <c r="E645" s="4" t="str">
        <f>"2170736185"</f>
        <v>2170736185</v>
      </c>
      <c r="F645" s="4" t="s">
        <v>17</v>
      </c>
      <c r="G645" s="4" t="s">
        <v>18</v>
      </c>
      <c r="H645" s="4" t="s">
        <v>85</v>
      </c>
      <c r="I645" s="4" t="s">
        <v>144</v>
      </c>
      <c r="J645" s="4" t="s">
        <v>813</v>
      </c>
      <c r="K645" s="4" t="s">
        <v>662</v>
      </c>
      <c r="L645" s="5">
        <v>0.53333333333333333</v>
      </c>
      <c r="M645" s="4" t="s">
        <v>917</v>
      </c>
      <c r="N645" s="6" t="s">
        <v>23</v>
      </c>
      <c r="O645" s="4" t="s">
        <v>24</v>
      </c>
    </row>
    <row r="646" spans="1:15" x14ac:dyDescent="0.25">
      <c r="A646" s="4" t="s">
        <v>15</v>
      </c>
      <c r="B646" s="4" t="str">
        <f>"FES1162749854"</f>
        <v>FES1162749854</v>
      </c>
      <c r="C646" s="4" t="s">
        <v>556</v>
      </c>
      <c r="D646" s="4">
        <v>1</v>
      </c>
      <c r="E646" s="4" t="str">
        <f>"2170738318"</f>
        <v>2170738318</v>
      </c>
      <c r="F646" s="4" t="s">
        <v>17</v>
      </c>
      <c r="G646" s="4" t="s">
        <v>18</v>
      </c>
      <c r="H646" s="4" t="s">
        <v>85</v>
      </c>
      <c r="I646" s="4" t="s">
        <v>144</v>
      </c>
      <c r="J646" s="4" t="s">
        <v>814</v>
      </c>
      <c r="K646" s="4" t="s">
        <v>662</v>
      </c>
      <c r="L646" s="5">
        <v>0.57430555555555551</v>
      </c>
      <c r="M646" s="4" t="s">
        <v>916</v>
      </c>
      <c r="N646" s="6" t="s">
        <v>23</v>
      </c>
      <c r="O646" s="4" t="s">
        <v>24</v>
      </c>
    </row>
    <row r="647" spans="1:15" x14ac:dyDescent="0.25">
      <c r="A647" s="4" t="s">
        <v>15</v>
      </c>
      <c r="B647" s="4" t="str">
        <f>"FES1162739146"</f>
        <v>FES1162739146</v>
      </c>
      <c r="C647" s="4" t="s">
        <v>556</v>
      </c>
      <c r="D647" s="4">
        <v>1</v>
      </c>
      <c r="E647" s="4" t="str">
        <f>"2170729599"</f>
        <v>2170729599</v>
      </c>
      <c r="F647" s="4" t="s">
        <v>17</v>
      </c>
      <c r="G647" s="4" t="s">
        <v>18</v>
      </c>
      <c r="H647" s="4" t="s">
        <v>18</v>
      </c>
      <c r="I647" s="4" t="s">
        <v>58</v>
      </c>
      <c r="J647" s="4" t="s">
        <v>815</v>
      </c>
      <c r="K647" s="4" t="s">
        <v>662</v>
      </c>
      <c r="L647" s="5">
        <v>0.36458333333333331</v>
      </c>
      <c r="M647" s="4" t="s">
        <v>915</v>
      </c>
      <c r="N647" s="6" t="s">
        <v>23</v>
      </c>
      <c r="O647" s="4" t="s">
        <v>24</v>
      </c>
    </row>
    <row r="648" spans="1:15" x14ac:dyDescent="0.25">
      <c r="A648" s="4" t="s">
        <v>15</v>
      </c>
      <c r="B648" s="4" t="str">
        <f>"FES1162749920"</f>
        <v>FES1162749920</v>
      </c>
      <c r="C648" s="4" t="s">
        <v>556</v>
      </c>
      <c r="D648" s="4">
        <v>1</v>
      </c>
      <c r="E648" s="4" t="str">
        <f>"2170740114"</f>
        <v>2170740114</v>
      </c>
      <c r="F648" s="4" t="s">
        <v>17</v>
      </c>
      <c r="G648" s="4" t="s">
        <v>18</v>
      </c>
      <c r="H648" s="4" t="s">
        <v>48</v>
      </c>
      <c r="I648" s="4" t="s">
        <v>108</v>
      </c>
      <c r="J648" s="4" t="s">
        <v>109</v>
      </c>
      <c r="K648" s="4" t="s">
        <v>662</v>
      </c>
      <c r="L648" s="5">
        <v>0.38819444444444445</v>
      </c>
      <c r="M648" s="4" t="s">
        <v>740</v>
      </c>
      <c r="N648" s="6" t="s">
        <v>23</v>
      </c>
      <c r="O648" s="4" t="s">
        <v>24</v>
      </c>
    </row>
    <row r="649" spans="1:15" x14ac:dyDescent="0.25">
      <c r="A649" s="11" t="s">
        <v>15</v>
      </c>
      <c r="B649" s="11" t="str">
        <f>"FES1162749788"</f>
        <v>FES1162749788</v>
      </c>
      <c r="C649" s="11" t="s">
        <v>556</v>
      </c>
      <c r="D649" s="11">
        <v>1</v>
      </c>
      <c r="E649" s="11" t="str">
        <f>"2170740169"</f>
        <v>2170740169</v>
      </c>
      <c r="F649" s="11" t="s">
        <v>17</v>
      </c>
      <c r="G649" s="11" t="s">
        <v>18</v>
      </c>
      <c r="H649" s="11" t="s">
        <v>85</v>
      </c>
      <c r="I649" s="11" t="s">
        <v>86</v>
      </c>
      <c r="J649" s="11" t="s">
        <v>87</v>
      </c>
      <c r="K649" s="11" t="s">
        <v>662</v>
      </c>
      <c r="L649" s="12">
        <v>0.5854166666666667</v>
      </c>
      <c r="M649" s="11" t="s">
        <v>914</v>
      </c>
      <c r="N649" s="13" t="s">
        <v>23</v>
      </c>
      <c r="O649" s="11" t="s">
        <v>24</v>
      </c>
    </row>
    <row r="650" spans="1:15" x14ac:dyDescent="0.25">
      <c r="A650" s="11" t="s">
        <v>15</v>
      </c>
      <c r="B650" s="11" t="str">
        <f>"FES1162749917"</f>
        <v>FES1162749917</v>
      </c>
      <c r="C650" s="11" t="s">
        <v>556</v>
      </c>
      <c r="D650" s="11">
        <v>1</v>
      </c>
      <c r="E650" s="11" t="str">
        <f>"2170740252"</f>
        <v>2170740252</v>
      </c>
      <c r="F650" s="11" t="s">
        <v>17</v>
      </c>
      <c r="G650" s="11" t="s">
        <v>18</v>
      </c>
      <c r="H650" s="11" t="s">
        <v>40</v>
      </c>
      <c r="I650" s="11" t="s">
        <v>41</v>
      </c>
      <c r="J650" s="11" t="s">
        <v>358</v>
      </c>
      <c r="K650" s="11" t="s">
        <v>662</v>
      </c>
      <c r="L650" s="12">
        <v>0.5854166666666667</v>
      </c>
      <c r="M650" s="11" t="s">
        <v>1430</v>
      </c>
      <c r="N650" s="13" t="s">
        <v>23</v>
      </c>
      <c r="O650" s="11" t="s">
        <v>24</v>
      </c>
    </row>
    <row r="651" spans="1:15" x14ac:dyDescent="0.25">
      <c r="A651" s="11" t="s">
        <v>15</v>
      </c>
      <c r="B651" s="11" t="str">
        <f>"FES1162749787"</f>
        <v>FES1162749787</v>
      </c>
      <c r="C651" s="11" t="s">
        <v>556</v>
      </c>
      <c r="D651" s="11">
        <v>2</v>
      </c>
      <c r="E651" s="11" t="str">
        <f>"2170740167"</f>
        <v>2170740167</v>
      </c>
      <c r="F651" s="11" t="s">
        <v>17</v>
      </c>
      <c r="G651" s="11" t="s">
        <v>18</v>
      </c>
      <c r="H651" s="11" t="s">
        <v>18</v>
      </c>
      <c r="I651" s="11" t="s">
        <v>19</v>
      </c>
      <c r="J651" s="11" t="s">
        <v>20</v>
      </c>
      <c r="K651" s="11" t="s">
        <v>662</v>
      </c>
      <c r="L651" s="12">
        <v>0.39513888888888887</v>
      </c>
      <c r="M651" s="11" t="s">
        <v>664</v>
      </c>
      <c r="N651" s="13" t="s">
        <v>23</v>
      </c>
      <c r="O651" s="11" t="s">
        <v>24</v>
      </c>
    </row>
    <row r="652" spans="1:15" x14ac:dyDescent="0.25">
      <c r="A652" s="11" t="s">
        <v>15</v>
      </c>
      <c r="B652" s="11" t="str">
        <f>"FES1162749969"</f>
        <v>FES1162749969</v>
      </c>
      <c r="C652" s="11" t="s">
        <v>556</v>
      </c>
      <c r="D652" s="11">
        <v>0</v>
      </c>
      <c r="E652" s="11" t="str">
        <f>"2170740312"</f>
        <v>2170740312</v>
      </c>
      <c r="F652" s="11" t="s">
        <v>17</v>
      </c>
      <c r="G652" s="11" t="s">
        <v>18</v>
      </c>
      <c r="H652" s="11" t="s">
        <v>48</v>
      </c>
      <c r="I652" s="11" t="s">
        <v>49</v>
      </c>
      <c r="J652" s="11" t="s">
        <v>138</v>
      </c>
      <c r="K652" s="11" t="s">
        <v>662</v>
      </c>
      <c r="L652" s="12">
        <v>0.46319444444444446</v>
      </c>
      <c r="M652" s="11" t="s">
        <v>913</v>
      </c>
      <c r="N652" s="13" t="s">
        <v>23</v>
      </c>
      <c r="O652" s="11" t="s">
        <v>24</v>
      </c>
    </row>
    <row r="653" spans="1:15" x14ac:dyDescent="0.25">
      <c r="A653" s="11" t="s">
        <v>15</v>
      </c>
      <c r="B653" s="11" t="str">
        <f>"FES1162749951"</f>
        <v>FES1162749951</v>
      </c>
      <c r="C653" s="11" t="s">
        <v>556</v>
      </c>
      <c r="D653" s="11">
        <v>0</v>
      </c>
      <c r="E653" s="11" t="str">
        <f>"2170740292"</f>
        <v>2170740292</v>
      </c>
      <c r="F653" s="11" t="s">
        <v>17</v>
      </c>
      <c r="G653" s="11" t="s">
        <v>18</v>
      </c>
      <c r="H653" s="11" t="s">
        <v>18</v>
      </c>
      <c r="I653" s="11" t="s">
        <v>97</v>
      </c>
      <c r="J653" s="11" t="s">
        <v>133</v>
      </c>
      <c r="K653" s="11" t="s">
        <v>662</v>
      </c>
      <c r="L653" s="12">
        <v>0.36249999999999999</v>
      </c>
      <c r="M653" s="11" t="s">
        <v>816</v>
      </c>
      <c r="N653" s="13" t="s">
        <v>23</v>
      </c>
      <c r="O653" s="11" t="s">
        <v>24</v>
      </c>
    </row>
    <row r="654" spans="1:15" x14ac:dyDescent="0.25">
      <c r="A654" s="11" t="s">
        <v>15</v>
      </c>
      <c r="B654" s="11" t="str">
        <f>"FES1162749950"</f>
        <v>FES1162749950</v>
      </c>
      <c r="C654" s="11" t="s">
        <v>556</v>
      </c>
      <c r="D654" s="11">
        <v>0</v>
      </c>
      <c r="E654" s="11" t="str">
        <f>"2170740291"</f>
        <v>2170740291</v>
      </c>
      <c r="F654" s="11" t="s">
        <v>17</v>
      </c>
      <c r="G654" s="11" t="s">
        <v>18</v>
      </c>
      <c r="H654" s="11" t="s">
        <v>18</v>
      </c>
      <c r="I654" s="11" t="s">
        <v>97</v>
      </c>
      <c r="J654" s="11" t="s">
        <v>133</v>
      </c>
      <c r="K654" s="11" t="s">
        <v>662</v>
      </c>
      <c r="L654" s="12">
        <v>0.36249999999999999</v>
      </c>
      <c r="M654" s="11" t="s">
        <v>816</v>
      </c>
      <c r="N654" s="13" t="s">
        <v>23</v>
      </c>
      <c r="O654" s="11" t="s">
        <v>24</v>
      </c>
    </row>
    <row r="655" spans="1:15" x14ac:dyDescent="0.25">
      <c r="A655" s="11" t="s">
        <v>15</v>
      </c>
      <c r="B655" s="11" t="str">
        <f>"FES1162749953"</f>
        <v>FES1162749953</v>
      </c>
      <c r="C655" s="11" t="s">
        <v>556</v>
      </c>
      <c r="D655" s="11">
        <v>1</v>
      </c>
      <c r="E655" s="11" t="str">
        <f>"2170737620"</f>
        <v>2170737620</v>
      </c>
      <c r="F655" s="11" t="s">
        <v>17</v>
      </c>
      <c r="G655" s="11" t="s">
        <v>18</v>
      </c>
      <c r="H655" s="11" t="s">
        <v>18</v>
      </c>
      <c r="I655" s="11" t="s">
        <v>29</v>
      </c>
      <c r="J655" s="11" t="s">
        <v>788</v>
      </c>
      <c r="K655" s="11" t="s">
        <v>662</v>
      </c>
      <c r="L655" s="12">
        <v>0.4055555555555555</v>
      </c>
      <c r="M655" s="11" t="s">
        <v>912</v>
      </c>
      <c r="N655" s="13" t="s">
        <v>23</v>
      </c>
      <c r="O655" s="11" t="s">
        <v>24</v>
      </c>
    </row>
    <row r="656" spans="1:15" x14ac:dyDescent="0.25">
      <c r="A656" s="11" t="s">
        <v>15</v>
      </c>
      <c r="B656" s="11" t="str">
        <f>"FES1162749895"</f>
        <v>FES1162749895</v>
      </c>
      <c r="C656" s="11" t="s">
        <v>556</v>
      </c>
      <c r="D656" s="11">
        <v>1</v>
      </c>
      <c r="E656" s="11" t="str">
        <f>"2170740237"</f>
        <v>2170740237</v>
      </c>
      <c r="F656" s="11" t="s">
        <v>17</v>
      </c>
      <c r="G656" s="11" t="s">
        <v>18</v>
      </c>
      <c r="H656" s="11" t="s">
        <v>18</v>
      </c>
      <c r="I656" s="11" t="s">
        <v>19</v>
      </c>
      <c r="J656" s="11" t="s">
        <v>20</v>
      </c>
      <c r="K656" s="11" t="s">
        <v>662</v>
      </c>
      <c r="L656" s="12">
        <v>0.39444444444444443</v>
      </c>
      <c r="M656" s="11" t="s">
        <v>664</v>
      </c>
      <c r="N656" s="13" t="s">
        <v>23</v>
      </c>
      <c r="O656" s="11" t="s">
        <v>24</v>
      </c>
    </row>
    <row r="657" spans="1:15" x14ac:dyDescent="0.25">
      <c r="A657" s="11" t="s">
        <v>15</v>
      </c>
      <c r="B657" s="11" t="str">
        <f>"FES1162749903"</f>
        <v>FES1162749903</v>
      </c>
      <c r="C657" s="11" t="s">
        <v>556</v>
      </c>
      <c r="D657" s="11">
        <v>0</v>
      </c>
      <c r="E657" s="11" t="str">
        <f>"2170734396"</f>
        <v>2170734396</v>
      </c>
      <c r="F657" s="11" t="s">
        <v>17</v>
      </c>
      <c r="G657" s="11" t="s">
        <v>18</v>
      </c>
      <c r="H657" s="11" t="s">
        <v>18</v>
      </c>
      <c r="I657" s="11" t="s">
        <v>290</v>
      </c>
      <c r="J657" s="11" t="s">
        <v>804</v>
      </c>
      <c r="K657" s="11" t="s">
        <v>662</v>
      </c>
      <c r="L657" s="12">
        <v>0.39444444444444443</v>
      </c>
      <c r="M657" s="11" t="s">
        <v>1108</v>
      </c>
      <c r="N657" s="13" t="s">
        <v>23</v>
      </c>
      <c r="O657" s="11" t="s">
        <v>24</v>
      </c>
    </row>
    <row r="658" spans="1:15" x14ac:dyDescent="0.25">
      <c r="A658" s="11" t="s">
        <v>15</v>
      </c>
      <c r="B658" s="11" t="str">
        <f>"FES1162749959"</f>
        <v>FES1162749959</v>
      </c>
      <c r="C658" s="11" t="s">
        <v>556</v>
      </c>
      <c r="D658" s="11">
        <v>0</v>
      </c>
      <c r="E658" s="11" t="str">
        <f>"21707340297"</f>
        <v>21707340297</v>
      </c>
      <c r="F658" s="11" t="s">
        <v>17</v>
      </c>
      <c r="G658" s="11" t="s">
        <v>18</v>
      </c>
      <c r="H658" s="11" t="s">
        <v>18</v>
      </c>
      <c r="I658" s="11" t="s">
        <v>58</v>
      </c>
      <c r="J658" s="11" t="s">
        <v>817</v>
      </c>
      <c r="K658" s="11" t="s">
        <v>662</v>
      </c>
      <c r="L658" s="12">
        <v>0.4861111111111111</v>
      </c>
      <c r="M658" s="11" t="s">
        <v>911</v>
      </c>
      <c r="N658" s="13" t="s">
        <v>23</v>
      </c>
      <c r="O658" s="11" t="s">
        <v>24</v>
      </c>
    </row>
    <row r="659" spans="1:15" x14ac:dyDescent="0.25">
      <c r="A659" s="11" t="s">
        <v>15</v>
      </c>
      <c r="B659" s="11" t="str">
        <f>"FES1162749924"</f>
        <v>FES1162749924</v>
      </c>
      <c r="C659" s="11" t="s">
        <v>556</v>
      </c>
      <c r="D659" s="11">
        <v>1</v>
      </c>
      <c r="E659" s="11" t="str">
        <f>"2170740258"</f>
        <v>2170740258</v>
      </c>
      <c r="F659" s="11" t="s">
        <v>17</v>
      </c>
      <c r="G659" s="11" t="s">
        <v>18</v>
      </c>
      <c r="H659" s="11" t="s">
        <v>18</v>
      </c>
      <c r="I659" s="11" t="s">
        <v>19</v>
      </c>
      <c r="J659" s="11" t="s">
        <v>20</v>
      </c>
      <c r="K659" s="11" t="s">
        <v>662</v>
      </c>
      <c r="L659" s="12">
        <v>0.39652777777777781</v>
      </c>
      <c r="M659" s="11" t="s">
        <v>664</v>
      </c>
      <c r="N659" s="13" t="s">
        <v>23</v>
      </c>
      <c r="O659" s="11" t="s">
        <v>24</v>
      </c>
    </row>
    <row r="660" spans="1:15" x14ac:dyDescent="0.25">
      <c r="A660" s="11" t="s">
        <v>15</v>
      </c>
      <c r="B660" s="11" t="str">
        <f>"FES1162749967"</f>
        <v>FES1162749967</v>
      </c>
      <c r="C660" s="11" t="s">
        <v>556</v>
      </c>
      <c r="D660" s="11">
        <v>1</v>
      </c>
      <c r="E660" s="11" t="str">
        <f>"2170740307"</f>
        <v>2170740307</v>
      </c>
      <c r="F660" s="11" t="s">
        <v>17</v>
      </c>
      <c r="G660" s="11" t="s">
        <v>18</v>
      </c>
      <c r="H660" s="11" t="s">
        <v>18</v>
      </c>
      <c r="I660" s="11" t="s">
        <v>97</v>
      </c>
      <c r="J660" s="11" t="s">
        <v>818</v>
      </c>
      <c r="K660" s="11" t="s">
        <v>662</v>
      </c>
      <c r="L660" s="12">
        <v>0.36805555555555558</v>
      </c>
      <c r="M660" s="11" t="s">
        <v>819</v>
      </c>
      <c r="N660" s="13" t="s">
        <v>23</v>
      </c>
      <c r="O660" s="11" t="s">
        <v>24</v>
      </c>
    </row>
    <row r="661" spans="1:15" x14ac:dyDescent="0.25">
      <c r="A661" s="4" t="s">
        <v>15</v>
      </c>
      <c r="B661" s="4" t="str">
        <f>"FES1162749966"</f>
        <v>FES1162749966</v>
      </c>
      <c r="C661" s="4" t="s">
        <v>556</v>
      </c>
      <c r="D661" s="4">
        <v>1</v>
      </c>
      <c r="E661" s="4" t="str">
        <f>"2170740306"</f>
        <v>2170740306</v>
      </c>
      <c r="F661" s="4" t="s">
        <v>17</v>
      </c>
      <c r="G661" s="4" t="s">
        <v>18</v>
      </c>
      <c r="H661" s="4" t="s">
        <v>18</v>
      </c>
      <c r="I661" s="4" t="s">
        <v>97</v>
      </c>
      <c r="J661" s="4" t="s">
        <v>806</v>
      </c>
      <c r="K661" s="4" t="s">
        <v>662</v>
      </c>
      <c r="L661" s="5">
        <v>0.66666666666666663</v>
      </c>
      <c r="M661" s="4" t="s">
        <v>910</v>
      </c>
      <c r="N661" s="6" t="s">
        <v>23</v>
      </c>
      <c r="O661" s="4" t="s">
        <v>24</v>
      </c>
    </row>
    <row r="662" spans="1:15" x14ac:dyDescent="0.25">
      <c r="A662" s="4" t="s">
        <v>15</v>
      </c>
      <c r="B662" s="4" t="str">
        <f>"FES1162749916"</f>
        <v>FES1162749916</v>
      </c>
      <c r="C662" s="4" t="s">
        <v>556</v>
      </c>
      <c r="D662" s="4">
        <v>1</v>
      </c>
      <c r="E662" s="4" t="str">
        <f>"2170740251"</f>
        <v>2170740251</v>
      </c>
      <c r="F662" s="4" t="s">
        <v>17</v>
      </c>
      <c r="G662" s="4" t="s">
        <v>18</v>
      </c>
      <c r="H662" s="4" t="s">
        <v>18</v>
      </c>
      <c r="I662" s="4" t="s">
        <v>29</v>
      </c>
      <c r="J662" s="4" t="s">
        <v>820</v>
      </c>
      <c r="K662" s="4" t="s">
        <v>662</v>
      </c>
      <c r="L662" s="5">
        <v>0.41250000000000003</v>
      </c>
      <c r="M662" s="4" t="s">
        <v>909</v>
      </c>
      <c r="N662" s="6" t="s">
        <v>23</v>
      </c>
      <c r="O662" s="4" t="s">
        <v>24</v>
      </c>
    </row>
    <row r="663" spans="1:15" x14ac:dyDescent="0.25">
      <c r="A663" s="4" t="s">
        <v>15</v>
      </c>
      <c r="B663" s="4" t="str">
        <f>"FES1162749976"</f>
        <v>FES1162749976</v>
      </c>
      <c r="C663" s="4" t="s">
        <v>556</v>
      </c>
      <c r="D663" s="4">
        <v>0</v>
      </c>
      <c r="E663" s="4" t="str">
        <f>"2170740294"</f>
        <v>2170740294</v>
      </c>
      <c r="F663" s="4" t="s">
        <v>17</v>
      </c>
      <c r="G663" s="4" t="s">
        <v>18</v>
      </c>
      <c r="H663" s="4" t="s">
        <v>18</v>
      </c>
      <c r="I663" s="4" t="s">
        <v>29</v>
      </c>
      <c r="J663" s="4" t="s">
        <v>30</v>
      </c>
      <c r="K663" s="4" t="s">
        <v>662</v>
      </c>
      <c r="L663" s="5">
        <v>0.40277777777777773</v>
      </c>
      <c r="M663" s="4" t="s">
        <v>908</v>
      </c>
      <c r="N663" s="6" t="s">
        <v>23</v>
      </c>
      <c r="O663" s="4" t="s">
        <v>24</v>
      </c>
    </row>
    <row r="664" spans="1:15" x14ac:dyDescent="0.25">
      <c r="A664" s="4" t="s">
        <v>15</v>
      </c>
      <c r="B664" s="4" t="str">
        <f>"FES1162749890"</f>
        <v>FES1162749890</v>
      </c>
      <c r="C664" s="4" t="s">
        <v>556</v>
      </c>
      <c r="D664" s="4">
        <v>0</v>
      </c>
      <c r="E664" s="4" t="str">
        <f>"2170731043"</f>
        <v>2170731043</v>
      </c>
      <c r="F664" s="4" t="s">
        <v>17</v>
      </c>
      <c r="G664" s="4" t="s">
        <v>18</v>
      </c>
      <c r="H664" s="4" t="s">
        <v>18</v>
      </c>
      <c r="I664" s="4" t="s">
        <v>68</v>
      </c>
      <c r="J664" s="4" t="s">
        <v>821</v>
      </c>
      <c r="K664" s="4" t="s">
        <v>662</v>
      </c>
      <c r="L664" s="5">
        <v>0.375</v>
      </c>
      <c r="M664" s="4" t="s">
        <v>128</v>
      </c>
      <c r="N664" s="6" t="s">
        <v>23</v>
      </c>
      <c r="O664" s="4" t="s">
        <v>24</v>
      </c>
    </row>
    <row r="665" spans="1:15" x14ac:dyDescent="0.25">
      <c r="A665" s="4" t="s">
        <v>15</v>
      </c>
      <c r="B665" s="4" t="str">
        <f>"FES1162749970"</f>
        <v>FES1162749970</v>
      </c>
      <c r="C665" s="4" t="s">
        <v>556</v>
      </c>
      <c r="D665" s="4">
        <v>1</v>
      </c>
      <c r="E665" s="4" t="str">
        <f>"2170740304"</f>
        <v>2170740304</v>
      </c>
      <c r="F665" s="4" t="s">
        <v>17</v>
      </c>
      <c r="G665" s="4" t="s">
        <v>18</v>
      </c>
      <c r="H665" s="4" t="s">
        <v>18</v>
      </c>
      <c r="I665" s="4" t="s">
        <v>19</v>
      </c>
      <c r="J665" s="4" t="s">
        <v>20</v>
      </c>
      <c r="K665" s="4" t="s">
        <v>662</v>
      </c>
      <c r="L665" s="5">
        <v>0.39444444444444443</v>
      </c>
      <c r="M665" s="4" t="s">
        <v>664</v>
      </c>
      <c r="N665" s="6" t="s">
        <v>23</v>
      </c>
      <c r="O665" s="4" t="s">
        <v>24</v>
      </c>
    </row>
    <row r="666" spans="1:15" x14ac:dyDescent="0.25">
      <c r="A666" s="4" t="s">
        <v>15</v>
      </c>
      <c r="B666" s="4" t="str">
        <f>"FES1162749975"</f>
        <v>FES1162749975</v>
      </c>
      <c r="C666" s="4" t="s">
        <v>556</v>
      </c>
      <c r="D666" s="4">
        <v>1</v>
      </c>
      <c r="E666" s="4" t="str">
        <f>"2170739139"</f>
        <v>2170739139</v>
      </c>
      <c r="F666" s="4" t="s">
        <v>17</v>
      </c>
      <c r="G666" s="4" t="s">
        <v>18</v>
      </c>
      <c r="H666" s="4" t="s">
        <v>32</v>
      </c>
      <c r="I666" s="4" t="s">
        <v>33</v>
      </c>
      <c r="J666" s="4" t="s">
        <v>822</v>
      </c>
      <c r="K666" s="4" t="s">
        <v>662</v>
      </c>
      <c r="L666" s="5">
        <v>0.4375</v>
      </c>
      <c r="M666" s="4" t="s">
        <v>907</v>
      </c>
      <c r="N666" s="6" t="s">
        <v>23</v>
      </c>
      <c r="O666" s="4" t="s">
        <v>24</v>
      </c>
    </row>
    <row r="667" spans="1:15" x14ac:dyDescent="0.25">
      <c r="A667" s="4" t="s">
        <v>15</v>
      </c>
      <c r="B667" s="4" t="str">
        <f>"FES1162749977"</f>
        <v>FES1162749977</v>
      </c>
      <c r="C667" s="4" t="s">
        <v>556</v>
      </c>
      <c r="D667" s="4">
        <v>0</v>
      </c>
      <c r="E667" s="4" t="str">
        <f>"2170740300"</f>
        <v>2170740300</v>
      </c>
      <c r="F667" s="4" t="s">
        <v>17</v>
      </c>
      <c r="G667" s="4" t="s">
        <v>18</v>
      </c>
      <c r="H667" s="4" t="s">
        <v>18</v>
      </c>
      <c r="I667" s="4" t="s">
        <v>97</v>
      </c>
      <c r="J667" s="4" t="s">
        <v>266</v>
      </c>
      <c r="K667" s="4" t="s">
        <v>662</v>
      </c>
      <c r="L667" s="5">
        <v>0.3527777777777778</v>
      </c>
      <c r="M667" s="4" t="s">
        <v>906</v>
      </c>
      <c r="N667" s="6" t="s">
        <v>23</v>
      </c>
      <c r="O667" s="4" t="s">
        <v>24</v>
      </c>
    </row>
    <row r="668" spans="1:15" x14ac:dyDescent="0.25">
      <c r="A668" s="4" t="s">
        <v>15</v>
      </c>
      <c r="B668" s="4" t="str">
        <f>"FES1162749978"</f>
        <v>FES1162749978</v>
      </c>
      <c r="C668" s="4" t="s">
        <v>556</v>
      </c>
      <c r="D668" s="4">
        <v>0</v>
      </c>
      <c r="E668" s="4" t="str">
        <f>"2170740319"</f>
        <v>2170740319</v>
      </c>
      <c r="F668" s="4" t="s">
        <v>17</v>
      </c>
      <c r="G668" s="4" t="s">
        <v>18</v>
      </c>
      <c r="H668" s="4" t="s">
        <v>167</v>
      </c>
      <c r="I668" s="4" t="s">
        <v>168</v>
      </c>
      <c r="J668" s="4" t="s">
        <v>169</v>
      </c>
      <c r="K668" s="4" t="s">
        <v>662</v>
      </c>
      <c r="L668" s="5">
        <v>0.41666666666666669</v>
      </c>
      <c r="M668" s="4" t="s">
        <v>490</v>
      </c>
      <c r="N668" s="6" t="s">
        <v>23</v>
      </c>
      <c r="O668" s="4" t="s">
        <v>24</v>
      </c>
    </row>
    <row r="669" spans="1:15" x14ac:dyDescent="0.25">
      <c r="A669" s="4" t="s">
        <v>15</v>
      </c>
      <c r="B669" s="4" t="str">
        <f>"FES1162749973"</f>
        <v>FES1162749973</v>
      </c>
      <c r="C669" s="4" t="s">
        <v>556</v>
      </c>
      <c r="D669" s="4">
        <v>1</v>
      </c>
      <c r="E669" s="4" t="str">
        <f>"2170740316"</f>
        <v>2170740316</v>
      </c>
      <c r="F669" s="4" t="s">
        <v>17</v>
      </c>
      <c r="G669" s="4" t="s">
        <v>18</v>
      </c>
      <c r="H669" s="4" t="s">
        <v>18</v>
      </c>
      <c r="I669" s="4" t="s">
        <v>292</v>
      </c>
      <c r="J669" s="4" t="s">
        <v>293</v>
      </c>
      <c r="K669" s="4" t="s">
        <v>662</v>
      </c>
      <c r="L669" s="5">
        <v>0.33333333333333331</v>
      </c>
      <c r="M669" s="4" t="s">
        <v>905</v>
      </c>
      <c r="N669" s="6" t="s">
        <v>23</v>
      </c>
      <c r="O669" s="4" t="s">
        <v>24</v>
      </c>
    </row>
    <row r="670" spans="1:15" x14ac:dyDescent="0.25">
      <c r="A670" s="4" t="s">
        <v>15</v>
      </c>
      <c r="B670" s="4" t="str">
        <f>"FES1162749979"</f>
        <v>FES1162749979</v>
      </c>
      <c r="C670" s="4" t="s">
        <v>556</v>
      </c>
      <c r="D670" s="4">
        <v>0</v>
      </c>
      <c r="E670" s="4" t="str">
        <f>"2170740322"</f>
        <v>2170740322</v>
      </c>
      <c r="F670" s="4" t="s">
        <v>17</v>
      </c>
      <c r="G670" s="4" t="s">
        <v>18</v>
      </c>
      <c r="H670" s="4" t="s">
        <v>48</v>
      </c>
      <c r="I670" s="4" t="s">
        <v>49</v>
      </c>
      <c r="J670" s="4" t="s">
        <v>142</v>
      </c>
      <c r="K670" s="4" t="s">
        <v>662</v>
      </c>
      <c r="L670" s="5">
        <v>0.38611111111111113</v>
      </c>
      <c r="M670" s="4" t="s">
        <v>823</v>
      </c>
      <c r="N670" s="6" t="s">
        <v>23</v>
      </c>
      <c r="O670" s="4" t="s">
        <v>24</v>
      </c>
    </row>
    <row r="671" spans="1:15" ht="15.75" thickBot="1" x14ac:dyDescent="0.3">
      <c r="A671" s="16" t="s">
        <v>15</v>
      </c>
      <c r="B671" s="16" t="str">
        <f>"009940085439"</f>
        <v>009940085439</v>
      </c>
      <c r="C671" s="16" t="s">
        <v>556</v>
      </c>
      <c r="D671" s="16">
        <v>1</v>
      </c>
      <c r="E671" s="16" t="str">
        <f>"JNB2006040150"</f>
        <v>JNB2006040150</v>
      </c>
      <c r="F671" s="16" t="s">
        <v>17</v>
      </c>
      <c r="G671" s="16" t="s">
        <v>48</v>
      </c>
      <c r="H671" s="16" t="s">
        <v>48</v>
      </c>
      <c r="I671" s="16" t="s">
        <v>49</v>
      </c>
      <c r="J671" s="16" t="s">
        <v>548</v>
      </c>
      <c r="K671" s="16" t="s">
        <v>662</v>
      </c>
      <c r="L671" s="17">
        <v>0.38611111111111113</v>
      </c>
      <c r="M671" s="16" t="s">
        <v>1107</v>
      </c>
      <c r="N671" s="16" t="s">
        <v>23</v>
      </c>
      <c r="O671" s="16" t="s">
        <v>24</v>
      </c>
    </row>
    <row r="672" spans="1:15" x14ac:dyDescent="0.25">
      <c r="A672" s="1" t="s">
        <v>15</v>
      </c>
      <c r="B672" s="1" t="str">
        <f>"FES1162750082"</f>
        <v>FES1162750082</v>
      </c>
      <c r="C672" s="1" t="s">
        <v>662</v>
      </c>
      <c r="D672" s="1">
        <v>1</v>
      </c>
      <c r="E672" s="1" t="str">
        <f>"2170738719"</f>
        <v>2170738719</v>
      </c>
      <c r="F672" s="1" t="s">
        <v>17</v>
      </c>
      <c r="G672" s="1" t="s">
        <v>18</v>
      </c>
      <c r="H672" s="1" t="s">
        <v>18</v>
      </c>
      <c r="I672" s="1" t="s">
        <v>19</v>
      </c>
      <c r="J672" s="1" t="s">
        <v>20</v>
      </c>
      <c r="K672" s="1" t="s">
        <v>845</v>
      </c>
      <c r="L672" s="2">
        <v>0.40347222222222223</v>
      </c>
      <c r="M672" s="1" t="s">
        <v>22</v>
      </c>
      <c r="N672" s="3" t="s">
        <v>23</v>
      </c>
      <c r="O672" s="1" t="s">
        <v>24</v>
      </c>
    </row>
    <row r="673" spans="1:15" x14ac:dyDescent="0.25">
      <c r="A673" s="4" t="s">
        <v>15</v>
      </c>
      <c r="B673" s="4" t="str">
        <f>"FES1162750130"</f>
        <v>FES1162750130</v>
      </c>
      <c r="C673" s="4" t="s">
        <v>662</v>
      </c>
      <c r="D673" s="4">
        <v>1</v>
      </c>
      <c r="E673" s="4" t="str">
        <f>"2170738098"</f>
        <v>2170738098</v>
      </c>
      <c r="F673" s="4" t="s">
        <v>17</v>
      </c>
      <c r="G673" s="4" t="s">
        <v>18</v>
      </c>
      <c r="H673" s="4" t="s">
        <v>18</v>
      </c>
      <c r="I673" s="4" t="s">
        <v>29</v>
      </c>
      <c r="J673" s="4" t="s">
        <v>173</v>
      </c>
      <c r="K673" s="4" t="s">
        <v>845</v>
      </c>
      <c r="L673" s="5">
        <v>0.41666666666666669</v>
      </c>
      <c r="M673" s="4" t="s">
        <v>969</v>
      </c>
      <c r="N673" s="6" t="s">
        <v>23</v>
      </c>
      <c r="O673" s="4" t="s">
        <v>24</v>
      </c>
    </row>
    <row r="674" spans="1:15" x14ac:dyDescent="0.25">
      <c r="A674" s="4" t="s">
        <v>15</v>
      </c>
      <c r="B674" s="4" t="str">
        <f>"FES1162749994"</f>
        <v>FES1162749994</v>
      </c>
      <c r="C674" s="4" t="s">
        <v>662</v>
      </c>
      <c r="D674" s="4">
        <v>1</v>
      </c>
      <c r="E674" s="4" t="str">
        <f>"2170740332"</f>
        <v>2170740332</v>
      </c>
      <c r="F674" s="4" t="s">
        <v>17</v>
      </c>
      <c r="G674" s="4" t="s">
        <v>18</v>
      </c>
      <c r="H674" s="4" t="s">
        <v>18</v>
      </c>
      <c r="I674" s="4" t="s">
        <v>147</v>
      </c>
      <c r="J674" s="4" t="s">
        <v>904</v>
      </c>
      <c r="K674" s="4" t="s">
        <v>845</v>
      </c>
      <c r="L674" s="5">
        <v>0.33333333333333331</v>
      </c>
      <c r="M674" s="4" t="s">
        <v>728</v>
      </c>
      <c r="N674" s="6" t="s">
        <v>23</v>
      </c>
      <c r="O674" s="4" t="s">
        <v>24</v>
      </c>
    </row>
    <row r="675" spans="1:15" x14ac:dyDescent="0.25">
      <c r="A675" s="4" t="s">
        <v>15</v>
      </c>
      <c r="B675" s="4" t="str">
        <f>"FES1162750029"</f>
        <v>FES1162750029</v>
      </c>
      <c r="C675" s="4" t="s">
        <v>662</v>
      </c>
      <c r="D675" s="4">
        <v>1</v>
      </c>
      <c r="E675" s="4" t="str">
        <f>"2170738272"</f>
        <v>2170738272</v>
      </c>
      <c r="F675" s="4" t="s">
        <v>17</v>
      </c>
      <c r="G675" s="4" t="s">
        <v>18</v>
      </c>
      <c r="H675" s="4" t="s">
        <v>85</v>
      </c>
      <c r="I675" s="4" t="s">
        <v>295</v>
      </c>
      <c r="J675" s="4" t="s">
        <v>370</v>
      </c>
      <c r="K675" s="4" t="s">
        <v>845</v>
      </c>
      <c r="L675" s="5">
        <v>0.4604166666666667</v>
      </c>
      <c r="M675" s="4" t="s">
        <v>502</v>
      </c>
      <c r="N675" s="6" t="s">
        <v>23</v>
      </c>
      <c r="O675" s="4" t="s">
        <v>24</v>
      </c>
    </row>
    <row r="676" spans="1:15" x14ac:dyDescent="0.25">
      <c r="A676" s="4" t="s">
        <v>15</v>
      </c>
      <c r="B676" s="4" t="str">
        <f>"FES1162750101"</f>
        <v>FES1162750101</v>
      </c>
      <c r="C676" s="4" t="s">
        <v>662</v>
      </c>
      <c r="D676" s="4">
        <v>1</v>
      </c>
      <c r="E676" s="4" t="str">
        <f>"21707392052"</f>
        <v>21707392052</v>
      </c>
      <c r="F676" s="4" t="s">
        <v>17</v>
      </c>
      <c r="G676" s="4" t="s">
        <v>18</v>
      </c>
      <c r="H676" s="4" t="s">
        <v>40</v>
      </c>
      <c r="I676" s="4" t="s">
        <v>41</v>
      </c>
      <c r="J676" s="4" t="s">
        <v>596</v>
      </c>
      <c r="K676" s="4" t="s">
        <v>845</v>
      </c>
      <c r="L676" s="5">
        <v>0.41736111111111113</v>
      </c>
      <c r="M676" s="4" t="s">
        <v>970</v>
      </c>
      <c r="N676" s="6" t="s">
        <v>23</v>
      </c>
      <c r="O676" s="4" t="s">
        <v>24</v>
      </c>
    </row>
    <row r="677" spans="1:15" x14ac:dyDescent="0.25">
      <c r="A677" s="4" t="s">
        <v>15</v>
      </c>
      <c r="B677" s="4" t="str">
        <f>"FES1162750145"</f>
        <v>FES1162750145</v>
      </c>
      <c r="C677" s="4" t="s">
        <v>662</v>
      </c>
      <c r="D677" s="4">
        <v>1</v>
      </c>
      <c r="E677" s="4" t="str">
        <f>"2170740379"</f>
        <v>2170740379</v>
      </c>
      <c r="F677" s="4" t="s">
        <v>17</v>
      </c>
      <c r="G677" s="4" t="s">
        <v>18</v>
      </c>
      <c r="H677" s="4" t="s">
        <v>85</v>
      </c>
      <c r="I677" s="4" t="s">
        <v>144</v>
      </c>
      <c r="J677" s="4" t="s">
        <v>878</v>
      </c>
      <c r="K677" s="4" t="s">
        <v>845</v>
      </c>
      <c r="L677" s="5">
        <v>0.38819444444444445</v>
      </c>
      <c r="M677" s="4" t="s">
        <v>971</v>
      </c>
      <c r="N677" s="6" t="s">
        <v>23</v>
      </c>
      <c r="O677" s="4" t="s">
        <v>24</v>
      </c>
    </row>
    <row r="678" spans="1:15" x14ac:dyDescent="0.25">
      <c r="A678" s="4" t="s">
        <v>15</v>
      </c>
      <c r="B678" s="4" t="str">
        <f>"FES1162750163"</f>
        <v>FES1162750163</v>
      </c>
      <c r="C678" s="4" t="s">
        <v>662</v>
      </c>
      <c r="D678" s="4">
        <v>1</v>
      </c>
      <c r="E678" s="4" t="str">
        <f>"2170739055"</f>
        <v>2170739055</v>
      </c>
      <c r="F678" s="4" t="s">
        <v>17</v>
      </c>
      <c r="G678" s="4" t="s">
        <v>18</v>
      </c>
      <c r="H678" s="4" t="s">
        <v>48</v>
      </c>
      <c r="I678" s="4" t="s">
        <v>49</v>
      </c>
      <c r="J678" s="4" t="s">
        <v>867</v>
      </c>
      <c r="K678" s="4" t="s">
        <v>845</v>
      </c>
      <c r="L678" s="5">
        <v>0.41666666666666669</v>
      </c>
      <c r="M678" s="4" t="s">
        <v>972</v>
      </c>
      <c r="N678" s="6" t="s">
        <v>23</v>
      </c>
      <c r="O678" s="4" t="s">
        <v>24</v>
      </c>
    </row>
    <row r="679" spans="1:15" x14ac:dyDescent="0.25">
      <c r="A679" s="4" t="s">
        <v>15</v>
      </c>
      <c r="B679" s="4" t="str">
        <f>"FES1162750002"</f>
        <v>FES1162750002</v>
      </c>
      <c r="C679" s="4" t="s">
        <v>662</v>
      </c>
      <c r="D679" s="4">
        <v>1</v>
      </c>
      <c r="E679" s="4" t="str">
        <f>"2170738474"</f>
        <v>2170738474</v>
      </c>
      <c r="F679" s="4" t="s">
        <v>164</v>
      </c>
      <c r="G679" s="4" t="s">
        <v>18</v>
      </c>
      <c r="H679" s="4" t="s">
        <v>18</v>
      </c>
      <c r="I679" s="4" t="s">
        <v>147</v>
      </c>
      <c r="J679" s="4" t="s">
        <v>903</v>
      </c>
      <c r="K679" s="4" t="s">
        <v>845</v>
      </c>
      <c r="L679" s="5">
        <v>0.41666666666666669</v>
      </c>
      <c r="M679" s="4" t="s">
        <v>968</v>
      </c>
      <c r="N679" s="6" t="s">
        <v>23</v>
      </c>
      <c r="O679" s="4" t="s">
        <v>166</v>
      </c>
    </row>
    <row r="680" spans="1:15" x14ac:dyDescent="0.25">
      <c r="A680" s="4" t="s">
        <v>15</v>
      </c>
      <c r="B680" s="4" t="str">
        <f>"FES1162750204"</f>
        <v>FES1162750204</v>
      </c>
      <c r="C680" s="4" t="s">
        <v>662</v>
      </c>
      <c r="D680" s="4">
        <v>1</v>
      </c>
      <c r="E680" s="4" t="str">
        <f>"2170740439"</f>
        <v>2170740439</v>
      </c>
      <c r="F680" s="4" t="s">
        <v>17</v>
      </c>
      <c r="G680" s="4" t="s">
        <v>18</v>
      </c>
      <c r="H680" s="4" t="s">
        <v>18</v>
      </c>
      <c r="I680" s="4" t="s">
        <v>183</v>
      </c>
      <c r="J680" s="4" t="s">
        <v>902</v>
      </c>
      <c r="K680" s="4" t="s">
        <v>845</v>
      </c>
      <c r="L680" s="5">
        <v>0.32222222222222224</v>
      </c>
      <c r="M680" s="4" t="s">
        <v>973</v>
      </c>
      <c r="N680" s="6" t="s">
        <v>23</v>
      </c>
      <c r="O680" s="4" t="s">
        <v>24</v>
      </c>
    </row>
    <row r="681" spans="1:15" x14ac:dyDescent="0.25">
      <c r="A681" s="4" t="s">
        <v>15</v>
      </c>
      <c r="B681" s="4" t="str">
        <f>"FES1162750077"</f>
        <v>FES1162750077</v>
      </c>
      <c r="C681" s="4" t="s">
        <v>662</v>
      </c>
      <c r="D681" s="4">
        <v>1</v>
      </c>
      <c r="E681" s="4" t="str">
        <f>"2170738633"</f>
        <v>2170738633</v>
      </c>
      <c r="F681" s="4" t="s">
        <v>17</v>
      </c>
      <c r="G681" s="4" t="s">
        <v>18</v>
      </c>
      <c r="H681" s="4" t="s">
        <v>18</v>
      </c>
      <c r="I681" s="4" t="s">
        <v>19</v>
      </c>
      <c r="J681" s="4" t="s">
        <v>20</v>
      </c>
      <c r="K681" s="4" t="s">
        <v>845</v>
      </c>
      <c r="L681" s="5">
        <v>0.40486111111111112</v>
      </c>
      <c r="M681" s="4" t="s">
        <v>22</v>
      </c>
      <c r="N681" s="6" t="s">
        <v>23</v>
      </c>
      <c r="O681" s="4" t="s">
        <v>24</v>
      </c>
    </row>
    <row r="682" spans="1:15" x14ac:dyDescent="0.25">
      <c r="A682" s="4" t="s">
        <v>15</v>
      </c>
      <c r="B682" s="4" t="str">
        <f>"FES1162750131"</f>
        <v>FES1162750131</v>
      </c>
      <c r="C682" s="4" t="s">
        <v>662</v>
      </c>
      <c r="D682" s="4">
        <v>1</v>
      </c>
      <c r="E682" s="4" t="str">
        <f>"2170738164"</f>
        <v>2170738164</v>
      </c>
      <c r="F682" s="4" t="s">
        <v>17</v>
      </c>
      <c r="G682" s="4" t="s">
        <v>18</v>
      </c>
      <c r="H682" s="4" t="s">
        <v>18</v>
      </c>
      <c r="I682" s="4" t="s">
        <v>19</v>
      </c>
      <c r="J682" s="4" t="s">
        <v>270</v>
      </c>
      <c r="K682" s="4" t="s">
        <v>845</v>
      </c>
      <c r="L682" s="5">
        <v>0.35694444444444445</v>
      </c>
      <c r="M682" s="4" t="s">
        <v>974</v>
      </c>
      <c r="N682" s="6" t="s">
        <v>23</v>
      </c>
      <c r="O682" s="4" t="s">
        <v>24</v>
      </c>
    </row>
    <row r="683" spans="1:15" x14ac:dyDescent="0.25">
      <c r="A683" s="4" t="s">
        <v>15</v>
      </c>
      <c r="B683" s="4" t="str">
        <f>"FES1162750023"</f>
        <v>FES1162750023</v>
      </c>
      <c r="C683" s="4" t="s">
        <v>662</v>
      </c>
      <c r="D683" s="4">
        <v>1</v>
      </c>
      <c r="E683" s="4" t="str">
        <f>"2170737586"</f>
        <v>2170737586</v>
      </c>
      <c r="F683" s="4" t="s">
        <v>17</v>
      </c>
      <c r="G683" s="4" t="s">
        <v>18</v>
      </c>
      <c r="H683" s="4" t="s">
        <v>18</v>
      </c>
      <c r="I683" s="4" t="s">
        <v>219</v>
      </c>
      <c r="J683" s="4" t="s">
        <v>901</v>
      </c>
      <c r="K683" s="4" t="s">
        <v>845</v>
      </c>
      <c r="L683" s="5">
        <v>0.5</v>
      </c>
      <c r="M683" s="4" t="s">
        <v>975</v>
      </c>
      <c r="N683" s="6" t="s">
        <v>23</v>
      </c>
      <c r="O683" s="4" t="s">
        <v>24</v>
      </c>
    </row>
    <row r="684" spans="1:15" x14ac:dyDescent="0.25">
      <c r="A684" s="4" t="s">
        <v>15</v>
      </c>
      <c r="B684" s="4" t="str">
        <f>"FES1162750158"</f>
        <v>FES1162750158</v>
      </c>
      <c r="C684" s="4" t="s">
        <v>662</v>
      </c>
      <c r="D684" s="4">
        <v>1</v>
      </c>
      <c r="E684" s="4" t="str">
        <f>"2170740389"</f>
        <v>2170740389</v>
      </c>
      <c r="F684" s="4" t="s">
        <v>17</v>
      </c>
      <c r="G684" s="4" t="s">
        <v>18</v>
      </c>
      <c r="H684" s="4" t="s">
        <v>85</v>
      </c>
      <c r="I684" s="4" t="s">
        <v>86</v>
      </c>
      <c r="J684" s="4" t="s">
        <v>87</v>
      </c>
      <c r="K684" s="4" t="s">
        <v>845</v>
      </c>
      <c r="L684" s="5">
        <v>0.46111111111111108</v>
      </c>
      <c r="M684" s="4" t="s">
        <v>976</v>
      </c>
      <c r="N684" s="6" t="s">
        <v>23</v>
      </c>
      <c r="O684" s="4" t="s">
        <v>24</v>
      </c>
    </row>
    <row r="685" spans="1:15" x14ac:dyDescent="0.25">
      <c r="A685" s="4" t="s">
        <v>15</v>
      </c>
      <c r="B685" s="4" t="str">
        <f>"FES1162750076"</f>
        <v>FES1162750076</v>
      </c>
      <c r="C685" s="4" t="s">
        <v>662</v>
      </c>
      <c r="D685" s="4">
        <v>1</v>
      </c>
      <c r="E685" s="4" t="str">
        <f>"2170738613"</f>
        <v>2170738613</v>
      </c>
      <c r="F685" s="4" t="s">
        <v>17</v>
      </c>
      <c r="G685" s="4" t="s">
        <v>18</v>
      </c>
      <c r="H685" s="4" t="s">
        <v>18</v>
      </c>
      <c r="I685" s="4" t="s">
        <v>147</v>
      </c>
      <c r="J685" s="4" t="s">
        <v>611</v>
      </c>
      <c r="K685" s="4" t="s">
        <v>845</v>
      </c>
      <c r="L685" s="5">
        <v>0.33333333333333331</v>
      </c>
      <c r="M685" s="4" t="s">
        <v>977</v>
      </c>
      <c r="N685" s="6" t="s">
        <v>23</v>
      </c>
      <c r="O685" s="4" t="s">
        <v>24</v>
      </c>
    </row>
    <row r="686" spans="1:15" x14ac:dyDescent="0.25">
      <c r="A686" s="11" t="s">
        <v>15</v>
      </c>
      <c r="B686" s="11" t="str">
        <f>"FES1162750080"</f>
        <v>FES1162750080</v>
      </c>
      <c r="C686" s="11" t="s">
        <v>662</v>
      </c>
      <c r="D686" s="11">
        <v>1</v>
      </c>
      <c r="E686" s="11" t="str">
        <f>"2170738678"</f>
        <v>2170738678</v>
      </c>
      <c r="F686" s="11" t="s">
        <v>17</v>
      </c>
      <c r="G686" s="11" t="s">
        <v>18</v>
      </c>
      <c r="H686" s="11" t="s">
        <v>178</v>
      </c>
      <c r="I686" s="11" t="s">
        <v>900</v>
      </c>
      <c r="J686" s="11" t="s">
        <v>899</v>
      </c>
      <c r="K686" s="11" t="s">
        <v>845</v>
      </c>
      <c r="L686" s="12">
        <v>0.39583333333333331</v>
      </c>
      <c r="M686" s="11" t="s">
        <v>978</v>
      </c>
      <c r="N686" s="13" t="s">
        <v>23</v>
      </c>
      <c r="O686" s="11" t="s">
        <v>24</v>
      </c>
    </row>
    <row r="687" spans="1:15" x14ac:dyDescent="0.25">
      <c r="A687" s="11" t="s">
        <v>15</v>
      </c>
      <c r="B687" s="11" t="str">
        <f>"FES1162750115"</f>
        <v>FES1162750115</v>
      </c>
      <c r="C687" s="11" t="s">
        <v>662</v>
      </c>
      <c r="D687" s="11">
        <v>1</v>
      </c>
      <c r="E687" s="11" t="str">
        <f>"2170739828"</f>
        <v>2170739828</v>
      </c>
      <c r="F687" s="11" t="s">
        <v>17</v>
      </c>
      <c r="G687" s="11" t="s">
        <v>18</v>
      </c>
      <c r="H687" s="11" t="s">
        <v>178</v>
      </c>
      <c r="I687" s="11" t="s">
        <v>900</v>
      </c>
      <c r="J687" s="11" t="s">
        <v>899</v>
      </c>
      <c r="K687" s="11" t="s">
        <v>845</v>
      </c>
      <c r="L687" s="12">
        <v>0.39583333333333331</v>
      </c>
      <c r="M687" s="11" t="s">
        <v>978</v>
      </c>
      <c r="N687" s="13" t="s">
        <v>23</v>
      </c>
      <c r="O687" s="11" t="s">
        <v>24</v>
      </c>
    </row>
    <row r="688" spans="1:15" x14ac:dyDescent="0.25">
      <c r="A688" s="11" t="s">
        <v>15</v>
      </c>
      <c r="B688" s="11" t="str">
        <f>"FES1162750042"</f>
        <v>FES1162750042</v>
      </c>
      <c r="C688" s="11" t="s">
        <v>662</v>
      </c>
      <c r="D688" s="11">
        <v>1</v>
      </c>
      <c r="E688" s="11" t="str">
        <f>"2170738375"</f>
        <v>2170738375</v>
      </c>
      <c r="F688" s="11" t="s">
        <v>17</v>
      </c>
      <c r="G688" s="11" t="s">
        <v>18</v>
      </c>
      <c r="H688" s="11" t="s">
        <v>40</v>
      </c>
      <c r="I688" s="11" t="s">
        <v>41</v>
      </c>
      <c r="J688" s="11" t="s">
        <v>358</v>
      </c>
      <c r="K688" s="11" t="s">
        <v>845</v>
      </c>
      <c r="L688" s="12">
        <v>0.39583333333333331</v>
      </c>
      <c r="M688" s="11" t="s">
        <v>1429</v>
      </c>
      <c r="N688" s="13" t="s">
        <v>23</v>
      </c>
      <c r="O688" s="11" t="s">
        <v>24</v>
      </c>
    </row>
    <row r="689" spans="1:15" x14ac:dyDescent="0.25">
      <c r="A689" s="11" t="s">
        <v>15</v>
      </c>
      <c r="B689" s="11" t="str">
        <f>"FES1162750062"</f>
        <v>FES1162750062</v>
      </c>
      <c r="C689" s="11" t="s">
        <v>662</v>
      </c>
      <c r="D689" s="11">
        <v>1</v>
      </c>
      <c r="E689" s="11" t="str">
        <f>"2170738519"</f>
        <v>2170738519</v>
      </c>
      <c r="F689" s="11" t="s">
        <v>17</v>
      </c>
      <c r="G689" s="11" t="s">
        <v>18</v>
      </c>
      <c r="H689" s="11" t="s">
        <v>48</v>
      </c>
      <c r="I689" s="11" t="s">
        <v>49</v>
      </c>
      <c r="J689" s="11" t="s">
        <v>898</v>
      </c>
      <c r="K689" s="11" t="s">
        <v>845</v>
      </c>
      <c r="L689" s="12">
        <v>0.36736111111111108</v>
      </c>
      <c r="M689" s="11" t="s">
        <v>897</v>
      </c>
      <c r="N689" s="13" t="s">
        <v>23</v>
      </c>
      <c r="O689" s="11" t="s">
        <v>24</v>
      </c>
    </row>
    <row r="690" spans="1:15" x14ac:dyDescent="0.25">
      <c r="A690" s="11" t="s">
        <v>15</v>
      </c>
      <c r="B690" s="11" t="str">
        <f>"FES1162750061"</f>
        <v>FES1162750061</v>
      </c>
      <c r="C690" s="11" t="s">
        <v>662</v>
      </c>
      <c r="D690" s="11">
        <v>1</v>
      </c>
      <c r="E690" s="11" t="str">
        <f>"2170738517"</f>
        <v>2170738517</v>
      </c>
      <c r="F690" s="11" t="s">
        <v>17</v>
      </c>
      <c r="G690" s="11" t="s">
        <v>18</v>
      </c>
      <c r="H690" s="11" t="s">
        <v>18</v>
      </c>
      <c r="I690" s="11" t="s">
        <v>58</v>
      </c>
      <c r="J690" s="11" t="s">
        <v>761</v>
      </c>
      <c r="K690" s="11" t="s">
        <v>845</v>
      </c>
      <c r="L690" s="12">
        <v>0.40347222222222223</v>
      </c>
      <c r="M690" s="11" t="s">
        <v>960</v>
      </c>
      <c r="N690" s="13" t="s">
        <v>23</v>
      </c>
      <c r="O690" s="11" t="s">
        <v>24</v>
      </c>
    </row>
    <row r="691" spans="1:15" x14ac:dyDescent="0.25">
      <c r="A691" s="11" t="s">
        <v>15</v>
      </c>
      <c r="B691" s="11" t="str">
        <f>"FES1162750087"</f>
        <v>FES1162750087</v>
      </c>
      <c r="C691" s="11" t="s">
        <v>662</v>
      </c>
      <c r="D691" s="11">
        <v>1</v>
      </c>
      <c r="E691" s="11" t="str">
        <f>"2170738777"</f>
        <v>2170738777</v>
      </c>
      <c r="F691" s="11" t="s">
        <v>17</v>
      </c>
      <c r="G691" s="11" t="s">
        <v>18</v>
      </c>
      <c r="H691" s="11" t="s">
        <v>349</v>
      </c>
      <c r="I691" s="11" t="s">
        <v>350</v>
      </c>
      <c r="J691" s="11" t="s">
        <v>595</v>
      </c>
      <c r="K691" s="11" t="s">
        <v>845</v>
      </c>
      <c r="L691" s="12">
        <v>0.55555555555555558</v>
      </c>
      <c r="M691" s="11" t="s">
        <v>979</v>
      </c>
      <c r="N691" s="13" t="s">
        <v>23</v>
      </c>
      <c r="O691" s="11" t="s">
        <v>24</v>
      </c>
    </row>
    <row r="692" spans="1:15" x14ac:dyDescent="0.25">
      <c r="A692" s="4" t="s">
        <v>15</v>
      </c>
      <c r="B692" s="4" t="str">
        <f>"FES1162750025"</f>
        <v>FES1162750025</v>
      </c>
      <c r="C692" s="4" t="s">
        <v>662</v>
      </c>
      <c r="D692" s="4">
        <v>1</v>
      </c>
      <c r="E692" s="4" t="str">
        <f>"2170737737"</f>
        <v>2170737737</v>
      </c>
      <c r="F692" s="4" t="s">
        <v>17</v>
      </c>
      <c r="G692" s="4" t="s">
        <v>18</v>
      </c>
      <c r="H692" s="4" t="s">
        <v>18</v>
      </c>
      <c r="I692" s="4" t="s">
        <v>126</v>
      </c>
      <c r="J692" s="4" t="s">
        <v>896</v>
      </c>
      <c r="K692" s="4" t="s">
        <v>845</v>
      </c>
      <c r="L692" s="5">
        <v>0.375</v>
      </c>
      <c r="M692" s="4" t="s">
        <v>980</v>
      </c>
      <c r="N692" s="6" t="s">
        <v>23</v>
      </c>
      <c r="O692" s="4" t="s">
        <v>24</v>
      </c>
    </row>
    <row r="693" spans="1:15" x14ac:dyDescent="0.25">
      <c r="A693" s="4" t="s">
        <v>15</v>
      </c>
      <c r="B693" s="4" t="str">
        <f>"FES1162750106"</f>
        <v>FES1162750106</v>
      </c>
      <c r="C693" s="4" t="s">
        <v>662</v>
      </c>
      <c r="D693" s="4">
        <v>1</v>
      </c>
      <c r="E693" s="4" t="str">
        <f>"2170739215"</f>
        <v>2170739215</v>
      </c>
      <c r="F693" s="4" t="s">
        <v>17</v>
      </c>
      <c r="G693" s="4" t="s">
        <v>18</v>
      </c>
      <c r="H693" s="4" t="s">
        <v>48</v>
      </c>
      <c r="I693" s="4" t="s">
        <v>49</v>
      </c>
      <c r="J693" s="4" t="s">
        <v>602</v>
      </c>
      <c r="K693" s="4" t="s">
        <v>845</v>
      </c>
      <c r="L693" s="5">
        <v>0.375</v>
      </c>
      <c r="M693" s="4" t="s">
        <v>1106</v>
      </c>
      <c r="N693" s="6" t="s">
        <v>23</v>
      </c>
      <c r="O693" s="4" t="s">
        <v>24</v>
      </c>
    </row>
    <row r="694" spans="1:15" x14ac:dyDescent="0.25">
      <c r="A694" s="4" t="s">
        <v>15</v>
      </c>
      <c r="B694" s="4" t="str">
        <f>"FES1162750046"</f>
        <v>FES1162750046</v>
      </c>
      <c r="C694" s="4" t="s">
        <v>662</v>
      </c>
      <c r="D694" s="4">
        <v>1</v>
      </c>
      <c r="E694" s="4" t="str">
        <f>"2170783839"</f>
        <v>2170783839</v>
      </c>
      <c r="F694" s="4" t="s">
        <v>17</v>
      </c>
      <c r="G694" s="4" t="s">
        <v>18</v>
      </c>
      <c r="H694" s="4" t="s">
        <v>18</v>
      </c>
      <c r="I694" s="4" t="s">
        <v>29</v>
      </c>
      <c r="J694" s="4" t="s">
        <v>302</v>
      </c>
      <c r="K694" s="4" t="s">
        <v>845</v>
      </c>
      <c r="L694" s="5">
        <v>0.375</v>
      </c>
      <c r="M694" s="4" t="s">
        <v>1105</v>
      </c>
      <c r="N694" s="6" t="s">
        <v>23</v>
      </c>
      <c r="O694" s="4" t="s">
        <v>24</v>
      </c>
    </row>
    <row r="695" spans="1:15" x14ac:dyDescent="0.25">
      <c r="A695" s="4" t="s">
        <v>15</v>
      </c>
      <c r="B695" s="4" t="str">
        <f>"FES1162750153"</f>
        <v>FES1162750153</v>
      </c>
      <c r="C695" s="4" t="s">
        <v>662</v>
      </c>
      <c r="D695" s="4">
        <v>1</v>
      </c>
      <c r="E695" s="4" t="str">
        <f>"2170739274"</f>
        <v>2170739274</v>
      </c>
      <c r="F695" s="4" t="s">
        <v>17</v>
      </c>
      <c r="G695" s="4" t="s">
        <v>18</v>
      </c>
      <c r="H695" s="4" t="s">
        <v>32</v>
      </c>
      <c r="I695" s="4" t="s">
        <v>106</v>
      </c>
      <c r="J695" s="4" t="s">
        <v>763</v>
      </c>
      <c r="K695" s="4" t="s">
        <v>845</v>
      </c>
      <c r="L695" s="5">
        <v>0.44097222222222227</v>
      </c>
      <c r="M695" s="4" t="s">
        <v>65</v>
      </c>
      <c r="N695" s="6" t="s">
        <v>23</v>
      </c>
      <c r="O695" s="4" t="s">
        <v>24</v>
      </c>
    </row>
    <row r="696" spans="1:15" x14ac:dyDescent="0.25">
      <c r="A696" s="4" t="s">
        <v>15</v>
      </c>
      <c r="B696" s="4" t="str">
        <f>"FES1162750179"</f>
        <v>FES1162750179</v>
      </c>
      <c r="C696" s="4" t="s">
        <v>662</v>
      </c>
      <c r="D696" s="4">
        <v>1</v>
      </c>
      <c r="E696" s="4" t="str">
        <f>"2170740411"</f>
        <v>2170740411</v>
      </c>
      <c r="F696" s="4" t="s">
        <v>17</v>
      </c>
      <c r="G696" s="4" t="s">
        <v>18</v>
      </c>
      <c r="H696" s="4" t="s">
        <v>18</v>
      </c>
      <c r="I696" s="4" t="s">
        <v>19</v>
      </c>
      <c r="J696" s="4" t="s">
        <v>61</v>
      </c>
      <c r="K696" s="4" t="s">
        <v>845</v>
      </c>
      <c r="L696" s="5">
        <v>0.33333333333333331</v>
      </c>
      <c r="M696" s="4" t="s">
        <v>128</v>
      </c>
      <c r="N696" s="6" t="s">
        <v>23</v>
      </c>
      <c r="O696" s="4" t="s">
        <v>24</v>
      </c>
    </row>
    <row r="697" spans="1:15" x14ac:dyDescent="0.25">
      <c r="A697" s="4" t="s">
        <v>15</v>
      </c>
      <c r="B697" s="4" t="str">
        <f>"FES1162750178"</f>
        <v>FES1162750178</v>
      </c>
      <c r="C697" s="4" t="s">
        <v>662</v>
      </c>
      <c r="D697" s="4">
        <v>1</v>
      </c>
      <c r="E697" s="4" t="str">
        <f>"2170740410"</f>
        <v>2170740410</v>
      </c>
      <c r="F697" s="4" t="s">
        <v>17</v>
      </c>
      <c r="G697" s="4" t="s">
        <v>18</v>
      </c>
      <c r="H697" s="4" t="s">
        <v>18</v>
      </c>
      <c r="I697" s="4" t="s">
        <v>29</v>
      </c>
      <c r="J697" s="4" t="s">
        <v>895</v>
      </c>
      <c r="K697" s="4" t="s">
        <v>845</v>
      </c>
      <c r="L697" s="5">
        <v>0.33333333333333331</v>
      </c>
      <c r="M697" s="4" t="s">
        <v>60</v>
      </c>
      <c r="N697" s="6" t="s">
        <v>23</v>
      </c>
      <c r="O697" s="4" t="s">
        <v>24</v>
      </c>
    </row>
    <row r="698" spans="1:15" x14ac:dyDescent="0.25">
      <c r="A698" s="4" t="s">
        <v>15</v>
      </c>
      <c r="B698" s="4" t="str">
        <f>"FES1162750184"</f>
        <v>FES1162750184</v>
      </c>
      <c r="C698" s="4" t="s">
        <v>662</v>
      </c>
      <c r="D698" s="4">
        <v>1</v>
      </c>
      <c r="E698" s="4" t="str">
        <f>"2170740416"</f>
        <v>2170740416</v>
      </c>
      <c r="F698" s="4" t="s">
        <v>17</v>
      </c>
      <c r="G698" s="4" t="s">
        <v>18</v>
      </c>
      <c r="H698" s="4" t="s">
        <v>48</v>
      </c>
      <c r="I698" s="4" t="s">
        <v>49</v>
      </c>
      <c r="J698" s="4" t="s">
        <v>620</v>
      </c>
      <c r="K698" s="4" t="s">
        <v>845</v>
      </c>
      <c r="L698" s="5">
        <v>0.36736111111111108</v>
      </c>
      <c r="M698" s="4" t="s">
        <v>894</v>
      </c>
      <c r="N698" s="6" t="s">
        <v>23</v>
      </c>
      <c r="O698" s="4" t="s">
        <v>24</v>
      </c>
    </row>
    <row r="699" spans="1:15" x14ac:dyDescent="0.25">
      <c r="A699" s="4" t="s">
        <v>15</v>
      </c>
      <c r="B699" s="4" t="str">
        <f>"FES1162749991"</f>
        <v>FES1162749991</v>
      </c>
      <c r="C699" s="4" t="s">
        <v>662</v>
      </c>
      <c r="D699" s="4">
        <v>1</v>
      </c>
      <c r="E699" s="4" t="str">
        <f>"2170740325"</f>
        <v>2170740325</v>
      </c>
      <c r="F699" s="4" t="s">
        <v>17</v>
      </c>
      <c r="G699" s="4" t="s">
        <v>18</v>
      </c>
      <c r="H699" s="4" t="s">
        <v>85</v>
      </c>
      <c r="I699" s="4" t="s">
        <v>144</v>
      </c>
      <c r="J699" s="4" t="s">
        <v>814</v>
      </c>
      <c r="K699" s="4" t="s">
        <v>845</v>
      </c>
      <c r="L699" s="5">
        <v>0.41597222222222219</v>
      </c>
      <c r="M699" s="4" t="s">
        <v>981</v>
      </c>
      <c r="N699" s="6" t="s">
        <v>23</v>
      </c>
      <c r="O699" s="4" t="s">
        <v>24</v>
      </c>
    </row>
    <row r="700" spans="1:15" x14ac:dyDescent="0.25">
      <c r="A700" s="4" t="s">
        <v>15</v>
      </c>
      <c r="B700" s="4" t="str">
        <f>"FES1162750183"</f>
        <v>FES1162750183</v>
      </c>
      <c r="C700" s="4" t="s">
        <v>662</v>
      </c>
      <c r="D700" s="4">
        <v>1</v>
      </c>
      <c r="E700" s="4" t="str">
        <f>"2170738179"</f>
        <v>2170738179</v>
      </c>
      <c r="F700" s="4" t="s">
        <v>17</v>
      </c>
      <c r="G700" s="4" t="s">
        <v>18</v>
      </c>
      <c r="H700" s="4" t="s">
        <v>48</v>
      </c>
      <c r="I700" s="4" t="s">
        <v>49</v>
      </c>
      <c r="J700" s="4" t="s">
        <v>158</v>
      </c>
      <c r="K700" s="4" t="s">
        <v>845</v>
      </c>
      <c r="L700" s="5">
        <v>0.31805555555555554</v>
      </c>
      <c r="M700" s="4" t="s">
        <v>893</v>
      </c>
      <c r="N700" s="6" t="s">
        <v>23</v>
      </c>
      <c r="O700" s="4" t="s">
        <v>24</v>
      </c>
    </row>
    <row r="701" spans="1:15" x14ac:dyDescent="0.25">
      <c r="A701" s="4" t="s">
        <v>15</v>
      </c>
      <c r="B701" s="4" t="str">
        <f>"FES1162750074"</f>
        <v>FES1162750074</v>
      </c>
      <c r="C701" s="4" t="s">
        <v>662</v>
      </c>
      <c r="D701" s="4">
        <v>1</v>
      </c>
      <c r="E701" s="4" t="str">
        <f>"2170738602"</f>
        <v>2170738602</v>
      </c>
      <c r="F701" s="4" t="s">
        <v>17</v>
      </c>
      <c r="G701" s="4" t="s">
        <v>18</v>
      </c>
      <c r="H701" s="4" t="s">
        <v>48</v>
      </c>
      <c r="I701" s="4" t="s">
        <v>366</v>
      </c>
      <c r="J701" s="4" t="s">
        <v>795</v>
      </c>
      <c r="K701" s="4" t="s">
        <v>845</v>
      </c>
      <c r="L701" s="5">
        <v>0.31805555555555554</v>
      </c>
      <c r="M701" s="4" t="s">
        <v>966</v>
      </c>
      <c r="N701" s="6" t="s">
        <v>23</v>
      </c>
      <c r="O701" s="4" t="s">
        <v>24</v>
      </c>
    </row>
    <row r="702" spans="1:15" x14ac:dyDescent="0.25">
      <c r="A702" s="4" t="s">
        <v>15</v>
      </c>
      <c r="B702" s="4" t="str">
        <f>"FES1162749997"</f>
        <v>FES1162749997</v>
      </c>
      <c r="C702" s="4" t="s">
        <v>662</v>
      </c>
      <c r="D702" s="4">
        <v>1</v>
      </c>
      <c r="E702" s="4" t="str">
        <f>"2170740339"</f>
        <v>2170740339</v>
      </c>
      <c r="F702" s="4" t="s">
        <v>17</v>
      </c>
      <c r="G702" s="4" t="s">
        <v>18</v>
      </c>
      <c r="H702" s="4" t="s">
        <v>18</v>
      </c>
      <c r="I702" s="4" t="s">
        <v>89</v>
      </c>
      <c r="J702" s="4" t="s">
        <v>373</v>
      </c>
      <c r="K702" s="4" t="s">
        <v>845</v>
      </c>
      <c r="L702" s="5">
        <v>0.31805555555555554</v>
      </c>
      <c r="M702" s="4" t="s">
        <v>1104</v>
      </c>
      <c r="N702" s="6" t="s">
        <v>23</v>
      </c>
      <c r="O702" s="4" t="s">
        <v>24</v>
      </c>
    </row>
    <row r="703" spans="1:15" x14ac:dyDescent="0.25">
      <c r="A703" s="4" t="s">
        <v>15</v>
      </c>
      <c r="B703" s="4" t="str">
        <f>"FES1162749965"</f>
        <v>FES1162749965</v>
      </c>
      <c r="C703" s="4" t="s">
        <v>662</v>
      </c>
      <c r="D703" s="4">
        <v>1</v>
      </c>
      <c r="E703" s="4" t="str">
        <f>"2170740305"</f>
        <v>2170740305</v>
      </c>
      <c r="F703" s="4" t="s">
        <v>17</v>
      </c>
      <c r="G703" s="4" t="s">
        <v>18</v>
      </c>
      <c r="H703" s="4" t="s">
        <v>40</v>
      </c>
      <c r="I703" s="4" t="s">
        <v>41</v>
      </c>
      <c r="J703" s="4" t="s">
        <v>99</v>
      </c>
      <c r="K703" s="4" t="s">
        <v>845</v>
      </c>
      <c r="L703" s="5">
        <v>0.3666666666666667</v>
      </c>
      <c r="M703" s="4" t="s">
        <v>982</v>
      </c>
      <c r="N703" s="6" t="s">
        <v>23</v>
      </c>
      <c r="O703" s="4" t="s">
        <v>24</v>
      </c>
    </row>
    <row r="704" spans="1:15" x14ac:dyDescent="0.25">
      <c r="A704" s="4" t="s">
        <v>15</v>
      </c>
      <c r="B704" s="4" t="str">
        <f>"FES1162750017"</f>
        <v>FES1162750017</v>
      </c>
      <c r="C704" s="4" t="s">
        <v>662</v>
      </c>
      <c r="D704" s="4">
        <v>1</v>
      </c>
      <c r="E704" s="4" t="str">
        <f>"2170739715"</f>
        <v>2170739715</v>
      </c>
      <c r="F704" s="4" t="s">
        <v>17</v>
      </c>
      <c r="G704" s="4" t="s">
        <v>18</v>
      </c>
      <c r="H704" s="4" t="s">
        <v>85</v>
      </c>
      <c r="I704" s="4" t="s">
        <v>408</v>
      </c>
      <c r="J704" s="4" t="s">
        <v>892</v>
      </c>
      <c r="K704" s="4" t="s">
        <v>845</v>
      </c>
      <c r="L704" s="5">
        <v>0.57361111111111118</v>
      </c>
      <c r="M704" s="4" t="s">
        <v>983</v>
      </c>
      <c r="N704" s="6" t="s">
        <v>23</v>
      </c>
      <c r="O704" s="4" t="s">
        <v>24</v>
      </c>
    </row>
    <row r="705" spans="1:15" x14ac:dyDescent="0.25">
      <c r="A705" s="4" t="s">
        <v>15</v>
      </c>
      <c r="B705" s="4" t="str">
        <f>"FES1162750134"</f>
        <v>FES1162750134</v>
      </c>
      <c r="C705" s="4" t="s">
        <v>662</v>
      </c>
      <c r="D705" s="4">
        <v>1</v>
      </c>
      <c r="E705" s="4" t="str">
        <f>"2170739304"</f>
        <v>2170739304</v>
      </c>
      <c r="F705" s="4" t="s">
        <v>17</v>
      </c>
      <c r="G705" s="4" t="s">
        <v>18</v>
      </c>
      <c r="H705" s="4" t="s">
        <v>32</v>
      </c>
      <c r="I705" s="4" t="s">
        <v>33</v>
      </c>
      <c r="J705" s="4" t="s">
        <v>891</v>
      </c>
      <c r="K705" s="4" t="s">
        <v>845</v>
      </c>
      <c r="L705" s="5">
        <v>0.3923611111111111</v>
      </c>
      <c r="M705" s="4" t="s">
        <v>984</v>
      </c>
      <c r="N705" s="6" t="s">
        <v>23</v>
      </c>
      <c r="O705" s="4" t="s">
        <v>24</v>
      </c>
    </row>
    <row r="706" spans="1:15" x14ac:dyDescent="0.25">
      <c r="A706" s="4" t="s">
        <v>15</v>
      </c>
      <c r="B706" s="4" t="str">
        <f>"FES1162750151"</f>
        <v>FES1162750151</v>
      </c>
      <c r="C706" s="4" t="s">
        <v>662</v>
      </c>
      <c r="D706" s="4">
        <v>1</v>
      </c>
      <c r="E706" s="4" t="str">
        <f>"2170737784"</f>
        <v>2170737784</v>
      </c>
      <c r="F706" s="4" t="s">
        <v>17</v>
      </c>
      <c r="G706" s="4" t="s">
        <v>18</v>
      </c>
      <c r="H706" s="4" t="s">
        <v>890</v>
      </c>
      <c r="I706" s="4" t="s">
        <v>889</v>
      </c>
      <c r="J706" s="4" t="s">
        <v>888</v>
      </c>
      <c r="K706" s="4" t="s">
        <v>845</v>
      </c>
      <c r="L706" s="5">
        <v>0.54027777777777775</v>
      </c>
      <c r="M706" s="4" t="s">
        <v>985</v>
      </c>
      <c r="N706" s="6" t="s">
        <v>23</v>
      </c>
      <c r="O706" s="4" t="s">
        <v>24</v>
      </c>
    </row>
    <row r="707" spans="1:15" x14ac:dyDescent="0.25">
      <c r="A707" s="4" t="s">
        <v>15</v>
      </c>
      <c r="B707" s="4" t="str">
        <f>"FES1162750037"</f>
        <v>FES1162750037</v>
      </c>
      <c r="C707" s="4" t="s">
        <v>662</v>
      </c>
      <c r="D707" s="4">
        <v>1</v>
      </c>
      <c r="E707" s="4" t="str">
        <f>"2170738483"</f>
        <v>2170738483</v>
      </c>
      <c r="F707" s="4" t="s">
        <v>17</v>
      </c>
      <c r="G707" s="4" t="s">
        <v>18</v>
      </c>
      <c r="H707" s="4" t="s">
        <v>18</v>
      </c>
      <c r="I707" s="4" t="s">
        <v>29</v>
      </c>
      <c r="J707" s="4" t="s">
        <v>30</v>
      </c>
      <c r="K707" s="4" t="s">
        <v>845</v>
      </c>
      <c r="L707" s="5">
        <v>0.3125</v>
      </c>
      <c r="M707" s="4" t="s">
        <v>986</v>
      </c>
      <c r="N707" s="6" t="s">
        <v>23</v>
      </c>
      <c r="O707" s="4" t="s">
        <v>24</v>
      </c>
    </row>
    <row r="708" spans="1:15" x14ac:dyDescent="0.25">
      <c r="A708" s="4" t="s">
        <v>15</v>
      </c>
      <c r="B708" s="4" t="str">
        <f>"FES1162750072"</f>
        <v>FES1162750072</v>
      </c>
      <c r="C708" s="4" t="s">
        <v>662</v>
      </c>
      <c r="D708" s="4">
        <v>1</v>
      </c>
      <c r="E708" s="4" t="str">
        <f>"2170738580"</f>
        <v>2170738580</v>
      </c>
      <c r="F708" s="4" t="s">
        <v>17</v>
      </c>
      <c r="G708" s="4" t="s">
        <v>18</v>
      </c>
      <c r="H708" s="4" t="s">
        <v>85</v>
      </c>
      <c r="I708" s="4" t="s">
        <v>144</v>
      </c>
      <c r="J708" s="4" t="s">
        <v>887</v>
      </c>
      <c r="K708" s="4" t="s">
        <v>845</v>
      </c>
      <c r="L708" s="5">
        <v>0.47916666666666669</v>
      </c>
      <c r="M708" s="4" t="s">
        <v>987</v>
      </c>
      <c r="N708" s="6" t="s">
        <v>23</v>
      </c>
      <c r="O708" s="4" t="s">
        <v>24</v>
      </c>
    </row>
    <row r="709" spans="1:15" x14ac:dyDescent="0.25">
      <c r="A709" s="4" t="s">
        <v>15</v>
      </c>
      <c r="B709" s="4" t="str">
        <f>"FES1162750116"</f>
        <v>FES1162750116</v>
      </c>
      <c r="C709" s="4" t="s">
        <v>662</v>
      </c>
      <c r="D709" s="4">
        <v>1</v>
      </c>
      <c r="E709" s="4" t="str">
        <f>"2170739888"</f>
        <v>2170739888</v>
      </c>
      <c r="F709" s="4" t="s">
        <v>17</v>
      </c>
      <c r="G709" s="4" t="s">
        <v>18</v>
      </c>
      <c r="H709" s="4" t="s">
        <v>48</v>
      </c>
      <c r="I709" s="4" t="s">
        <v>49</v>
      </c>
      <c r="J709" s="4" t="s">
        <v>886</v>
      </c>
      <c r="K709" s="4" t="s">
        <v>845</v>
      </c>
      <c r="L709" s="5">
        <v>0.43124999999999997</v>
      </c>
      <c r="M709" s="4" t="s">
        <v>490</v>
      </c>
      <c r="N709" s="6" t="s">
        <v>23</v>
      </c>
      <c r="O709" s="4" t="s">
        <v>24</v>
      </c>
    </row>
    <row r="710" spans="1:15" x14ac:dyDescent="0.25">
      <c r="A710" s="4" t="s">
        <v>15</v>
      </c>
      <c r="B710" s="4" t="str">
        <f>"FES1162750103"</f>
        <v>FES1162750103</v>
      </c>
      <c r="C710" s="4" t="s">
        <v>662</v>
      </c>
      <c r="D710" s="4">
        <v>1</v>
      </c>
      <c r="E710" s="4" t="str">
        <f>"2170739069"</f>
        <v>2170739069</v>
      </c>
      <c r="F710" s="4" t="s">
        <v>17</v>
      </c>
      <c r="G710" s="4" t="s">
        <v>18</v>
      </c>
      <c r="H710" s="4" t="s">
        <v>18</v>
      </c>
      <c r="I710" s="4" t="s">
        <v>97</v>
      </c>
      <c r="J710" s="4" t="s">
        <v>313</v>
      </c>
      <c r="K710" s="4" t="s">
        <v>845</v>
      </c>
      <c r="L710" s="5">
        <v>0.31805555555555554</v>
      </c>
      <c r="M710" s="4" t="s">
        <v>988</v>
      </c>
      <c r="N710" s="6" t="s">
        <v>23</v>
      </c>
      <c r="O710" s="4" t="s">
        <v>24</v>
      </c>
    </row>
    <row r="711" spans="1:15" x14ac:dyDescent="0.25">
      <c r="A711" s="4" t="s">
        <v>15</v>
      </c>
      <c r="B711" s="4" t="str">
        <f>"FES1162750085"</f>
        <v>FES1162750085</v>
      </c>
      <c r="C711" s="4" t="s">
        <v>662</v>
      </c>
      <c r="D711" s="4">
        <v>1</v>
      </c>
      <c r="E711" s="4" t="str">
        <f>"2170738759"</f>
        <v>2170738759</v>
      </c>
      <c r="F711" s="4" t="s">
        <v>17</v>
      </c>
      <c r="G711" s="4" t="s">
        <v>18</v>
      </c>
      <c r="H711" s="4" t="s">
        <v>32</v>
      </c>
      <c r="I711" s="4" t="s">
        <v>33</v>
      </c>
      <c r="J711" s="4" t="s">
        <v>885</v>
      </c>
      <c r="K711" s="4" t="s">
        <v>845</v>
      </c>
      <c r="L711" s="5">
        <v>0.39583333333333331</v>
      </c>
      <c r="M711" s="4" t="s">
        <v>989</v>
      </c>
      <c r="N711" s="6" t="s">
        <v>23</v>
      </c>
      <c r="O711" s="4" t="s">
        <v>24</v>
      </c>
    </row>
    <row r="712" spans="1:15" x14ac:dyDescent="0.25">
      <c r="A712" s="4" t="s">
        <v>15</v>
      </c>
      <c r="B712" s="4" t="str">
        <f>"FES1162749987"</f>
        <v>FES1162749987</v>
      </c>
      <c r="C712" s="4" t="s">
        <v>662</v>
      </c>
      <c r="D712" s="4">
        <v>1</v>
      </c>
      <c r="E712" s="4" t="str">
        <f>"2170740318"</f>
        <v>2170740318</v>
      </c>
      <c r="F712" s="4" t="s">
        <v>17</v>
      </c>
      <c r="G712" s="4" t="s">
        <v>18</v>
      </c>
      <c r="H712" s="4" t="s">
        <v>48</v>
      </c>
      <c r="I712" s="4" t="s">
        <v>73</v>
      </c>
      <c r="J712" s="4" t="s">
        <v>247</v>
      </c>
      <c r="K712" s="4" t="s">
        <v>845</v>
      </c>
      <c r="L712" s="5">
        <v>0.47638888888888892</v>
      </c>
      <c r="M712" s="4" t="s">
        <v>990</v>
      </c>
      <c r="N712" s="6" t="s">
        <v>23</v>
      </c>
      <c r="O712" s="4" t="s">
        <v>24</v>
      </c>
    </row>
    <row r="713" spans="1:15" x14ac:dyDescent="0.25">
      <c r="A713" s="4" t="s">
        <v>15</v>
      </c>
      <c r="B713" s="4" t="str">
        <f>"FES1162750015"</f>
        <v>FES1162750015</v>
      </c>
      <c r="C713" s="4" t="s">
        <v>662</v>
      </c>
      <c r="D713" s="4">
        <v>1</v>
      </c>
      <c r="E713" s="4" t="str">
        <f>"2170730646"</f>
        <v>2170730646</v>
      </c>
      <c r="F713" s="4" t="s">
        <v>17</v>
      </c>
      <c r="G713" s="4" t="s">
        <v>18</v>
      </c>
      <c r="H713" s="4" t="s">
        <v>48</v>
      </c>
      <c r="I713" s="4" t="s">
        <v>49</v>
      </c>
      <c r="J713" s="4" t="s">
        <v>884</v>
      </c>
      <c r="K713" s="4" t="s">
        <v>845</v>
      </c>
      <c r="L713" s="5">
        <v>0.42499999999999999</v>
      </c>
      <c r="M713" s="4" t="s">
        <v>991</v>
      </c>
      <c r="N713" s="6" t="s">
        <v>23</v>
      </c>
      <c r="O713" s="4" t="s">
        <v>24</v>
      </c>
    </row>
    <row r="714" spans="1:15" x14ac:dyDescent="0.25">
      <c r="A714" s="4" t="s">
        <v>15</v>
      </c>
      <c r="B714" s="4" t="str">
        <f>"FES1162749980"</f>
        <v>FES1162749980</v>
      </c>
      <c r="C714" s="4" t="s">
        <v>662</v>
      </c>
      <c r="D714" s="4">
        <v>1</v>
      </c>
      <c r="E714" s="4" t="str">
        <f>"2170735956"</f>
        <v>2170735956</v>
      </c>
      <c r="F714" s="4" t="s">
        <v>17</v>
      </c>
      <c r="G714" s="4" t="s">
        <v>18</v>
      </c>
      <c r="H714" s="4" t="s">
        <v>18</v>
      </c>
      <c r="I714" s="4" t="s">
        <v>183</v>
      </c>
      <c r="J714" s="4" t="s">
        <v>883</v>
      </c>
      <c r="K714" s="4" t="s">
        <v>845</v>
      </c>
      <c r="L714" s="5">
        <v>0.36944444444444446</v>
      </c>
      <c r="M714" s="4" t="s">
        <v>882</v>
      </c>
      <c r="N714" s="6" t="s">
        <v>23</v>
      </c>
      <c r="O714" s="4" t="s">
        <v>24</v>
      </c>
    </row>
    <row r="715" spans="1:15" x14ac:dyDescent="0.25">
      <c r="A715" s="4" t="s">
        <v>15</v>
      </c>
      <c r="B715" s="4" t="str">
        <f>"FES1162750137"</f>
        <v>FES1162750137</v>
      </c>
      <c r="C715" s="4" t="s">
        <v>662</v>
      </c>
      <c r="D715" s="4">
        <v>1</v>
      </c>
      <c r="E715" s="4" t="str">
        <f>"2170740342"</f>
        <v>2170740342</v>
      </c>
      <c r="F715" s="4" t="s">
        <v>17</v>
      </c>
      <c r="G715" s="4" t="s">
        <v>18</v>
      </c>
      <c r="H715" s="4" t="s">
        <v>18</v>
      </c>
      <c r="I715" s="4" t="s">
        <v>19</v>
      </c>
      <c r="J715" s="4" t="s">
        <v>20</v>
      </c>
      <c r="K715" s="4" t="s">
        <v>845</v>
      </c>
      <c r="L715" s="5">
        <v>0.40277777777777773</v>
      </c>
      <c r="M715" s="4" t="s">
        <v>22</v>
      </c>
      <c r="N715" s="6" t="s">
        <v>23</v>
      </c>
      <c r="O715" s="4" t="s">
        <v>24</v>
      </c>
    </row>
    <row r="716" spans="1:15" x14ac:dyDescent="0.25">
      <c r="A716" s="4" t="s">
        <v>15</v>
      </c>
      <c r="B716" s="4" t="str">
        <f>"FES1162750105"</f>
        <v>FES1162750105</v>
      </c>
      <c r="C716" s="4" t="s">
        <v>662</v>
      </c>
      <c r="D716" s="4">
        <v>1</v>
      </c>
      <c r="E716" s="4" t="str">
        <f>"2170739141"</f>
        <v>2170739141</v>
      </c>
      <c r="F716" s="4" t="s">
        <v>17</v>
      </c>
      <c r="G716" s="4" t="s">
        <v>18</v>
      </c>
      <c r="H716" s="4" t="s">
        <v>18</v>
      </c>
      <c r="I716" s="4" t="s">
        <v>29</v>
      </c>
      <c r="J716" s="4" t="s">
        <v>30</v>
      </c>
      <c r="K716" s="4" t="s">
        <v>845</v>
      </c>
      <c r="L716" s="5">
        <v>0.3125</v>
      </c>
      <c r="M716" s="4" t="s">
        <v>128</v>
      </c>
      <c r="N716" s="6" t="s">
        <v>23</v>
      </c>
      <c r="O716" s="4" t="s">
        <v>24</v>
      </c>
    </row>
    <row r="717" spans="1:15" x14ac:dyDescent="0.25">
      <c r="A717" s="4" t="s">
        <v>15</v>
      </c>
      <c r="B717" s="4" t="str">
        <f>"FES1162750055"</f>
        <v>FES1162750055</v>
      </c>
      <c r="C717" s="4" t="s">
        <v>662</v>
      </c>
      <c r="D717" s="4">
        <v>1</v>
      </c>
      <c r="E717" s="4" t="str">
        <f>"2170738460"</f>
        <v>2170738460</v>
      </c>
      <c r="F717" s="4" t="s">
        <v>17</v>
      </c>
      <c r="G717" s="4" t="s">
        <v>18</v>
      </c>
      <c r="H717" s="4" t="s">
        <v>18</v>
      </c>
      <c r="I717" s="4" t="s">
        <v>121</v>
      </c>
      <c r="J717" s="4" t="s">
        <v>627</v>
      </c>
      <c r="K717" s="4" t="s">
        <v>845</v>
      </c>
      <c r="L717" s="5">
        <v>0.31944444444444448</v>
      </c>
      <c r="M717" s="4" t="s">
        <v>741</v>
      </c>
      <c r="N717" s="6" t="s">
        <v>23</v>
      </c>
      <c r="O717" s="4" t="s">
        <v>24</v>
      </c>
    </row>
    <row r="718" spans="1:15" x14ac:dyDescent="0.25">
      <c r="A718" s="4" t="s">
        <v>15</v>
      </c>
      <c r="B718" s="4" t="str">
        <f>"FES1162750096"</f>
        <v>FES1162750096</v>
      </c>
      <c r="C718" s="4" t="s">
        <v>662</v>
      </c>
      <c r="D718" s="4">
        <v>1</v>
      </c>
      <c r="E718" s="4" t="str">
        <f>"2170738851"</f>
        <v>2170738851</v>
      </c>
      <c r="F718" s="4" t="s">
        <v>17</v>
      </c>
      <c r="G718" s="4" t="s">
        <v>18</v>
      </c>
      <c r="H718" s="4" t="s">
        <v>85</v>
      </c>
      <c r="I718" s="4" t="s">
        <v>408</v>
      </c>
      <c r="J718" s="4" t="s">
        <v>34</v>
      </c>
      <c r="K718" s="4" t="s">
        <v>845</v>
      </c>
      <c r="L718" s="5">
        <v>0.56736111111111109</v>
      </c>
      <c r="M718" s="4" t="s">
        <v>992</v>
      </c>
      <c r="N718" s="6" t="s">
        <v>23</v>
      </c>
      <c r="O718" s="4" t="s">
        <v>24</v>
      </c>
    </row>
    <row r="719" spans="1:15" x14ac:dyDescent="0.25">
      <c r="A719" s="4" t="s">
        <v>15</v>
      </c>
      <c r="B719" s="4" t="str">
        <f>"FES1162750176"</f>
        <v>FES1162750176</v>
      </c>
      <c r="C719" s="4" t="s">
        <v>662</v>
      </c>
      <c r="D719" s="4">
        <v>1</v>
      </c>
      <c r="E719" s="4" t="str">
        <f>"2170737763"</f>
        <v>2170737763</v>
      </c>
      <c r="F719" s="4" t="s">
        <v>17</v>
      </c>
      <c r="G719" s="4" t="s">
        <v>18</v>
      </c>
      <c r="H719" s="4" t="s">
        <v>18</v>
      </c>
      <c r="I719" s="4" t="s">
        <v>121</v>
      </c>
      <c r="J719" s="4" t="s">
        <v>881</v>
      </c>
      <c r="K719" s="4" t="s">
        <v>845</v>
      </c>
      <c r="L719" s="5">
        <v>0.43055555555555558</v>
      </c>
      <c r="M719" s="4" t="s">
        <v>993</v>
      </c>
      <c r="N719" s="6" t="s">
        <v>23</v>
      </c>
      <c r="O719" s="4" t="s">
        <v>24</v>
      </c>
    </row>
    <row r="720" spans="1:15" x14ac:dyDescent="0.25">
      <c r="A720" s="4" t="s">
        <v>15</v>
      </c>
      <c r="B720" s="4" t="str">
        <f>"FES1162750011"</f>
        <v>FES1162750011</v>
      </c>
      <c r="C720" s="4" t="s">
        <v>662</v>
      </c>
      <c r="D720" s="4">
        <v>1</v>
      </c>
      <c r="E720" s="4" t="str">
        <f>"2170740355"</f>
        <v>2170740355</v>
      </c>
      <c r="F720" s="4" t="s">
        <v>17</v>
      </c>
      <c r="G720" s="4" t="s">
        <v>18</v>
      </c>
      <c r="H720" s="4" t="s">
        <v>85</v>
      </c>
      <c r="I720" s="4" t="s">
        <v>144</v>
      </c>
      <c r="J720" s="4" t="s">
        <v>210</v>
      </c>
      <c r="K720" s="4" t="s">
        <v>845</v>
      </c>
      <c r="L720" s="5">
        <v>0.47222222222222227</v>
      </c>
      <c r="M720" s="4" t="s">
        <v>994</v>
      </c>
      <c r="N720" s="6" t="s">
        <v>23</v>
      </c>
      <c r="O720" s="4" t="s">
        <v>24</v>
      </c>
    </row>
    <row r="721" spans="1:15" x14ac:dyDescent="0.25">
      <c r="A721" s="4" t="s">
        <v>15</v>
      </c>
      <c r="B721" s="4" t="str">
        <f>"FES1162750073"</f>
        <v>FES1162750073</v>
      </c>
      <c r="C721" s="4" t="s">
        <v>662</v>
      </c>
      <c r="D721" s="4">
        <v>1</v>
      </c>
      <c r="E721" s="4" t="str">
        <f>"2170738591"</f>
        <v>2170738591</v>
      </c>
      <c r="F721" s="4" t="s">
        <v>17</v>
      </c>
      <c r="G721" s="4" t="s">
        <v>18</v>
      </c>
      <c r="H721" s="4" t="s">
        <v>85</v>
      </c>
      <c r="I721" s="4" t="s">
        <v>207</v>
      </c>
      <c r="J721" s="4" t="s">
        <v>880</v>
      </c>
      <c r="K721" s="4" t="s">
        <v>845</v>
      </c>
      <c r="L721" s="5">
        <v>0.36874999999999997</v>
      </c>
      <c r="M721" s="4" t="s">
        <v>879</v>
      </c>
      <c r="N721" s="6" t="s">
        <v>23</v>
      </c>
      <c r="O721" s="4" t="s">
        <v>24</v>
      </c>
    </row>
    <row r="722" spans="1:15" x14ac:dyDescent="0.25">
      <c r="A722" s="4" t="s">
        <v>15</v>
      </c>
      <c r="B722" s="4" t="str">
        <f>"FES1162750019"</f>
        <v>FES1162750019</v>
      </c>
      <c r="C722" s="4" t="s">
        <v>662</v>
      </c>
      <c r="D722" s="4">
        <v>1</v>
      </c>
      <c r="E722" s="4" t="str">
        <f>"2170740369"</f>
        <v>2170740369</v>
      </c>
      <c r="F722" s="4" t="s">
        <v>17</v>
      </c>
      <c r="G722" s="4" t="s">
        <v>18</v>
      </c>
      <c r="H722" s="4" t="s">
        <v>85</v>
      </c>
      <c r="I722" s="4" t="s">
        <v>144</v>
      </c>
      <c r="J722" s="4" t="s">
        <v>360</v>
      </c>
      <c r="K722" s="4" t="s">
        <v>845</v>
      </c>
      <c r="L722" s="5">
        <v>0.40347222222222223</v>
      </c>
      <c r="M722" s="4" t="s">
        <v>995</v>
      </c>
      <c r="N722" s="6" t="s">
        <v>23</v>
      </c>
      <c r="O722" s="4" t="s">
        <v>24</v>
      </c>
    </row>
    <row r="723" spans="1:15" x14ac:dyDescent="0.25">
      <c r="A723" s="4" t="s">
        <v>15</v>
      </c>
      <c r="B723" s="4" t="str">
        <f>"FES1162750075"</f>
        <v>FES1162750075</v>
      </c>
      <c r="C723" s="4" t="s">
        <v>662</v>
      </c>
      <c r="D723" s="4">
        <v>1</v>
      </c>
      <c r="E723" s="4" t="str">
        <f>"2170738607"</f>
        <v>2170738607</v>
      </c>
      <c r="F723" s="4" t="s">
        <v>17</v>
      </c>
      <c r="G723" s="4" t="s">
        <v>18</v>
      </c>
      <c r="H723" s="4" t="s">
        <v>85</v>
      </c>
      <c r="I723" s="4" t="s">
        <v>144</v>
      </c>
      <c r="J723" s="4" t="s">
        <v>255</v>
      </c>
      <c r="K723" s="4" t="s">
        <v>845</v>
      </c>
      <c r="L723" s="5">
        <v>0.40277777777777773</v>
      </c>
      <c r="M723" s="4" t="s">
        <v>996</v>
      </c>
      <c r="N723" s="6" t="s">
        <v>23</v>
      </c>
      <c r="O723" s="4" t="s">
        <v>24</v>
      </c>
    </row>
    <row r="724" spans="1:15" x14ac:dyDescent="0.25">
      <c r="A724" s="4" t="s">
        <v>15</v>
      </c>
      <c r="B724" s="4" t="str">
        <f>"FES1162750032"</f>
        <v>FES1162750032</v>
      </c>
      <c r="C724" s="4" t="s">
        <v>662</v>
      </c>
      <c r="D724" s="4">
        <v>1</v>
      </c>
      <c r="E724" s="4" t="str">
        <f>"2170738328"</f>
        <v>2170738328</v>
      </c>
      <c r="F724" s="4" t="s">
        <v>17</v>
      </c>
      <c r="G724" s="4" t="s">
        <v>18</v>
      </c>
      <c r="H724" s="4" t="s">
        <v>85</v>
      </c>
      <c r="I724" s="4" t="s">
        <v>144</v>
      </c>
      <c r="J724" s="4" t="s">
        <v>255</v>
      </c>
      <c r="K724" s="4" t="s">
        <v>845</v>
      </c>
      <c r="L724" s="5">
        <v>0.66875000000000007</v>
      </c>
      <c r="M724" s="4" t="s">
        <v>997</v>
      </c>
      <c r="N724" s="6" t="s">
        <v>23</v>
      </c>
      <c r="O724" s="4" t="s">
        <v>24</v>
      </c>
    </row>
    <row r="725" spans="1:15" x14ac:dyDescent="0.25">
      <c r="A725" s="4" t="s">
        <v>15</v>
      </c>
      <c r="B725" s="4" t="str">
        <f>"FES1162750052"</f>
        <v>FES1162750052</v>
      </c>
      <c r="C725" s="4" t="s">
        <v>662</v>
      </c>
      <c r="D725" s="4">
        <v>1</v>
      </c>
      <c r="E725" s="4" t="str">
        <f>"2170738453"</f>
        <v>2170738453</v>
      </c>
      <c r="F725" s="4" t="s">
        <v>17</v>
      </c>
      <c r="G725" s="4" t="s">
        <v>18</v>
      </c>
      <c r="H725" s="4" t="s">
        <v>40</v>
      </c>
      <c r="I725" s="4" t="s">
        <v>41</v>
      </c>
      <c r="J725" s="4" t="s">
        <v>852</v>
      </c>
      <c r="K725" s="4" t="s">
        <v>845</v>
      </c>
      <c r="L725" s="5">
        <v>0.41666666666666669</v>
      </c>
      <c r="M725" s="4" t="s">
        <v>998</v>
      </c>
      <c r="N725" s="6" t="s">
        <v>23</v>
      </c>
      <c r="O725" s="4" t="s">
        <v>24</v>
      </c>
    </row>
    <row r="726" spans="1:15" x14ac:dyDescent="0.25">
      <c r="A726" s="4" t="s">
        <v>15</v>
      </c>
      <c r="B726" s="4" t="str">
        <f>"FES1162750021"</f>
        <v>FES1162750021</v>
      </c>
      <c r="C726" s="4" t="s">
        <v>662</v>
      </c>
      <c r="D726" s="4">
        <v>1</v>
      </c>
      <c r="E726" s="4" t="str">
        <f>"2170736582"</f>
        <v>2170736582</v>
      </c>
      <c r="F726" s="4" t="s">
        <v>17</v>
      </c>
      <c r="G726" s="4" t="s">
        <v>18</v>
      </c>
      <c r="H726" s="4" t="s">
        <v>48</v>
      </c>
      <c r="I726" s="4" t="s">
        <v>49</v>
      </c>
      <c r="J726" s="4" t="s">
        <v>602</v>
      </c>
      <c r="K726" s="4" t="s">
        <v>845</v>
      </c>
      <c r="L726" s="5">
        <v>0.41666666666666669</v>
      </c>
      <c r="M726" s="4" t="s">
        <v>999</v>
      </c>
      <c r="N726" s="6" t="s">
        <v>23</v>
      </c>
      <c r="O726" s="4" t="s">
        <v>24</v>
      </c>
    </row>
    <row r="727" spans="1:15" x14ac:dyDescent="0.25">
      <c r="A727" s="4" t="s">
        <v>15</v>
      </c>
      <c r="B727" s="4" t="str">
        <f>"FES1162749778"</f>
        <v>FES1162749778</v>
      </c>
      <c r="C727" s="4" t="s">
        <v>662</v>
      </c>
      <c r="D727" s="4">
        <v>1</v>
      </c>
      <c r="E727" s="4" t="str">
        <f>"2170738380"</f>
        <v>2170738380</v>
      </c>
      <c r="F727" s="4" t="s">
        <v>17</v>
      </c>
      <c r="G727" s="4" t="s">
        <v>18</v>
      </c>
      <c r="H727" s="4" t="s">
        <v>40</v>
      </c>
      <c r="I727" s="4" t="s">
        <v>41</v>
      </c>
      <c r="J727" s="4" t="s">
        <v>596</v>
      </c>
      <c r="K727" s="4" t="s">
        <v>845</v>
      </c>
      <c r="L727" s="5">
        <v>0.41736111111111113</v>
      </c>
      <c r="M727" s="4" t="s">
        <v>970</v>
      </c>
      <c r="N727" s="6" t="s">
        <v>23</v>
      </c>
      <c r="O727" s="4" t="s">
        <v>24</v>
      </c>
    </row>
    <row r="728" spans="1:15" x14ac:dyDescent="0.25">
      <c r="A728" s="4" t="s">
        <v>15</v>
      </c>
      <c r="B728" s="4" t="str">
        <f>"FES1162749962"</f>
        <v>FES1162749962</v>
      </c>
      <c r="C728" s="4" t="s">
        <v>662</v>
      </c>
      <c r="D728" s="4">
        <v>1</v>
      </c>
      <c r="E728" s="4" t="str">
        <f>"2170738290"</f>
        <v>2170738290</v>
      </c>
      <c r="F728" s="4" t="s">
        <v>17</v>
      </c>
      <c r="G728" s="4" t="s">
        <v>18</v>
      </c>
      <c r="H728" s="4" t="s">
        <v>40</v>
      </c>
      <c r="I728" s="4" t="s">
        <v>870</v>
      </c>
      <c r="J728" s="4" t="s">
        <v>869</v>
      </c>
      <c r="K728" s="4" t="s">
        <v>845</v>
      </c>
      <c r="L728" s="5">
        <v>0.52083333333333337</v>
      </c>
      <c r="M728" s="4" t="s">
        <v>1000</v>
      </c>
      <c r="N728" s="6" t="s">
        <v>23</v>
      </c>
      <c r="O728" s="4" t="s">
        <v>24</v>
      </c>
    </row>
    <row r="729" spans="1:15" x14ac:dyDescent="0.25">
      <c r="A729" s="4" t="s">
        <v>15</v>
      </c>
      <c r="B729" s="4" t="str">
        <f>"FES1162749823"</f>
        <v>FES1162749823</v>
      </c>
      <c r="C729" s="4" t="s">
        <v>662</v>
      </c>
      <c r="D729" s="4">
        <v>1</v>
      </c>
      <c r="E729" s="4" t="str">
        <f>"2170737469"</f>
        <v>2170737469</v>
      </c>
      <c r="F729" s="4" t="s">
        <v>17</v>
      </c>
      <c r="G729" s="4" t="s">
        <v>18</v>
      </c>
      <c r="H729" s="4" t="s">
        <v>85</v>
      </c>
      <c r="I729" s="4" t="s">
        <v>144</v>
      </c>
      <c r="J729" s="4" t="s">
        <v>878</v>
      </c>
      <c r="K729" s="4" t="s">
        <v>845</v>
      </c>
      <c r="L729" s="5">
        <v>0.38819444444444445</v>
      </c>
      <c r="M729" s="4" t="s">
        <v>971</v>
      </c>
      <c r="N729" s="6" t="s">
        <v>23</v>
      </c>
      <c r="O729" s="4" t="s">
        <v>24</v>
      </c>
    </row>
    <row r="730" spans="1:15" x14ac:dyDescent="0.25">
      <c r="A730" s="4" t="s">
        <v>15</v>
      </c>
      <c r="B730" s="4" t="str">
        <f>"FES1162749963"</f>
        <v>FES1162749963</v>
      </c>
      <c r="C730" s="4" t="s">
        <v>662</v>
      </c>
      <c r="D730" s="4">
        <v>1</v>
      </c>
      <c r="E730" s="4" t="str">
        <f>"2170738293"</f>
        <v>2170738293</v>
      </c>
      <c r="F730" s="4" t="s">
        <v>17</v>
      </c>
      <c r="G730" s="4" t="s">
        <v>18</v>
      </c>
      <c r="H730" s="4" t="s">
        <v>40</v>
      </c>
      <c r="I730" s="4" t="s">
        <v>870</v>
      </c>
      <c r="J730" s="4" t="s">
        <v>869</v>
      </c>
      <c r="K730" s="4" t="s">
        <v>845</v>
      </c>
      <c r="L730" s="5">
        <v>0.52083333333333337</v>
      </c>
      <c r="M730" s="4" t="s">
        <v>1001</v>
      </c>
      <c r="N730" s="6" t="s">
        <v>23</v>
      </c>
      <c r="O730" s="4" t="s">
        <v>24</v>
      </c>
    </row>
    <row r="731" spans="1:15" x14ac:dyDescent="0.25">
      <c r="A731" s="4" t="s">
        <v>15</v>
      </c>
      <c r="B731" s="4" t="str">
        <f>"FES1162750108"</f>
        <v>FES1162750108</v>
      </c>
      <c r="C731" s="4" t="s">
        <v>662</v>
      </c>
      <c r="D731" s="4">
        <v>1</v>
      </c>
      <c r="E731" s="4" t="str">
        <f>"2170739403"</f>
        <v>2170739403</v>
      </c>
      <c r="F731" s="4" t="s">
        <v>17</v>
      </c>
      <c r="G731" s="4" t="s">
        <v>18</v>
      </c>
      <c r="H731" s="4" t="s">
        <v>48</v>
      </c>
      <c r="I731" s="4" t="s">
        <v>49</v>
      </c>
      <c r="J731" s="4" t="s">
        <v>322</v>
      </c>
      <c r="K731" s="4" t="s">
        <v>845</v>
      </c>
      <c r="L731" s="5">
        <v>0.32222222222222224</v>
      </c>
      <c r="M731" s="4" t="s">
        <v>757</v>
      </c>
      <c r="N731" s="6" t="s">
        <v>23</v>
      </c>
      <c r="O731" s="4" t="s">
        <v>24</v>
      </c>
    </row>
    <row r="732" spans="1:15" x14ac:dyDescent="0.25">
      <c r="A732" s="4" t="s">
        <v>15</v>
      </c>
      <c r="B732" s="4" t="str">
        <f>"FES1162750161"</f>
        <v>FES1162750161</v>
      </c>
      <c r="C732" s="4" t="s">
        <v>662</v>
      </c>
      <c r="D732" s="4">
        <v>1</v>
      </c>
      <c r="E732" s="4" t="str">
        <f>"21707340387"</f>
        <v>21707340387</v>
      </c>
      <c r="F732" s="4" t="s">
        <v>17</v>
      </c>
      <c r="G732" s="4" t="s">
        <v>18</v>
      </c>
      <c r="H732" s="4" t="s">
        <v>18</v>
      </c>
      <c r="I732" s="4" t="s">
        <v>19</v>
      </c>
      <c r="J732" s="4" t="s">
        <v>877</v>
      </c>
      <c r="K732" s="4" t="s">
        <v>845</v>
      </c>
      <c r="L732" s="5">
        <v>0.41180555555555554</v>
      </c>
      <c r="M732" s="4" t="s">
        <v>1002</v>
      </c>
      <c r="N732" s="6" t="s">
        <v>23</v>
      </c>
      <c r="O732" s="4" t="s">
        <v>24</v>
      </c>
    </row>
    <row r="733" spans="1:15" x14ac:dyDescent="0.25">
      <c r="A733" s="4" t="s">
        <v>15</v>
      </c>
      <c r="B733" s="4" t="str">
        <f>"FES1162749837"</f>
        <v>FES1162749837</v>
      </c>
      <c r="C733" s="4" t="s">
        <v>662</v>
      </c>
      <c r="D733" s="4">
        <v>1</v>
      </c>
      <c r="E733" s="4" t="str">
        <f>"2170739052"</f>
        <v>2170739052</v>
      </c>
      <c r="F733" s="4" t="s">
        <v>17</v>
      </c>
      <c r="G733" s="4" t="s">
        <v>18</v>
      </c>
      <c r="H733" s="4" t="s">
        <v>40</v>
      </c>
      <c r="I733" s="4" t="s">
        <v>41</v>
      </c>
      <c r="J733" s="4" t="s">
        <v>596</v>
      </c>
      <c r="K733" s="4" t="s">
        <v>845</v>
      </c>
      <c r="L733" s="5">
        <v>0.41736111111111113</v>
      </c>
      <c r="M733" s="4" t="s">
        <v>970</v>
      </c>
      <c r="N733" s="6" t="s">
        <v>23</v>
      </c>
      <c r="O733" s="4" t="s">
        <v>24</v>
      </c>
    </row>
    <row r="734" spans="1:15" x14ac:dyDescent="0.25">
      <c r="A734" s="4" t="s">
        <v>15</v>
      </c>
      <c r="B734" s="4" t="str">
        <f>"FES1162750026"</f>
        <v>FES1162750026</v>
      </c>
      <c r="C734" s="4" t="s">
        <v>662</v>
      </c>
      <c r="D734" s="4">
        <v>1</v>
      </c>
      <c r="E734" s="4" t="str">
        <f>"2170737836"</f>
        <v>2170737836</v>
      </c>
      <c r="F734" s="4" t="s">
        <v>17</v>
      </c>
      <c r="G734" s="4" t="s">
        <v>18</v>
      </c>
      <c r="H734" s="4" t="s">
        <v>178</v>
      </c>
      <c r="I734" s="4" t="s">
        <v>179</v>
      </c>
      <c r="J734" s="4" t="s">
        <v>107</v>
      </c>
      <c r="K734" s="4" t="s">
        <v>845</v>
      </c>
      <c r="L734" s="5">
        <v>0.39583333333333331</v>
      </c>
      <c r="M734" s="4" t="s">
        <v>1003</v>
      </c>
      <c r="N734" s="6" t="s">
        <v>23</v>
      </c>
      <c r="O734" s="4" t="s">
        <v>24</v>
      </c>
    </row>
    <row r="735" spans="1:15" x14ac:dyDescent="0.25">
      <c r="A735" s="4" t="s">
        <v>15</v>
      </c>
      <c r="B735" s="4" t="str">
        <f>"FES1162749835"</f>
        <v>FES1162749835</v>
      </c>
      <c r="C735" s="4" t="s">
        <v>662</v>
      </c>
      <c r="D735" s="4">
        <v>1</v>
      </c>
      <c r="E735" s="4" t="str">
        <f>"2170739015"</f>
        <v>2170739015</v>
      </c>
      <c r="F735" s="4" t="s">
        <v>17</v>
      </c>
      <c r="G735" s="4" t="s">
        <v>18</v>
      </c>
      <c r="H735" s="4" t="s">
        <v>85</v>
      </c>
      <c r="I735" s="4" t="s">
        <v>144</v>
      </c>
      <c r="J735" s="4" t="s">
        <v>808</v>
      </c>
      <c r="K735" s="4" t="s">
        <v>845</v>
      </c>
      <c r="L735" s="5">
        <v>0.40833333333333338</v>
      </c>
      <c r="M735" s="4" t="s">
        <v>1004</v>
      </c>
      <c r="N735" s="6" t="s">
        <v>23</v>
      </c>
      <c r="O735" s="4" t="s">
        <v>24</v>
      </c>
    </row>
    <row r="736" spans="1:15" x14ac:dyDescent="0.25">
      <c r="A736" s="4" t="s">
        <v>15</v>
      </c>
      <c r="B736" s="4" t="str">
        <f>"FES1162749927"</f>
        <v>FES1162749927</v>
      </c>
      <c r="C736" s="4" t="s">
        <v>662</v>
      </c>
      <c r="D736" s="4">
        <v>1</v>
      </c>
      <c r="E736" s="4" t="str">
        <f>"2170740267"</f>
        <v>2170740267</v>
      </c>
      <c r="F736" s="4" t="s">
        <v>873</v>
      </c>
      <c r="G736" s="4" t="s">
        <v>18</v>
      </c>
      <c r="H736" s="4" t="s">
        <v>85</v>
      </c>
      <c r="I736" s="4" t="s">
        <v>362</v>
      </c>
      <c r="J736" s="4" t="s">
        <v>363</v>
      </c>
      <c r="K736" s="4" t="s">
        <v>843</v>
      </c>
      <c r="L736" s="5">
        <v>0.37916666666666665</v>
      </c>
      <c r="M736" s="4" t="s">
        <v>876</v>
      </c>
      <c r="N736" s="6" t="s">
        <v>23</v>
      </c>
      <c r="O736" s="4" t="s">
        <v>875</v>
      </c>
    </row>
    <row r="737" spans="1:15" x14ac:dyDescent="0.25">
      <c r="A737" s="4" t="s">
        <v>15</v>
      </c>
      <c r="B737" s="4" t="str">
        <f>"FES1162749827"</f>
        <v>FES1162749827</v>
      </c>
      <c r="C737" s="4" t="s">
        <v>662</v>
      </c>
      <c r="D737" s="4">
        <v>1</v>
      </c>
      <c r="E737" s="4" t="str">
        <f>"217073916"</f>
        <v>217073916</v>
      </c>
      <c r="F737" s="4" t="s">
        <v>17</v>
      </c>
      <c r="G737" s="4" t="s">
        <v>18</v>
      </c>
      <c r="H737" s="4" t="s">
        <v>85</v>
      </c>
      <c r="I737" s="4" t="s">
        <v>207</v>
      </c>
      <c r="J737" s="4" t="s">
        <v>245</v>
      </c>
      <c r="K737" s="4" t="s">
        <v>845</v>
      </c>
      <c r="L737" s="5">
        <v>0.44166666666666665</v>
      </c>
      <c r="M737" s="4" t="s">
        <v>909</v>
      </c>
      <c r="N737" s="6" t="s">
        <v>23</v>
      </c>
      <c r="O737" s="4" t="s">
        <v>24</v>
      </c>
    </row>
    <row r="738" spans="1:15" x14ac:dyDescent="0.25">
      <c r="A738" s="4" t="s">
        <v>15</v>
      </c>
      <c r="B738" s="4" t="str">
        <f>"FES1162750054"</f>
        <v>FES1162750054</v>
      </c>
      <c r="C738" s="4" t="s">
        <v>662</v>
      </c>
      <c r="D738" s="4">
        <v>1</v>
      </c>
      <c r="E738" s="4" t="str">
        <f>"2170738459"</f>
        <v>2170738459</v>
      </c>
      <c r="F738" s="4" t="s">
        <v>17</v>
      </c>
      <c r="G738" s="4" t="s">
        <v>18</v>
      </c>
      <c r="H738" s="4" t="s">
        <v>18</v>
      </c>
      <c r="I738" s="4" t="s">
        <v>121</v>
      </c>
      <c r="J738" s="4" t="s">
        <v>627</v>
      </c>
      <c r="K738" s="4" t="s">
        <v>845</v>
      </c>
      <c r="L738" s="5">
        <v>0.31944444444444448</v>
      </c>
      <c r="M738" s="4" t="s">
        <v>741</v>
      </c>
      <c r="N738" s="6" t="s">
        <v>23</v>
      </c>
      <c r="O738" s="4" t="s">
        <v>24</v>
      </c>
    </row>
    <row r="739" spans="1:15" x14ac:dyDescent="0.25">
      <c r="A739" s="4" t="s">
        <v>15</v>
      </c>
      <c r="B739" s="4" t="str">
        <f>"FES1162750139"</f>
        <v>FES1162750139</v>
      </c>
      <c r="C739" s="4" t="s">
        <v>662</v>
      </c>
      <c r="D739" s="4">
        <v>1</v>
      </c>
      <c r="E739" s="4" t="str">
        <f>"2170740345"</f>
        <v>2170740345</v>
      </c>
      <c r="F739" s="4" t="s">
        <v>17</v>
      </c>
      <c r="G739" s="4" t="s">
        <v>18</v>
      </c>
      <c r="H739" s="4" t="s">
        <v>18</v>
      </c>
      <c r="I739" s="4" t="s">
        <v>19</v>
      </c>
      <c r="J739" s="4" t="s">
        <v>20</v>
      </c>
      <c r="K739" s="4" t="s">
        <v>845</v>
      </c>
      <c r="L739" s="5">
        <v>0.40486111111111112</v>
      </c>
      <c r="M739" s="4" t="s">
        <v>1005</v>
      </c>
      <c r="N739" s="6" t="s">
        <v>23</v>
      </c>
      <c r="O739" s="4" t="s">
        <v>24</v>
      </c>
    </row>
    <row r="740" spans="1:15" x14ac:dyDescent="0.25">
      <c r="A740" s="4" t="s">
        <v>15</v>
      </c>
      <c r="B740" s="4" t="str">
        <f>"FES1162750102"</f>
        <v>FES1162750102</v>
      </c>
      <c r="C740" s="4" t="s">
        <v>662</v>
      </c>
      <c r="D740" s="4">
        <v>1</v>
      </c>
      <c r="E740" s="4" t="str">
        <f>"2170739061"</f>
        <v>2170739061</v>
      </c>
      <c r="F740" s="4" t="s">
        <v>17</v>
      </c>
      <c r="G740" s="4" t="s">
        <v>18</v>
      </c>
      <c r="H740" s="4" t="s">
        <v>18</v>
      </c>
      <c r="I740" s="4" t="s">
        <v>29</v>
      </c>
      <c r="J740" s="4" t="s">
        <v>30</v>
      </c>
      <c r="K740" s="4" t="s">
        <v>845</v>
      </c>
      <c r="L740" s="5">
        <v>0.3125</v>
      </c>
      <c r="M740" s="4" t="s">
        <v>986</v>
      </c>
      <c r="N740" s="6" t="s">
        <v>23</v>
      </c>
      <c r="O740" s="4" t="s">
        <v>24</v>
      </c>
    </row>
    <row r="741" spans="1:15" x14ac:dyDescent="0.25">
      <c r="A741" s="4" t="s">
        <v>15</v>
      </c>
      <c r="B741" s="4" t="str">
        <f>"FES1162749982"</f>
        <v>FES1162749982</v>
      </c>
      <c r="C741" s="4" t="s">
        <v>662</v>
      </c>
      <c r="D741" s="4">
        <v>1</v>
      </c>
      <c r="E741" s="4" t="str">
        <f>"2170738539"</f>
        <v>2170738539</v>
      </c>
      <c r="F741" s="4" t="s">
        <v>17</v>
      </c>
      <c r="G741" s="4" t="s">
        <v>18</v>
      </c>
      <c r="H741" s="4" t="s">
        <v>18</v>
      </c>
      <c r="I741" s="4" t="s">
        <v>29</v>
      </c>
      <c r="J741" s="4" t="s">
        <v>861</v>
      </c>
      <c r="K741" s="4" t="s">
        <v>845</v>
      </c>
      <c r="L741" s="5">
        <v>0.36458333333333331</v>
      </c>
      <c r="M741" s="4" t="s">
        <v>860</v>
      </c>
      <c r="N741" s="6" t="s">
        <v>23</v>
      </c>
      <c r="O741" s="4" t="s">
        <v>24</v>
      </c>
    </row>
    <row r="742" spans="1:15" x14ac:dyDescent="0.25">
      <c r="A742" s="4" t="s">
        <v>15</v>
      </c>
      <c r="B742" s="4" t="str">
        <f>"FES1162750081"</f>
        <v>FES1162750081</v>
      </c>
      <c r="C742" s="4" t="s">
        <v>662</v>
      </c>
      <c r="D742" s="4">
        <v>1</v>
      </c>
      <c r="E742" s="4" t="str">
        <f>"2170738711"</f>
        <v>2170738711</v>
      </c>
      <c r="F742" s="4" t="s">
        <v>17</v>
      </c>
      <c r="G742" s="4" t="s">
        <v>18</v>
      </c>
      <c r="H742" s="4" t="s">
        <v>48</v>
      </c>
      <c r="I742" s="4" t="s">
        <v>49</v>
      </c>
      <c r="J742" s="4" t="s">
        <v>607</v>
      </c>
      <c r="K742" s="4" t="s">
        <v>845</v>
      </c>
      <c r="L742" s="5">
        <v>0.3979166666666667</v>
      </c>
      <c r="M742" s="4" t="s">
        <v>496</v>
      </c>
      <c r="N742" s="6" t="s">
        <v>23</v>
      </c>
      <c r="O742" s="4" t="s">
        <v>24</v>
      </c>
    </row>
    <row r="743" spans="1:15" x14ac:dyDescent="0.25">
      <c r="A743" s="4" t="s">
        <v>15</v>
      </c>
      <c r="B743" s="4" t="str">
        <f>"FES1162750060"</f>
        <v>FES1162750060</v>
      </c>
      <c r="C743" s="4" t="s">
        <v>662</v>
      </c>
      <c r="D743" s="4">
        <v>1</v>
      </c>
      <c r="E743" s="4" t="str">
        <f>"2170738516"</f>
        <v>2170738516</v>
      </c>
      <c r="F743" s="4" t="s">
        <v>17</v>
      </c>
      <c r="G743" s="4" t="s">
        <v>18</v>
      </c>
      <c r="H743" s="4" t="s">
        <v>48</v>
      </c>
      <c r="I743" s="4" t="s">
        <v>49</v>
      </c>
      <c r="J743" s="4" t="s">
        <v>376</v>
      </c>
      <c r="K743" s="4" t="s">
        <v>845</v>
      </c>
      <c r="L743" s="5">
        <v>0.40625</v>
      </c>
      <c r="M743" s="4" t="s">
        <v>1006</v>
      </c>
      <c r="N743" s="6" t="s">
        <v>23</v>
      </c>
      <c r="O743" s="4" t="s">
        <v>24</v>
      </c>
    </row>
    <row r="744" spans="1:15" x14ac:dyDescent="0.25">
      <c r="A744" s="4" t="s">
        <v>15</v>
      </c>
      <c r="B744" s="4" t="str">
        <f>"FES1162750120"</f>
        <v>FES1162750120</v>
      </c>
      <c r="C744" s="4" t="s">
        <v>662</v>
      </c>
      <c r="D744" s="4">
        <v>1</v>
      </c>
      <c r="E744" s="4" t="str">
        <f>"2170740056"</f>
        <v>2170740056</v>
      </c>
      <c r="F744" s="4" t="s">
        <v>17</v>
      </c>
      <c r="G744" s="4" t="s">
        <v>18</v>
      </c>
      <c r="H744" s="4" t="s">
        <v>48</v>
      </c>
      <c r="I744" s="4" t="s">
        <v>49</v>
      </c>
      <c r="J744" s="4" t="s">
        <v>100</v>
      </c>
      <c r="K744" s="4" t="s">
        <v>845</v>
      </c>
      <c r="L744" s="5">
        <v>0.33749999999999997</v>
      </c>
      <c r="M744" s="4" t="s">
        <v>1007</v>
      </c>
      <c r="N744" s="6" t="s">
        <v>23</v>
      </c>
      <c r="O744" s="4" t="s">
        <v>24</v>
      </c>
    </row>
    <row r="745" spans="1:15" x14ac:dyDescent="0.25">
      <c r="A745" s="4" t="s">
        <v>15</v>
      </c>
      <c r="B745" s="4" t="str">
        <f>"FES1162749909"</f>
        <v>FES1162749909</v>
      </c>
      <c r="C745" s="4" t="s">
        <v>662</v>
      </c>
      <c r="D745" s="4">
        <v>1</v>
      </c>
      <c r="E745" s="4" t="str">
        <f>"2170740207"</f>
        <v>2170740207</v>
      </c>
      <c r="F745" s="4" t="s">
        <v>17</v>
      </c>
      <c r="G745" s="4" t="s">
        <v>18</v>
      </c>
      <c r="H745" s="4" t="s">
        <v>85</v>
      </c>
      <c r="I745" s="4" t="s">
        <v>144</v>
      </c>
      <c r="J745" s="4" t="s">
        <v>564</v>
      </c>
      <c r="K745" s="4" t="s">
        <v>845</v>
      </c>
      <c r="L745" s="5">
        <v>0.48472222222222222</v>
      </c>
      <c r="M745" s="4" t="s">
        <v>524</v>
      </c>
      <c r="N745" s="6" t="s">
        <v>23</v>
      </c>
      <c r="O745" s="4" t="s">
        <v>24</v>
      </c>
    </row>
    <row r="746" spans="1:15" x14ac:dyDescent="0.25">
      <c r="A746" s="4" t="s">
        <v>15</v>
      </c>
      <c r="B746" s="4" t="str">
        <f>"FES1162750078"</f>
        <v>FES1162750078</v>
      </c>
      <c r="C746" s="4" t="s">
        <v>662</v>
      </c>
      <c r="D746" s="4">
        <v>1</v>
      </c>
      <c r="E746" s="4" t="str">
        <f>"2170738642"</f>
        <v>2170738642</v>
      </c>
      <c r="F746" s="4" t="s">
        <v>17</v>
      </c>
      <c r="G746" s="4" t="s">
        <v>18</v>
      </c>
      <c r="H746" s="4" t="s">
        <v>48</v>
      </c>
      <c r="I746" s="4" t="s">
        <v>49</v>
      </c>
      <c r="J746" s="4" t="s">
        <v>100</v>
      </c>
      <c r="K746" s="4" t="s">
        <v>845</v>
      </c>
      <c r="L746" s="5">
        <v>0.33680555555555558</v>
      </c>
      <c r="M746" s="4" t="s">
        <v>1008</v>
      </c>
      <c r="N746" s="6" t="s">
        <v>23</v>
      </c>
      <c r="O746" s="4" t="s">
        <v>24</v>
      </c>
    </row>
    <row r="747" spans="1:15" x14ac:dyDescent="0.25">
      <c r="A747" s="4" t="s">
        <v>15</v>
      </c>
      <c r="B747" s="4" t="str">
        <f>"FES1162749870"</f>
        <v>FES1162749870</v>
      </c>
      <c r="C747" s="4" t="s">
        <v>662</v>
      </c>
      <c r="D747" s="4">
        <v>1</v>
      </c>
      <c r="E747" s="4" t="str">
        <f>"2170738668"</f>
        <v>2170738668</v>
      </c>
      <c r="F747" s="4" t="s">
        <v>17</v>
      </c>
      <c r="G747" s="4" t="s">
        <v>18</v>
      </c>
      <c r="H747" s="4" t="s">
        <v>40</v>
      </c>
      <c r="I747" s="4" t="s">
        <v>41</v>
      </c>
      <c r="J747" s="4" t="s">
        <v>874</v>
      </c>
      <c r="K747" s="4" t="s">
        <v>845</v>
      </c>
      <c r="L747" s="5">
        <v>0.3888888888888889</v>
      </c>
      <c r="M747" s="4" t="s">
        <v>1009</v>
      </c>
      <c r="N747" s="6" t="s">
        <v>23</v>
      </c>
      <c r="O747" s="4" t="s">
        <v>24</v>
      </c>
    </row>
    <row r="748" spans="1:15" x14ac:dyDescent="0.25">
      <c r="A748" s="11" t="s">
        <v>15</v>
      </c>
      <c r="B748" s="11" t="str">
        <f>"FES1162749998"</f>
        <v>FES1162749998</v>
      </c>
      <c r="C748" s="11" t="s">
        <v>662</v>
      </c>
      <c r="D748" s="11">
        <v>1</v>
      </c>
      <c r="E748" s="11" t="str">
        <f>"2170740340"</f>
        <v>2170740340</v>
      </c>
      <c r="F748" s="11" t="s">
        <v>17</v>
      </c>
      <c r="G748" s="11" t="s">
        <v>18</v>
      </c>
      <c r="H748" s="11" t="s">
        <v>48</v>
      </c>
      <c r="I748" s="11" t="s">
        <v>110</v>
      </c>
      <c r="J748" s="11" t="s">
        <v>111</v>
      </c>
      <c r="K748" s="11" t="s">
        <v>845</v>
      </c>
      <c r="L748" s="12">
        <v>0.3888888888888889</v>
      </c>
      <c r="M748" s="11" t="s">
        <v>1692</v>
      </c>
      <c r="N748" s="13" t="s">
        <v>23</v>
      </c>
      <c r="O748" s="11" t="s">
        <v>965</v>
      </c>
    </row>
    <row r="749" spans="1:15" x14ac:dyDescent="0.25">
      <c r="A749" s="11" t="s">
        <v>15</v>
      </c>
      <c r="B749" s="11" t="str">
        <f>"FES1162750194"</f>
        <v>FES1162750194</v>
      </c>
      <c r="C749" s="11" t="s">
        <v>662</v>
      </c>
      <c r="D749" s="11">
        <v>1</v>
      </c>
      <c r="E749" s="11" t="str">
        <f>"2170740423"</f>
        <v>2170740423</v>
      </c>
      <c r="F749" s="11" t="s">
        <v>873</v>
      </c>
      <c r="G749" s="11" t="s">
        <v>18</v>
      </c>
      <c r="H749" s="11" t="s">
        <v>48</v>
      </c>
      <c r="I749" s="11" t="s">
        <v>49</v>
      </c>
      <c r="J749" s="11" t="s">
        <v>872</v>
      </c>
      <c r="K749" s="11" t="s">
        <v>845</v>
      </c>
      <c r="L749" s="12">
        <v>0.45833333333333331</v>
      </c>
      <c r="M749" s="11" t="s">
        <v>1428</v>
      </c>
      <c r="N749" s="11" t="s">
        <v>23</v>
      </c>
      <c r="O749" s="11" t="s">
        <v>871</v>
      </c>
    </row>
    <row r="750" spans="1:15" x14ac:dyDescent="0.25">
      <c r="A750" s="4" t="s">
        <v>15</v>
      </c>
      <c r="B750" s="4" t="str">
        <f>"FES1162749996"</f>
        <v>FES1162749996</v>
      </c>
      <c r="C750" s="4" t="s">
        <v>662</v>
      </c>
      <c r="D750" s="4">
        <v>1</v>
      </c>
      <c r="E750" s="4" t="str">
        <f>"2170740337"</f>
        <v>2170740337</v>
      </c>
      <c r="F750" s="4" t="s">
        <v>17</v>
      </c>
      <c r="G750" s="4" t="s">
        <v>18</v>
      </c>
      <c r="H750" s="4" t="s">
        <v>85</v>
      </c>
      <c r="I750" s="4" t="s">
        <v>144</v>
      </c>
      <c r="J750" s="4" t="s">
        <v>564</v>
      </c>
      <c r="K750" s="4" t="s">
        <v>845</v>
      </c>
      <c r="L750" s="5">
        <v>0.48472222222222222</v>
      </c>
      <c r="M750" s="4" t="s">
        <v>524</v>
      </c>
      <c r="N750" s="6" t="s">
        <v>23</v>
      </c>
      <c r="O750" s="4" t="s">
        <v>24</v>
      </c>
    </row>
    <row r="751" spans="1:15" x14ac:dyDescent="0.25">
      <c r="A751" s="4" t="s">
        <v>15</v>
      </c>
      <c r="B751" s="4" t="str">
        <f>"FES1162750000"</f>
        <v>FES1162750000</v>
      </c>
      <c r="C751" s="4" t="s">
        <v>662</v>
      </c>
      <c r="D751" s="4">
        <v>1</v>
      </c>
      <c r="E751" s="4" t="str">
        <f>"2170740327"</f>
        <v>2170740327</v>
      </c>
      <c r="F751" s="4" t="s">
        <v>17</v>
      </c>
      <c r="G751" s="4" t="s">
        <v>18</v>
      </c>
      <c r="H751" s="4" t="s">
        <v>40</v>
      </c>
      <c r="I751" s="4" t="s">
        <v>870</v>
      </c>
      <c r="J751" s="4" t="s">
        <v>869</v>
      </c>
      <c r="K751" s="4" t="s">
        <v>845</v>
      </c>
      <c r="L751" s="5">
        <v>0.52083333333333337</v>
      </c>
      <c r="M751" s="4" t="s">
        <v>1010</v>
      </c>
      <c r="N751" s="6" t="s">
        <v>23</v>
      </c>
      <c r="O751" s="4" t="s">
        <v>24</v>
      </c>
    </row>
    <row r="752" spans="1:15" x14ac:dyDescent="0.25">
      <c r="A752" s="4" t="s">
        <v>15</v>
      </c>
      <c r="B752" s="4" t="str">
        <f>"FES1162750035"</f>
        <v>FES1162750035</v>
      </c>
      <c r="C752" s="4" t="s">
        <v>662</v>
      </c>
      <c r="D752" s="4">
        <v>1</v>
      </c>
      <c r="E752" s="4" t="str">
        <f>"2170738339"</f>
        <v>2170738339</v>
      </c>
      <c r="F752" s="4" t="s">
        <v>17</v>
      </c>
      <c r="G752" s="4" t="s">
        <v>18</v>
      </c>
      <c r="H752" s="4" t="s">
        <v>18</v>
      </c>
      <c r="I752" s="4" t="s">
        <v>29</v>
      </c>
      <c r="J752" s="4" t="s">
        <v>298</v>
      </c>
      <c r="K752" s="4" t="s">
        <v>845</v>
      </c>
      <c r="L752" s="5">
        <v>0.41944444444444445</v>
      </c>
      <c r="M752" s="4" t="s">
        <v>457</v>
      </c>
      <c r="N752" s="6" t="s">
        <v>23</v>
      </c>
      <c r="O752" s="4" t="s">
        <v>24</v>
      </c>
    </row>
    <row r="753" spans="1:15" x14ac:dyDescent="0.25">
      <c r="A753" s="4" t="s">
        <v>15</v>
      </c>
      <c r="B753" s="4" t="str">
        <f>"FES1162749993"</f>
        <v>FES1162749993</v>
      </c>
      <c r="C753" s="4" t="s">
        <v>662</v>
      </c>
      <c r="D753" s="4">
        <v>1</v>
      </c>
      <c r="E753" s="4" t="str">
        <f>"2170740328"</f>
        <v>2170740328</v>
      </c>
      <c r="F753" s="4" t="s">
        <v>17</v>
      </c>
      <c r="G753" s="4" t="s">
        <v>18</v>
      </c>
      <c r="H753" s="4" t="s">
        <v>18</v>
      </c>
      <c r="I753" s="4" t="s">
        <v>19</v>
      </c>
      <c r="J753" s="4" t="s">
        <v>250</v>
      </c>
      <c r="K753" s="4" t="s">
        <v>845</v>
      </c>
      <c r="L753" s="5">
        <v>0.33333333333333331</v>
      </c>
      <c r="M753" s="4" t="s">
        <v>128</v>
      </c>
      <c r="N753" s="6" t="s">
        <v>23</v>
      </c>
      <c r="O753" s="4" t="s">
        <v>24</v>
      </c>
    </row>
    <row r="754" spans="1:15" x14ac:dyDescent="0.25">
      <c r="A754" s="4" t="s">
        <v>15</v>
      </c>
      <c r="B754" s="4" t="str">
        <f>"FES1162749847"</f>
        <v>FES1162749847</v>
      </c>
      <c r="C754" s="4" t="s">
        <v>662</v>
      </c>
      <c r="D754" s="4">
        <v>1</v>
      </c>
      <c r="E754" s="4" t="str">
        <f>"2170736627"</f>
        <v>2170736627</v>
      </c>
      <c r="F754" s="4" t="s">
        <v>17</v>
      </c>
      <c r="G754" s="4" t="s">
        <v>18</v>
      </c>
      <c r="H754" s="4" t="s">
        <v>85</v>
      </c>
      <c r="I754" s="4" t="s">
        <v>850</v>
      </c>
      <c r="J754" s="4" t="s">
        <v>849</v>
      </c>
      <c r="K754" s="4" t="s">
        <v>845</v>
      </c>
      <c r="L754" s="5">
        <v>0.41666666666666669</v>
      </c>
      <c r="M754" s="4" t="s">
        <v>1011</v>
      </c>
      <c r="N754" s="6" t="s">
        <v>23</v>
      </c>
      <c r="O754" s="4" t="s">
        <v>24</v>
      </c>
    </row>
    <row r="755" spans="1:15" x14ac:dyDescent="0.25">
      <c r="A755" s="4" t="s">
        <v>15</v>
      </c>
      <c r="B755" s="4" t="str">
        <f>"FES1162749944"</f>
        <v>FES1162749944</v>
      </c>
      <c r="C755" s="4" t="s">
        <v>662</v>
      </c>
      <c r="D755" s="4">
        <v>1</v>
      </c>
      <c r="E755" s="4" t="str">
        <f>"2170740283"</f>
        <v>2170740283</v>
      </c>
      <c r="F755" s="4" t="s">
        <v>17</v>
      </c>
      <c r="G755" s="4" t="s">
        <v>18</v>
      </c>
      <c r="H755" s="4" t="s">
        <v>85</v>
      </c>
      <c r="I755" s="4" t="s">
        <v>144</v>
      </c>
      <c r="J755" s="4" t="s">
        <v>407</v>
      </c>
      <c r="K755" s="4" t="s">
        <v>845</v>
      </c>
      <c r="L755" s="5">
        <v>0.66805555555555562</v>
      </c>
      <c r="M755" s="4" t="s">
        <v>1012</v>
      </c>
      <c r="N755" s="6" t="s">
        <v>23</v>
      </c>
      <c r="O755" s="4" t="s">
        <v>24</v>
      </c>
    </row>
    <row r="756" spans="1:15" x14ac:dyDescent="0.25">
      <c r="A756" s="4" t="s">
        <v>15</v>
      </c>
      <c r="B756" s="4" t="str">
        <f>"FES1162750086"</f>
        <v>FES1162750086</v>
      </c>
      <c r="C756" s="4" t="s">
        <v>662</v>
      </c>
      <c r="D756" s="4">
        <v>1</v>
      </c>
      <c r="E756" s="4" t="str">
        <f>"2170738762"</f>
        <v>2170738762</v>
      </c>
      <c r="F756" s="4" t="s">
        <v>17</v>
      </c>
      <c r="G756" s="4" t="s">
        <v>18</v>
      </c>
      <c r="H756" s="4" t="s">
        <v>48</v>
      </c>
      <c r="I756" s="4" t="s">
        <v>73</v>
      </c>
      <c r="J756" s="4" t="s">
        <v>868</v>
      </c>
      <c r="K756" s="4" t="s">
        <v>845</v>
      </c>
      <c r="L756" s="5">
        <v>0.47152777777777777</v>
      </c>
      <c r="M756" s="4" t="s">
        <v>1013</v>
      </c>
      <c r="N756" s="6" t="s">
        <v>23</v>
      </c>
      <c r="O756" s="4" t="s">
        <v>24</v>
      </c>
    </row>
    <row r="757" spans="1:15" x14ac:dyDescent="0.25">
      <c r="A757" s="4" t="s">
        <v>15</v>
      </c>
      <c r="B757" s="4" t="str">
        <f>"FES1162750033"</f>
        <v>FES1162750033</v>
      </c>
      <c r="C757" s="4" t="s">
        <v>662</v>
      </c>
      <c r="D757" s="4">
        <v>1</v>
      </c>
      <c r="E757" s="4" t="str">
        <f>"2170738332"</f>
        <v>2170738332</v>
      </c>
      <c r="F757" s="4" t="s">
        <v>17</v>
      </c>
      <c r="G757" s="4" t="s">
        <v>18</v>
      </c>
      <c r="H757" s="4" t="s">
        <v>48</v>
      </c>
      <c r="I757" s="4" t="s">
        <v>49</v>
      </c>
      <c r="J757" s="4" t="s">
        <v>400</v>
      </c>
      <c r="K757" s="4" t="s">
        <v>845</v>
      </c>
      <c r="L757" s="5">
        <v>0.47152777777777777</v>
      </c>
      <c r="M757" s="4" t="s">
        <v>1103</v>
      </c>
      <c r="N757" s="6" t="s">
        <v>23</v>
      </c>
      <c r="O757" s="4" t="s">
        <v>24</v>
      </c>
    </row>
    <row r="758" spans="1:15" x14ac:dyDescent="0.25">
      <c r="A758" s="4" t="s">
        <v>15</v>
      </c>
      <c r="B758" s="4" t="str">
        <f>"RFES1162745792"</f>
        <v>RFES1162745792</v>
      </c>
      <c r="C758" s="4" t="s">
        <v>662</v>
      </c>
      <c r="D758" s="4">
        <v>1</v>
      </c>
      <c r="E758" s="4" t="str">
        <f>"2170733615"</f>
        <v>2170733615</v>
      </c>
      <c r="F758" s="4" t="s">
        <v>17</v>
      </c>
      <c r="G758" s="4" t="s">
        <v>48</v>
      </c>
      <c r="H758" s="4" t="s">
        <v>18</v>
      </c>
      <c r="I758" s="4" t="s">
        <v>29</v>
      </c>
      <c r="J758" s="4" t="s">
        <v>417</v>
      </c>
      <c r="K758" s="4" t="s">
        <v>845</v>
      </c>
      <c r="L758" s="5">
        <v>0.34375</v>
      </c>
      <c r="M758" s="4" t="s">
        <v>844</v>
      </c>
      <c r="N758" s="6" t="s">
        <v>23</v>
      </c>
      <c r="O758" s="4" t="s">
        <v>24</v>
      </c>
    </row>
    <row r="759" spans="1:15" x14ac:dyDescent="0.25">
      <c r="A759" s="4" t="s">
        <v>15</v>
      </c>
      <c r="B759" s="4" t="str">
        <f>"FES1162750181"</f>
        <v>FES1162750181</v>
      </c>
      <c r="C759" s="4" t="s">
        <v>662</v>
      </c>
      <c r="D759" s="4">
        <v>1</v>
      </c>
      <c r="E759" s="4" t="str">
        <f>"2170740413"</f>
        <v>2170740413</v>
      </c>
      <c r="F759" s="4" t="s">
        <v>17</v>
      </c>
      <c r="G759" s="4" t="s">
        <v>18</v>
      </c>
      <c r="H759" s="4" t="s">
        <v>48</v>
      </c>
      <c r="I759" s="4" t="s">
        <v>49</v>
      </c>
      <c r="J759" s="4" t="s">
        <v>847</v>
      </c>
      <c r="K759" s="4" t="s">
        <v>845</v>
      </c>
      <c r="L759" s="5">
        <v>0.42291666666666666</v>
      </c>
      <c r="M759" s="4" t="s">
        <v>1014</v>
      </c>
      <c r="N759" s="6" t="s">
        <v>23</v>
      </c>
      <c r="O759" s="4" t="s">
        <v>24</v>
      </c>
    </row>
    <row r="760" spans="1:15" x14ac:dyDescent="0.25">
      <c r="A760" s="4" t="s">
        <v>15</v>
      </c>
      <c r="B760" s="4" t="str">
        <f>"FES1162750112"</f>
        <v>FES1162750112</v>
      </c>
      <c r="C760" s="4" t="s">
        <v>662</v>
      </c>
      <c r="D760" s="4">
        <v>1</v>
      </c>
      <c r="E760" s="4" t="str">
        <f>"2170739545"</f>
        <v>2170739545</v>
      </c>
      <c r="F760" s="4" t="s">
        <v>17</v>
      </c>
      <c r="G760" s="4" t="s">
        <v>18</v>
      </c>
      <c r="H760" s="4" t="s">
        <v>85</v>
      </c>
      <c r="I760" s="4" t="s">
        <v>144</v>
      </c>
      <c r="J760" s="4" t="s">
        <v>407</v>
      </c>
      <c r="K760" s="4" t="s">
        <v>845</v>
      </c>
      <c r="L760" s="5">
        <v>0.4861111111111111</v>
      </c>
      <c r="M760" s="4" t="s">
        <v>65</v>
      </c>
      <c r="N760" s="6" t="s">
        <v>23</v>
      </c>
      <c r="O760" s="4" t="s">
        <v>24</v>
      </c>
    </row>
    <row r="761" spans="1:15" x14ac:dyDescent="0.25">
      <c r="A761" s="11" t="s">
        <v>15</v>
      </c>
      <c r="B761" s="11" t="str">
        <f>"FES1162750088"</f>
        <v>FES1162750088</v>
      </c>
      <c r="C761" s="11" t="s">
        <v>662</v>
      </c>
      <c r="D761" s="11">
        <v>1</v>
      </c>
      <c r="E761" s="11" t="str">
        <f>"2170738779"</f>
        <v>2170738779</v>
      </c>
      <c r="F761" s="11" t="s">
        <v>17</v>
      </c>
      <c r="G761" s="11" t="s">
        <v>18</v>
      </c>
      <c r="H761" s="11" t="s">
        <v>40</v>
      </c>
      <c r="I761" s="11" t="s">
        <v>41</v>
      </c>
      <c r="J761" s="11" t="s">
        <v>99</v>
      </c>
      <c r="K761" s="11" t="s">
        <v>845</v>
      </c>
      <c r="L761" s="12">
        <v>0.3666666666666667</v>
      </c>
      <c r="M761" s="11" t="s">
        <v>982</v>
      </c>
      <c r="N761" s="13" t="s">
        <v>23</v>
      </c>
      <c r="O761" s="11" t="s">
        <v>24</v>
      </c>
    </row>
    <row r="762" spans="1:15" x14ac:dyDescent="0.25">
      <c r="A762" s="11" t="s">
        <v>15</v>
      </c>
      <c r="B762" s="11" t="str">
        <f>"FES1162750094"</f>
        <v>FES1162750094</v>
      </c>
      <c r="C762" s="11" t="s">
        <v>662</v>
      </c>
      <c r="D762" s="11">
        <v>1</v>
      </c>
      <c r="E762" s="11" t="str">
        <f>"217073884"</f>
        <v>217073884</v>
      </c>
      <c r="F762" s="11" t="s">
        <v>17</v>
      </c>
      <c r="G762" s="11" t="s">
        <v>18</v>
      </c>
      <c r="H762" s="11" t="s">
        <v>18</v>
      </c>
      <c r="I762" s="11" t="s">
        <v>97</v>
      </c>
      <c r="J762" s="11" t="s">
        <v>133</v>
      </c>
      <c r="K762" s="11" t="s">
        <v>1015</v>
      </c>
      <c r="L762" s="12">
        <v>0.37291666666666662</v>
      </c>
      <c r="M762" s="11" t="s">
        <v>816</v>
      </c>
      <c r="N762" s="13" t="s">
        <v>23</v>
      </c>
      <c r="O762" s="11" t="s">
        <v>24</v>
      </c>
    </row>
    <row r="763" spans="1:15" x14ac:dyDescent="0.25">
      <c r="A763" s="11" t="s">
        <v>15</v>
      </c>
      <c r="B763" s="11" t="str">
        <f>"FES1162750164"</f>
        <v>FES1162750164</v>
      </c>
      <c r="C763" s="11" t="s">
        <v>662</v>
      </c>
      <c r="D763" s="11">
        <v>1</v>
      </c>
      <c r="E763" s="11" t="str">
        <f>"2170734209"</f>
        <v>2170734209</v>
      </c>
      <c r="F763" s="11" t="s">
        <v>17</v>
      </c>
      <c r="G763" s="11" t="s">
        <v>18</v>
      </c>
      <c r="H763" s="11" t="s">
        <v>48</v>
      </c>
      <c r="I763" s="11" t="s">
        <v>49</v>
      </c>
      <c r="J763" s="11" t="s">
        <v>867</v>
      </c>
      <c r="K763" s="11" t="s">
        <v>845</v>
      </c>
      <c r="L763" s="12">
        <v>0.41666666666666669</v>
      </c>
      <c r="M763" s="11" t="s">
        <v>1016</v>
      </c>
      <c r="N763" s="13" t="s">
        <v>23</v>
      </c>
      <c r="O763" s="11" t="s">
        <v>24</v>
      </c>
    </row>
    <row r="764" spans="1:15" x14ac:dyDescent="0.25">
      <c r="A764" s="11" t="s">
        <v>15</v>
      </c>
      <c r="B764" s="11" t="str">
        <f>"FES1162750056"</f>
        <v>FES1162750056</v>
      </c>
      <c r="C764" s="11" t="s">
        <v>662</v>
      </c>
      <c r="D764" s="11">
        <v>1</v>
      </c>
      <c r="E764" s="11" t="str">
        <f>"2170738461"</f>
        <v>2170738461</v>
      </c>
      <c r="F764" s="11" t="s">
        <v>17</v>
      </c>
      <c r="G764" s="11" t="s">
        <v>18</v>
      </c>
      <c r="H764" s="11" t="s">
        <v>18</v>
      </c>
      <c r="I764" s="11" t="s">
        <v>121</v>
      </c>
      <c r="J764" s="11" t="s">
        <v>627</v>
      </c>
      <c r="K764" s="11" t="s">
        <v>845</v>
      </c>
      <c r="L764" s="12">
        <v>0.31944444444444448</v>
      </c>
      <c r="M764" s="11" t="s">
        <v>741</v>
      </c>
      <c r="N764" s="13" t="s">
        <v>23</v>
      </c>
      <c r="O764" s="11" t="s">
        <v>24</v>
      </c>
    </row>
    <row r="765" spans="1:15" x14ac:dyDescent="0.25">
      <c r="A765" s="11" t="s">
        <v>15</v>
      </c>
      <c r="B765" s="11" t="str">
        <f>"FES1162750034"</f>
        <v>FES1162750034</v>
      </c>
      <c r="C765" s="11" t="s">
        <v>662</v>
      </c>
      <c r="D765" s="11">
        <v>1</v>
      </c>
      <c r="E765" s="11" t="str">
        <f>"2170738337"</f>
        <v>2170738337</v>
      </c>
      <c r="F765" s="11" t="s">
        <v>17</v>
      </c>
      <c r="G765" s="11" t="s">
        <v>18</v>
      </c>
      <c r="H765" s="11" t="s">
        <v>18</v>
      </c>
      <c r="I765" s="11" t="s">
        <v>29</v>
      </c>
      <c r="J765" s="11" t="s">
        <v>298</v>
      </c>
      <c r="K765" s="11" t="s">
        <v>845</v>
      </c>
      <c r="L765" s="12">
        <v>0.42083333333333334</v>
      </c>
      <c r="M765" s="11" t="s">
        <v>457</v>
      </c>
      <c r="N765" s="13" t="s">
        <v>23</v>
      </c>
      <c r="O765" s="11" t="s">
        <v>24</v>
      </c>
    </row>
    <row r="766" spans="1:15" x14ac:dyDescent="0.25">
      <c r="A766" s="11" t="s">
        <v>15</v>
      </c>
      <c r="B766" s="11" t="str">
        <f>"FES1162750142"</f>
        <v>FES1162750142</v>
      </c>
      <c r="C766" s="11" t="s">
        <v>662</v>
      </c>
      <c r="D766" s="11">
        <v>1</v>
      </c>
      <c r="E766" s="11" t="str">
        <f>"2170740373"</f>
        <v>2170740373</v>
      </c>
      <c r="F766" s="11" t="s">
        <v>17</v>
      </c>
      <c r="G766" s="11" t="s">
        <v>18</v>
      </c>
      <c r="H766" s="11" t="s">
        <v>18</v>
      </c>
      <c r="I766" s="11" t="s">
        <v>219</v>
      </c>
      <c r="J766" s="11" t="s">
        <v>866</v>
      </c>
      <c r="K766" s="11" t="s">
        <v>845</v>
      </c>
      <c r="L766" s="12">
        <v>0.42083333333333334</v>
      </c>
      <c r="M766" s="11" t="s">
        <v>1428</v>
      </c>
      <c r="N766" s="13" t="s">
        <v>23</v>
      </c>
      <c r="O766" s="11" t="s">
        <v>433</v>
      </c>
    </row>
    <row r="767" spans="1:15" x14ac:dyDescent="0.25">
      <c r="A767" s="11" t="s">
        <v>15</v>
      </c>
      <c r="B767" s="11" t="str">
        <f>"FES1162750192"</f>
        <v>FES1162750192</v>
      </c>
      <c r="C767" s="11" t="s">
        <v>662</v>
      </c>
      <c r="D767" s="11">
        <v>1</v>
      </c>
      <c r="E767" s="11" t="str">
        <f>"2170739010"</f>
        <v>2170739010</v>
      </c>
      <c r="F767" s="11" t="s">
        <v>17</v>
      </c>
      <c r="G767" s="11" t="s">
        <v>18</v>
      </c>
      <c r="H767" s="11" t="s">
        <v>48</v>
      </c>
      <c r="I767" s="11" t="s">
        <v>49</v>
      </c>
      <c r="J767" s="11" t="s">
        <v>100</v>
      </c>
      <c r="K767" s="11" t="s">
        <v>845</v>
      </c>
      <c r="L767" s="12">
        <v>0.33680555555555558</v>
      </c>
      <c r="M767" s="11" t="s">
        <v>1008</v>
      </c>
      <c r="N767" s="13" t="s">
        <v>23</v>
      </c>
      <c r="O767" s="11" t="s">
        <v>24</v>
      </c>
    </row>
    <row r="768" spans="1:15" x14ac:dyDescent="0.25">
      <c r="A768" s="11" t="s">
        <v>15</v>
      </c>
      <c r="B768" s="11" t="str">
        <f>"FES1162750146"</f>
        <v>FES1162750146</v>
      </c>
      <c r="C768" s="11" t="s">
        <v>662</v>
      </c>
      <c r="D768" s="11">
        <v>1</v>
      </c>
      <c r="E768" s="11" t="str">
        <f>"2170733847"</f>
        <v>2170733847</v>
      </c>
      <c r="F768" s="11" t="s">
        <v>17</v>
      </c>
      <c r="G768" s="11" t="s">
        <v>18</v>
      </c>
      <c r="H768" s="11" t="s">
        <v>32</v>
      </c>
      <c r="I768" s="11" t="s">
        <v>33</v>
      </c>
      <c r="J768" s="11" t="s">
        <v>865</v>
      </c>
      <c r="K768" s="11" t="s">
        <v>845</v>
      </c>
      <c r="L768" s="12">
        <v>0.41319444444444442</v>
      </c>
      <c r="M768" s="11" t="s">
        <v>1017</v>
      </c>
      <c r="N768" s="13" t="s">
        <v>23</v>
      </c>
      <c r="O768" s="11" t="s">
        <v>24</v>
      </c>
    </row>
    <row r="769" spans="1:15" x14ac:dyDescent="0.25">
      <c r="A769" s="11" t="s">
        <v>15</v>
      </c>
      <c r="B769" s="11" t="str">
        <f>"FES1162750186"</f>
        <v>FES1162750186</v>
      </c>
      <c r="C769" s="11" t="s">
        <v>662</v>
      </c>
      <c r="D769" s="11">
        <v>1</v>
      </c>
      <c r="E769" s="11" t="str">
        <f>"2170740420"</f>
        <v>2170740420</v>
      </c>
      <c r="F769" s="11" t="s">
        <v>17</v>
      </c>
      <c r="G769" s="11" t="s">
        <v>18</v>
      </c>
      <c r="H769" s="11" t="s">
        <v>18</v>
      </c>
      <c r="I769" s="11" t="s">
        <v>68</v>
      </c>
      <c r="J769" s="11" t="s">
        <v>864</v>
      </c>
      <c r="K769" s="11" t="s">
        <v>845</v>
      </c>
      <c r="L769" s="12">
        <v>0.35833333333333334</v>
      </c>
      <c r="M769" s="11" t="s">
        <v>1018</v>
      </c>
      <c r="N769" s="13" t="s">
        <v>23</v>
      </c>
      <c r="O769" s="11" t="s">
        <v>24</v>
      </c>
    </row>
    <row r="770" spans="1:15" x14ac:dyDescent="0.25">
      <c r="A770" s="11" t="s">
        <v>15</v>
      </c>
      <c r="B770" s="11" t="str">
        <f>"FES1162750091"</f>
        <v>FES1162750091</v>
      </c>
      <c r="C770" s="11" t="s">
        <v>662</v>
      </c>
      <c r="D770" s="11">
        <v>1</v>
      </c>
      <c r="E770" s="11" t="str">
        <f>"2170738822"</f>
        <v>2170738822</v>
      </c>
      <c r="F770" s="11" t="s">
        <v>17</v>
      </c>
      <c r="G770" s="11" t="s">
        <v>18</v>
      </c>
      <c r="H770" s="11" t="s">
        <v>48</v>
      </c>
      <c r="I770" s="11" t="s">
        <v>73</v>
      </c>
      <c r="J770" s="11" t="s">
        <v>247</v>
      </c>
      <c r="K770" s="11" t="s">
        <v>845</v>
      </c>
      <c r="L770" s="12">
        <v>0.47638888888888892</v>
      </c>
      <c r="M770" s="11" t="s">
        <v>990</v>
      </c>
      <c r="N770" s="13" t="s">
        <v>23</v>
      </c>
      <c r="O770" s="11" t="s">
        <v>24</v>
      </c>
    </row>
    <row r="771" spans="1:15" x14ac:dyDescent="0.25">
      <c r="A771" s="11" t="s">
        <v>15</v>
      </c>
      <c r="B771" s="11" t="str">
        <f>"FES1162750031"</f>
        <v>FES1162750031</v>
      </c>
      <c r="C771" s="11" t="s">
        <v>662</v>
      </c>
      <c r="D771" s="11">
        <v>1</v>
      </c>
      <c r="E771" s="11" t="str">
        <f>"2170738319"</f>
        <v>2170738319</v>
      </c>
      <c r="F771" s="11" t="s">
        <v>17</v>
      </c>
      <c r="G771" s="11" t="s">
        <v>18</v>
      </c>
      <c r="H771" s="11" t="s">
        <v>48</v>
      </c>
      <c r="I771" s="11" t="s">
        <v>49</v>
      </c>
      <c r="J771" s="11" t="s">
        <v>100</v>
      </c>
      <c r="K771" s="11" t="s">
        <v>845</v>
      </c>
      <c r="L771" s="12">
        <v>0.33680555555555558</v>
      </c>
      <c r="M771" s="11" t="s">
        <v>1008</v>
      </c>
      <c r="N771" s="13" t="s">
        <v>23</v>
      </c>
      <c r="O771" s="11" t="s">
        <v>24</v>
      </c>
    </row>
    <row r="772" spans="1:15" x14ac:dyDescent="0.25">
      <c r="A772" s="4" t="s">
        <v>15</v>
      </c>
      <c r="B772" s="4" t="str">
        <f>"FES1162750059"</f>
        <v>FES1162750059</v>
      </c>
      <c r="C772" s="4" t="s">
        <v>662</v>
      </c>
      <c r="D772" s="4">
        <v>1</v>
      </c>
      <c r="E772" s="4" t="str">
        <f>"2170738509"</f>
        <v>2170738509</v>
      </c>
      <c r="F772" s="4" t="s">
        <v>17</v>
      </c>
      <c r="G772" s="4" t="s">
        <v>18</v>
      </c>
      <c r="H772" s="4" t="s">
        <v>48</v>
      </c>
      <c r="I772" s="4" t="s">
        <v>49</v>
      </c>
      <c r="J772" s="4" t="s">
        <v>100</v>
      </c>
      <c r="K772" s="4" t="s">
        <v>845</v>
      </c>
      <c r="L772" s="5">
        <v>0.33749999999999997</v>
      </c>
      <c r="M772" s="4" t="s">
        <v>1008</v>
      </c>
      <c r="N772" s="6" t="s">
        <v>23</v>
      </c>
      <c r="O772" s="4" t="s">
        <v>24</v>
      </c>
    </row>
    <row r="773" spans="1:15" x14ac:dyDescent="0.25">
      <c r="A773" s="4" t="s">
        <v>15</v>
      </c>
      <c r="B773" s="4" t="str">
        <f>"FES1162750047"</f>
        <v>FES1162750047</v>
      </c>
      <c r="C773" s="4" t="s">
        <v>662</v>
      </c>
      <c r="D773" s="4">
        <v>1</v>
      </c>
      <c r="E773" s="4" t="str">
        <f>"2170738395"</f>
        <v>2170738395</v>
      </c>
      <c r="F773" s="4" t="s">
        <v>17</v>
      </c>
      <c r="G773" s="4" t="s">
        <v>18</v>
      </c>
      <c r="H773" s="4" t="s">
        <v>48</v>
      </c>
      <c r="I773" s="4" t="s">
        <v>73</v>
      </c>
      <c r="J773" s="4" t="s">
        <v>606</v>
      </c>
      <c r="K773" s="4" t="s">
        <v>845</v>
      </c>
      <c r="L773" s="5">
        <v>0.48958333333333331</v>
      </c>
      <c r="M773" s="4" t="s">
        <v>720</v>
      </c>
      <c r="N773" s="6" t="s">
        <v>23</v>
      </c>
      <c r="O773" s="4" t="s">
        <v>24</v>
      </c>
    </row>
    <row r="774" spans="1:15" x14ac:dyDescent="0.25">
      <c r="A774" s="4" t="s">
        <v>15</v>
      </c>
      <c r="B774" s="4" t="str">
        <f>"FES1162749960"</f>
        <v>FES1162749960</v>
      </c>
      <c r="C774" s="4" t="s">
        <v>662</v>
      </c>
      <c r="D774" s="4">
        <v>1</v>
      </c>
      <c r="E774" s="4" t="str">
        <f>"2170740298"</f>
        <v>2170740298</v>
      </c>
      <c r="F774" s="4" t="s">
        <v>17</v>
      </c>
      <c r="G774" s="4" t="s">
        <v>18</v>
      </c>
      <c r="H774" s="4" t="s">
        <v>40</v>
      </c>
      <c r="I774" s="4" t="s">
        <v>41</v>
      </c>
      <c r="J774" s="4" t="s">
        <v>42</v>
      </c>
      <c r="K774" s="4" t="s">
        <v>845</v>
      </c>
      <c r="L774" s="5">
        <v>0.38194444444444442</v>
      </c>
      <c r="M774" s="4" t="s">
        <v>1019</v>
      </c>
      <c r="N774" s="6" t="s">
        <v>23</v>
      </c>
      <c r="O774" s="4" t="s">
        <v>24</v>
      </c>
    </row>
    <row r="775" spans="1:15" x14ac:dyDescent="0.25">
      <c r="A775" s="4" t="s">
        <v>15</v>
      </c>
      <c r="B775" s="4" t="str">
        <f>"FES1162749863"</f>
        <v>FES1162749863</v>
      </c>
      <c r="C775" s="4" t="s">
        <v>662</v>
      </c>
      <c r="D775" s="4">
        <v>1</v>
      </c>
      <c r="E775" s="4" t="str">
        <f>"2170738592"</f>
        <v>2170738592</v>
      </c>
      <c r="F775" s="4" t="s">
        <v>17</v>
      </c>
      <c r="G775" s="4" t="s">
        <v>18</v>
      </c>
      <c r="H775" s="4" t="s">
        <v>85</v>
      </c>
      <c r="I775" s="4" t="s">
        <v>207</v>
      </c>
      <c r="J775" s="4" t="s">
        <v>863</v>
      </c>
      <c r="K775" s="4" t="s">
        <v>845</v>
      </c>
      <c r="L775" s="5">
        <v>0.50555555555555554</v>
      </c>
      <c r="M775" s="4" t="s">
        <v>1020</v>
      </c>
      <c r="N775" s="6" t="s">
        <v>23</v>
      </c>
      <c r="O775" s="4" t="s">
        <v>24</v>
      </c>
    </row>
    <row r="776" spans="1:15" x14ac:dyDescent="0.25">
      <c r="A776" s="4" t="s">
        <v>15</v>
      </c>
      <c r="B776" s="4" t="str">
        <f>"FES1162750001"</f>
        <v>FES1162750001</v>
      </c>
      <c r="C776" s="4" t="s">
        <v>662</v>
      </c>
      <c r="D776" s="4">
        <v>1</v>
      </c>
      <c r="E776" s="4" t="str">
        <f>"2170738424"</f>
        <v>2170738424</v>
      </c>
      <c r="F776" s="4" t="s">
        <v>17</v>
      </c>
      <c r="G776" s="4" t="s">
        <v>18</v>
      </c>
      <c r="H776" s="4" t="s">
        <v>18</v>
      </c>
      <c r="I776" s="4" t="s">
        <v>126</v>
      </c>
      <c r="J776" s="4" t="s">
        <v>862</v>
      </c>
      <c r="K776" s="4" t="s">
        <v>845</v>
      </c>
      <c r="L776" s="5">
        <v>0.375</v>
      </c>
      <c r="M776" s="4" t="s">
        <v>1021</v>
      </c>
      <c r="N776" s="6" t="s">
        <v>23</v>
      </c>
      <c r="O776" s="4" t="s">
        <v>24</v>
      </c>
    </row>
    <row r="777" spans="1:15" x14ac:dyDescent="0.25">
      <c r="A777" s="4" t="s">
        <v>15</v>
      </c>
      <c r="B777" s="4" t="str">
        <f>"FES1162750065"</f>
        <v>FES1162750065</v>
      </c>
      <c r="C777" s="4" t="s">
        <v>662</v>
      </c>
      <c r="D777" s="4">
        <v>1</v>
      </c>
      <c r="E777" s="4" t="str">
        <f>"2170738539"</f>
        <v>2170738539</v>
      </c>
      <c r="F777" s="4" t="s">
        <v>17</v>
      </c>
      <c r="G777" s="4" t="s">
        <v>18</v>
      </c>
      <c r="H777" s="4" t="s">
        <v>18</v>
      </c>
      <c r="I777" s="4" t="s">
        <v>29</v>
      </c>
      <c r="J777" s="4" t="s">
        <v>861</v>
      </c>
      <c r="K777" s="4" t="s">
        <v>845</v>
      </c>
      <c r="L777" s="5">
        <v>0.36458333333333331</v>
      </c>
      <c r="M777" s="4" t="s">
        <v>860</v>
      </c>
      <c r="N777" s="6" t="s">
        <v>23</v>
      </c>
      <c r="O777" s="4" t="s">
        <v>24</v>
      </c>
    </row>
    <row r="778" spans="1:15" x14ac:dyDescent="0.25">
      <c r="A778" s="4" t="s">
        <v>15</v>
      </c>
      <c r="B778" s="4" t="str">
        <f>"FES1162750051"</f>
        <v>FES1162750051</v>
      </c>
      <c r="C778" s="4" t="s">
        <v>662</v>
      </c>
      <c r="D778" s="4">
        <v>1</v>
      </c>
      <c r="E778" s="4" t="str">
        <f>"2170738442"</f>
        <v>2170738442</v>
      </c>
      <c r="F778" s="4" t="s">
        <v>17</v>
      </c>
      <c r="G778" s="4" t="s">
        <v>18</v>
      </c>
      <c r="H778" s="4" t="s">
        <v>18</v>
      </c>
      <c r="I778" s="4" t="s">
        <v>97</v>
      </c>
      <c r="J778" s="4" t="s">
        <v>859</v>
      </c>
      <c r="K778" s="4" t="s">
        <v>845</v>
      </c>
      <c r="L778" s="5">
        <v>0.33958333333333335</v>
      </c>
      <c r="M778" s="4" t="s">
        <v>1022</v>
      </c>
      <c r="N778" s="6" t="s">
        <v>23</v>
      </c>
      <c r="O778" s="4" t="s">
        <v>24</v>
      </c>
    </row>
    <row r="779" spans="1:15" x14ac:dyDescent="0.25">
      <c r="A779" s="4" t="s">
        <v>15</v>
      </c>
      <c r="B779" s="4" t="str">
        <f>"FES1162750149"</f>
        <v>FES1162750149</v>
      </c>
      <c r="C779" s="4" t="s">
        <v>662</v>
      </c>
      <c r="D779" s="4">
        <v>1</v>
      </c>
      <c r="E779" s="4" t="str">
        <f>"2170737634"</f>
        <v>2170737634</v>
      </c>
      <c r="F779" s="4" t="s">
        <v>17</v>
      </c>
      <c r="G779" s="4" t="s">
        <v>18</v>
      </c>
      <c r="H779" s="4" t="s">
        <v>32</v>
      </c>
      <c r="I779" s="4" t="s">
        <v>33</v>
      </c>
      <c r="J779" s="4" t="s">
        <v>858</v>
      </c>
      <c r="K779" s="4" t="s">
        <v>845</v>
      </c>
      <c r="L779" s="5">
        <v>0.40277777777777773</v>
      </c>
      <c r="M779" s="4" t="s">
        <v>1023</v>
      </c>
      <c r="N779" s="6" t="s">
        <v>23</v>
      </c>
      <c r="O779" s="4" t="s">
        <v>24</v>
      </c>
    </row>
    <row r="780" spans="1:15" x14ac:dyDescent="0.25">
      <c r="A780" s="4" t="s">
        <v>15</v>
      </c>
      <c r="B780" s="4" t="str">
        <f>"FES1162750028"</f>
        <v>FES1162750028</v>
      </c>
      <c r="C780" s="4" t="s">
        <v>662</v>
      </c>
      <c r="D780" s="4">
        <v>1</v>
      </c>
      <c r="E780" s="4" t="str">
        <f>"2170738200"</f>
        <v>2170738200</v>
      </c>
      <c r="F780" s="4" t="s">
        <v>17</v>
      </c>
      <c r="G780" s="4" t="s">
        <v>18</v>
      </c>
      <c r="H780" s="4" t="s">
        <v>18</v>
      </c>
      <c r="I780" s="4" t="s">
        <v>19</v>
      </c>
      <c r="J780" s="4" t="s">
        <v>20</v>
      </c>
      <c r="K780" s="4" t="s">
        <v>845</v>
      </c>
      <c r="L780" s="5">
        <v>0.40347222222222223</v>
      </c>
      <c r="M780" s="4" t="s">
        <v>22</v>
      </c>
      <c r="N780" s="6" t="s">
        <v>23</v>
      </c>
      <c r="O780" s="4" t="s">
        <v>24</v>
      </c>
    </row>
    <row r="781" spans="1:15" x14ac:dyDescent="0.25">
      <c r="A781" s="4" t="s">
        <v>15</v>
      </c>
      <c r="B781" s="4" t="str">
        <f>"FES1162750138"</f>
        <v>FES1162750138</v>
      </c>
      <c r="C781" s="4" t="s">
        <v>662</v>
      </c>
      <c r="D781" s="4">
        <v>1</v>
      </c>
      <c r="E781" s="4" t="str">
        <f>"2170740344"</f>
        <v>2170740344</v>
      </c>
      <c r="F781" s="4" t="s">
        <v>17</v>
      </c>
      <c r="G781" s="4" t="s">
        <v>18</v>
      </c>
      <c r="H781" s="4" t="s">
        <v>18</v>
      </c>
      <c r="I781" s="4" t="s">
        <v>19</v>
      </c>
      <c r="J781" s="4" t="s">
        <v>20</v>
      </c>
      <c r="K781" s="4" t="s">
        <v>845</v>
      </c>
      <c r="L781" s="5">
        <v>0.40416666666666662</v>
      </c>
      <c r="M781" s="4" t="s">
        <v>22</v>
      </c>
      <c r="N781" s="6" t="s">
        <v>23</v>
      </c>
      <c r="O781" s="4" t="s">
        <v>24</v>
      </c>
    </row>
    <row r="782" spans="1:15" x14ac:dyDescent="0.25">
      <c r="A782" s="4" t="s">
        <v>15</v>
      </c>
      <c r="B782" s="4" t="str">
        <f>"FES1162749981"</f>
        <v>FES1162749981</v>
      </c>
      <c r="C782" s="4" t="s">
        <v>662</v>
      </c>
      <c r="D782" s="4">
        <v>1</v>
      </c>
      <c r="E782" s="4" t="str">
        <f>"2170737745"</f>
        <v>2170737745</v>
      </c>
      <c r="F782" s="4" t="s">
        <v>17</v>
      </c>
      <c r="G782" s="4" t="s">
        <v>18</v>
      </c>
      <c r="H782" s="4" t="s">
        <v>18</v>
      </c>
      <c r="I782" s="4" t="s">
        <v>147</v>
      </c>
      <c r="J782" s="4" t="s">
        <v>857</v>
      </c>
      <c r="K782" s="4" t="s">
        <v>845</v>
      </c>
      <c r="L782" s="5">
        <v>0.32569444444444445</v>
      </c>
      <c r="M782" s="4" t="s">
        <v>1024</v>
      </c>
      <c r="N782" s="6" t="s">
        <v>23</v>
      </c>
      <c r="O782" s="4" t="s">
        <v>24</v>
      </c>
    </row>
    <row r="783" spans="1:15" x14ac:dyDescent="0.25">
      <c r="A783" s="4" t="s">
        <v>15</v>
      </c>
      <c r="B783" s="4" t="str">
        <f>"FES1162750169"</f>
        <v>FES1162750169</v>
      </c>
      <c r="C783" s="4" t="s">
        <v>662</v>
      </c>
      <c r="D783" s="4">
        <v>1</v>
      </c>
      <c r="E783" s="4" t="str">
        <f>"21707404000"</f>
        <v>21707404000</v>
      </c>
      <c r="F783" s="4" t="s">
        <v>17</v>
      </c>
      <c r="G783" s="4" t="s">
        <v>18</v>
      </c>
      <c r="H783" s="4" t="s">
        <v>32</v>
      </c>
      <c r="I783" s="4" t="s">
        <v>33</v>
      </c>
      <c r="J783" s="4" t="s">
        <v>856</v>
      </c>
      <c r="K783" s="4" t="s">
        <v>845</v>
      </c>
      <c r="L783" s="5">
        <v>0.43055555555555558</v>
      </c>
      <c r="M783" s="4" t="s">
        <v>1025</v>
      </c>
      <c r="N783" s="6" t="s">
        <v>23</v>
      </c>
      <c r="O783" s="4" t="s">
        <v>24</v>
      </c>
    </row>
    <row r="784" spans="1:15" x14ac:dyDescent="0.25">
      <c r="A784" s="4" t="s">
        <v>15</v>
      </c>
      <c r="B784" s="4" t="str">
        <f>"FES1162750174"</f>
        <v>FES1162750174</v>
      </c>
      <c r="C784" s="4" t="s">
        <v>662</v>
      </c>
      <c r="D784" s="4">
        <v>1</v>
      </c>
      <c r="E784" s="4" t="str">
        <f>"2170740405"</f>
        <v>2170740405</v>
      </c>
      <c r="F784" s="4" t="s">
        <v>17</v>
      </c>
      <c r="G784" s="4" t="s">
        <v>18</v>
      </c>
      <c r="H784" s="4" t="s">
        <v>85</v>
      </c>
      <c r="I784" s="4" t="s">
        <v>207</v>
      </c>
      <c r="J784" s="4" t="s">
        <v>855</v>
      </c>
      <c r="K784" s="4" t="s">
        <v>845</v>
      </c>
      <c r="L784" s="5">
        <v>0.48333333333333334</v>
      </c>
      <c r="M784" s="4" t="s">
        <v>1026</v>
      </c>
      <c r="N784" s="6" t="s">
        <v>23</v>
      </c>
      <c r="O784" s="4" t="s">
        <v>24</v>
      </c>
    </row>
    <row r="785" spans="1:15" x14ac:dyDescent="0.25">
      <c r="A785" s="4" t="s">
        <v>15</v>
      </c>
      <c r="B785" s="4" t="str">
        <f>"FES1162750155"</f>
        <v>FES1162750155</v>
      </c>
      <c r="C785" s="4" t="s">
        <v>662</v>
      </c>
      <c r="D785" s="4">
        <v>2</v>
      </c>
      <c r="E785" s="4" t="str">
        <f>"2170740079"</f>
        <v>2170740079</v>
      </c>
      <c r="F785" s="4" t="s">
        <v>17</v>
      </c>
      <c r="G785" s="4" t="s">
        <v>18</v>
      </c>
      <c r="H785" s="4" t="s">
        <v>85</v>
      </c>
      <c r="I785" s="4" t="s">
        <v>237</v>
      </c>
      <c r="J785" s="4" t="s">
        <v>238</v>
      </c>
      <c r="K785" s="4" t="s">
        <v>845</v>
      </c>
      <c r="L785" s="5">
        <v>0.49236111111111108</v>
      </c>
      <c r="M785" s="4" t="s">
        <v>1027</v>
      </c>
      <c r="N785" s="6" t="s">
        <v>23</v>
      </c>
      <c r="O785" s="4" t="s">
        <v>24</v>
      </c>
    </row>
    <row r="786" spans="1:15" x14ac:dyDescent="0.25">
      <c r="A786" s="4" t="s">
        <v>15</v>
      </c>
      <c r="B786" s="4" t="str">
        <f>"FES1162749922"</f>
        <v>FES1162749922</v>
      </c>
      <c r="C786" s="4" t="s">
        <v>662</v>
      </c>
      <c r="D786" s="4">
        <v>1</v>
      </c>
      <c r="E786" s="4" t="str">
        <f>"2170740259"</f>
        <v>2170740259</v>
      </c>
      <c r="F786" s="4" t="s">
        <v>17</v>
      </c>
      <c r="G786" s="4" t="s">
        <v>18</v>
      </c>
      <c r="H786" s="4" t="s">
        <v>85</v>
      </c>
      <c r="I786" s="4" t="s">
        <v>854</v>
      </c>
      <c r="J786" s="4" t="s">
        <v>853</v>
      </c>
      <c r="K786" s="4" t="s">
        <v>845</v>
      </c>
      <c r="L786" s="5">
        <v>0.5805555555555556</v>
      </c>
      <c r="M786" s="4" t="s">
        <v>1028</v>
      </c>
      <c r="N786" s="6" t="s">
        <v>23</v>
      </c>
      <c r="O786" s="4" t="s">
        <v>24</v>
      </c>
    </row>
    <row r="787" spans="1:15" x14ac:dyDescent="0.25">
      <c r="A787" s="4" t="s">
        <v>15</v>
      </c>
      <c r="B787" s="4" t="str">
        <f>"FES1162749936"</f>
        <v>FES1162749936</v>
      </c>
      <c r="C787" s="4" t="s">
        <v>662</v>
      </c>
      <c r="D787" s="4">
        <v>1</v>
      </c>
      <c r="E787" s="4" t="str">
        <f>"2170740276"</f>
        <v>2170740276</v>
      </c>
      <c r="F787" s="4" t="s">
        <v>17</v>
      </c>
      <c r="G787" s="4" t="s">
        <v>18</v>
      </c>
      <c r="H787" s="4" t="s">
        <v>40</v>
      </c>
      <c r="I787" s="4" t="s">
        <v>41</v>
      </c>
      <c r="J787" s="4" t="s">
        <v>99</v>
      </c>
      <c r="K787" s="4" t="s">
        <v>845</v>
      </c>
      <c r="L787" s="5">
        <v>0.3666666666666667</v>
      </c>
      <c r="M787" s="4" t="s">
        <v>982</v>
      </c>
      <c r="N787" s="6" t="s">
        <v>23</v>
      </c>
      <c r="O787" s="4" t="s">
        <v>24</v>
      </c>
    </row>
    <row r="788" spans="1:15" x14ac:dyDescent="0.25">
      <c r="A788" s="4" t="s">
        <v>15</v>
      </c>
      <c r="B788" s="4" t="str">
        <f>"FES1162749910"</f>
        <v>FES1162749910</v>
      </c>
      <c r="C788" s="4" t="s">
        <v>662</v>
      </c>
      <c r="D788" s="4">
        <v>1</v>
      </c>
      <c r="E788" s="4" t="str">
        <f>"2170740241"</f>
        <v>2170740241</v>
      </c>
      <c r="F788" s="4" t="s">
        <v>17</v>
      </c>
      <c r="G788" s="4" t="s">
        <v>18</v>
      </c>
      <c r="H788" s="4" t="s">
        <v>85</v>
      </c>
      <c r="I788" s="4" t="s">
        <v>152</v>
      </c>
      <c r="J788" s="4" t="s">
        <v>810</v>
      </c>
      <c r="K788" s="4" t="s">
        <v>845</v>
      </c>
      <c r="L788" s="5">
        <v>0.43194444444444446</v>
      </c>
      <c r="M788" s="4" t="s">
        <v>240</v>
      </c>
      <c r="N788" s="6" t="s">
        <v>23</v>
      </c>
      <c r="O788" s="4" t="s">
        <v>24</v>
      </c>
    </row>
    <row r="789" spans="1:15" x14ac:dyDescent="0.25">
      <c r="A789" s="4" t="s">
        <v>15</v>
      </c>
      <c r="B789" s="4" t="str">
        <f>"FES1162749879"</f>
        <v>FES1162749879</v>
      </c>
      <c r="C789" s="4" t="s">
        <v>662</v>
      </c>
      <c r="D789" s="4">
        <v>1</v>
      </c>
      <c r="E789" s="4" t="str">
        <f>"2170739789"</f>
        <v>2170739789</v>
      </c>
      <c r="F789" s="4" t="s">
        <v>17</v>
      </c>
      <c r="G789" s="4" t="s">
        <v>18</v>
      </c>
      <c r="H789" s="4" t="s">
        <v>85</v>
      </c>
      <c r="I789" s="4" t="s">
        <v>207</v>
      </c>
      <c r="J789" s="4" t="s">
        <v>245</v>
      </c>
      <c r="K789" s="4" t="s">
        <v>845</v>
      </c>
      <c r="L789" s="5">
        <v>0.44236111111111115</v>
      </c>
      <c r="M789" s="4" t="s">
        <v>909</v>
      </c>
      <c r="N789" s="6" t="s">
        <v>23</v>
      </c>
      <c r="O789" s="4" t="s">
        <v>24</v>
      </c>
    </row>
    <row r="790" spans="1:15" x14ac:dyDescent="0.25">
      <c r="A790" s="4" t="s">
        <v>15</v>
      </c>
      <c r="B790" s="4" t="str">
        <f>"FES1162749897"</f>
        <v>FES1162749897</v>
      </c>
      <c r="C790" s="4" t="s">
        <v>662</v>
      </c>
      <c r="D790" s="4">
        <v>1</v>
      </c>
      <c r="E790" s="4" t="str">
        <f>"2170740243"</f>
        <v>2170740243</v>
      </c>
      <c r="F790" s="4" t="s">
        <v>17</v>
      </c>
      <c r="G790" s="4" t="s">
        <v>18</v>
      </c>
      <c r="H790" s="4" t="s">
        <v>40</v>
      </c>
      <c r="I790" s="4" t="s">
        <v>41</v>
      </c>
      <c r="J790" s="4" t="s">
        <v>852</v>
      </c>
      <c r="K790" s="4" t="s">
        <v>845</v>
      </c>
      <c r="L790" s="5">
        <v>0.41666666666666669</v>
      </c>
      <c r="M790" s="4" t="s">
        <v>998</v>
      </c>
      <c r="N790" s="6" t="s">
        <v>23</v>
      </c>
      <c r="O790" s="4" t="s">
        <v>24</v>
      </c>
    </row>
    <row r="791" spans="1:15" x14ac:dyDescent="0.25">
      <c r="A791" s="4" t="s">
        <v>15</v>
      </c>
      <c r="B791" s="4" t="str">
        <f>"FES1162749839"</f>
        <v>FES1162749839</v>
      </c>
      <c r="C791" s="4" t="s">
        <v>662</v>
      </c>
      <c r="D791" s="4">
        <v>1</v>
      </c>
      <c r="E791" s="4" t="str">
        <f>"2170739060"</f>
        <v>2170739060</v>
      </c>
      <c r="F791" s="4" t="s">
        <v>17</v>
      </c>
      <c r="G791" s="4" t="s">
        <v>18</v>
      </c>
      <c r="H791" s="4" t="s">
        <v>85</v>
      </c>
      <c r="I791" s="4" t="s">
        <v>144</v>
      </c>
      <c r="J791" s="4" t="s">
        <v>808</v>
      </c>
      <c r="K791" s="4" t="s">
        <v>845</v>
      </c>
      <c r="L791" s="5">
        <v>0.40833333333333338</v>
      </c>
      <c r="M791" s="4" t="s">
        <v>1004</v>
      </c>
      <c r="N791" s="6" t="s">
        <v>23</v>
      </c>
      <c r="O791" s="4" t="s">
        <v>24</v>
      </c>
    </row>
    <row r="792" spans="1:15" x14ac:dyDescent="0.25">
      <c r="A792" s="4" t="s">
        <v>15</v>
      </c>
      <c r="B792" s="4" t="str">
        <f>"FES1162749926"</f>
        <v>FES1162749926</v>
      </c>
      <c r="C792" s="4" t="s">
        <v>662</v>
      </c>
      <c r="D792" s="4">
        <v>1</v>
      </c>
      <c r="E792" s="4" t="str">
        <f>"2170740263"</f>
        <v>2170740263</v>
      </c>
      <c r="F792" s="4" t="s">
        <v>17</v>
      </c>
      <c r="G792" s="4" t="s">
        <v>18</v>
      </c>
      <c r="H792" s="4" t="s">
        <v>85</v>
      </c>
      <c r="I792" s="4" t="s">
        <v>144</v>
      </c>
      <c r="J792" s="4" t="s">
        <v>210</v>
      </c>
      <c r="K792" s="4" t="s">
        <v>845</v>
      </c>
      <c r="L792" s="5">
        <v>0.47152777777777777</v>
      </c>
      <c r="M792" s="4" t="s">
        <v>994</v>
      </c>
      <c r="N792" s="6" t="s">
        <v>23</v>
      </c>
      <c r="O792" s="4" t="s">
        <v>24</v>
      </c>
    </row>
    <row r="793" spans="1:15" x14ac:dyDescent="0.25">
      <c r="A793" s="4" t="s">
        <v>15</v>
      </c>
      <c r="B793" s="4" t="str">
        <f>"FES1162749834"</f>
        <v>FES1162749834</v>
      </c>
      <c r="C793" s="4" t="s">
        <v>662</v>
      </c>
      <c r="D793" s="4">
        <v>1</v>
      </c>
      <c r="E793" s="4" t="str">
        <f>"2170738986"</f>
        <v>2170738986</v>
      </c>
      <c r="F793" s="4" t="s">
        <v>17</v>
      </c>
      <c r="G793" s="4" t="s">
        <v>18</v>
      </c>
      <c r="H793" s="4" t="s">
        <v>85</v>
      </c>
      <c r="I793" s="4" t="s">
        <v>207</v>
      </c>
      <c r="J793" s="4" t="s">
        <v>245</v>
      </c>
      <c r="K793" s="4" t="s">
        <v>845</v>
      </c>
      <c r="L793" s="5">
        <v>0.44166666666666665</v>
      </c>
      <c r="M793" s="4" t="s">
        <v>909</v>
      </c>
      <c r="N793" s="6" t="s">
        <v>23</v>
      </c>
      <c r="O793" s="4" t="s">
        <v>24</v>
      </c>
    </row>
    <row r="794" spans="1:15" x14ac:dyDescent="0.25">
      <c r="A794" s="4" t="s">
        <v>15</v>
      </c>
      <c r="B794" s="4" t="str">
        <f>"FES1162749861"</f>
        <v>FES1162749861</v>
      </c>
      <c r="C794" s="4" t="s">
        <v>662</v>
      </c>
      <c r="D794" s="4">
        <v>1</v>
      </c>
      <c r="E794" s="4" t="str">
        <f>"2170738553"</f>
        <v>2170738553</v>
      </c>
      <c r="F794" s="4" t="s">
        <v>17</v>
      </c>
      <c r="G794" s="4" t="s">
        <v>18</v>
      </c>
      <c r="H794" s="4" t="s">
        <v>40</v>
      </c>
      <c r="I794" s="4" t="s">
        <v>41</v>
      </c>
      <c r="J794" s="4" t="s">
        <v>852</v>
      </c>
      <c r="K794" s="4" t="s">
        <v>845</v>
      </c>
      <c r="L794" s="5">
        <v>0.41666666666666669</v>
      </c>
      <c r="M794" s="4" t="s">
        <v>998</v>
      </c>
      <c r="N794" s="6" t="s">
        <v>23</v>
      </c>
      <c r="O794" s="4" t="s">
        <v>24</v>
      </c>
    </row>
    <row r="795" spans="1:15" x14ac:dyDescent="0.25">
      <c r="A795" s="11" t="s">
        <v>15</v>
      </c>
      <c r="B795" s="11" t="str">
        <f>"FES1162749873"</f>
        <v>FES1162749873</v>
      </c>
      <c r="C795" s="11" t="s">
        <v>662</v>
      </c>
      <c r="D795" s="11">
        <v>1</v>
      </c>
      <c r="E795" s="11" t="str">
        <f>"2170738784"</f>
        <v>2170738784</v>
      </c>
      <c r="F795" s="11" t="s">
        <v>17</v>
      </c>
      <c r="G795" s="11" t="s">
        <v>18</v>
      </c>
      <c r="H795" s="11" t="s">
        <v>85</v>
      </c>
      <c r="I795" s="11" t="s">
        <v>144</v>
      </c>
      <c r="J795" s="11" t="s">
        <v>814</v>
      </c>
      <c r="K795" s="11" t="s">
        <v>845</v>
      </c>
      <c r="L795" s="12">
        <v>0.41597222222222219</v>
      </c>
      <c r="M795" s="11" t="s">
        <v>981</v>
      </c>
      <c r="N795" s="13" t="s">
        <v>23</v>
      </c>
      <c r="O795" s="11" t="s">
        <v>24</v>
      </c>
    </row>
    <row r="796" spans="1:15" x14ac:dyDescent="0.25">
      <c r="A796" s="11" t="s">
        <v>15</v>
      </c>
      <c r="B796" s="11" t="str">
        <f>"FES1162749945"</f>
        <v>FES1162749945</v>
      </c>
      <c r="C796" s="11" t="s">
        <v>662</v>
      </c>
      <c r="D796" s="11">
        <v>1</v>
      </c>
      <c r="E796" s="11" t="str">
        <f>"2170740285"</f>
        <v>2170740285</v>
      </c>
      <c r="F796" s="11" t="s">
        <v>17</v>
      </c>
      <c r="G796" s="11" t="s">
        <v>18</v>
      </c>
      <c r="H796" s="11" t="s">
        <v>40</v>
      </c>
      <c r="I796" s="11" t="s">
        <v>41</v>
      </c>
      <c r="J796" s="11" t="s">
        <v>851</v>
      </c>
      <c r="K796" s="11" t="s">
        <v>845</v>
      </c>
      <c r="L796" s="12">
        <v>0.43124999999999997</v>
      </c>
      <c r="M796" s="11" t="s">
        <v>1029</v>
      </c>
      <c r="N796" s="13" t="s">
        <v>23</v>
      </c>
      <c r="O796" s="11" t="s">
        <v>24</v>
      </c>
    </row>
    <row r="797" spans="1:15" x14ac:dyDescent="0.25">
      <c r="A797" s="11" t="s">
        <v>15</v>
      </c>
      <c r="B797" s="11" t="str">
        <f>"FES1162749913"</f>
        <v>FES1162749913</v>
      </c>
      <c r="C797" s="11" t="s">
        <v>662</v>
      </c>
      <c r="D797" s="11">
        <v>1</v>
      </c>
      <c r="E797" s="11" t="str">
        <f>"2170740245"</f>
        <v>2170740245</v>
      </c>
      <c r="F797" s="11" t="s">
        <v>17</v>
      </c>
      <c r="G797" s="11" t="s">
        <v>18</v>
      </c>
      <c r="H797" s="11" t="s">
        <v>85</v>
      </c>
      <c r="I797" s="11" t="s">
        <v>144</v>
      </c>
      <c r="J797" s="11" t="s">
        <v>210</v>
      </c>
      <c r="K797" s="11" t="s">
        <v>845</v>
      </c>
      <c r="L797" s="12">
        <v>0.47152777777777777</v>
      </c>
      <c r="M797" s="11" t="s">
        <v>994</v>
      </c>
      <c r="N797" s="13" t="s">
        <v>23</v>
      </c>
      <c r="O797" s="11" t="s">
        <v>24</v>
      </c>
    </row>
    <row r="798" spans="1:15" x14ac:dyDescent="0.25">
      <c r="A798" s="11" t="s">
        <v>15</v>
      </c>
      <c r="B798" s="11" t="str">
        <f>"FES1162749968"</f>
        <v>FES1162749968</v>
      </c>
      <c r="C798" s="11" t="s">
        <v>662</v>
      </c>
      <c r="D798" s="11">
        <v>1</v>
      </c>
      <c r="E798" s="11" t="str">
        <f>"217073010"</f>
        <v>217073010</v>
      </c>
      <c r="F798" s="11" t="s">
        <v>17</v>
      </c>
      <c r="G798" s="11" t="s">
        <v>18</v>
      </c>
      <c r="H798" s="11" t="s">
        <v>85</v>
      </c>
      <c r="I798" s="11" t="s">
        <v>207</v>
      </c>
      <c r="J798" s="11" t="s">
        <v>241</v>
      </c>
      <c r="K798" s="11" t="s">
        <v>845</v>
      </c>
      <c r="L798" s="12">
        <v>0.4993055555555555</v>
      </c>
      <c r="M798" s="11" t="s">
        <v>242</v>
      </c>
      <c r="N798" s="13" t="s">
        <v>23</v>
      </c>
      <c r="O798" s="11" t="s">
        <v>24</v>
      </c>
    </row>
    <row r="799" spans="1:15" x14ac:dyDescent="0.25">
      <c r="A799" s="11" t="s">
        <v>15</v>
      </c>
      <c r="B799" s="11" t="str">
        <f>"080002608665"</f>
        <v>080002608665</v>
      </c>
      <c r="C799" s="11" t="s">
        <v>662</v>
      </c>
      <c r="D799" s="11">
        <v>1</v>
      </c>
      <c r="E799" s="11" t="str">
        <f>""</f>
        <v/>
      </c>
      <c r="F799" s="11" t="s">
        <v>135</v>
      </c>
      <c r="G799" s="11" t="s">
        <v>52</v>
      </c>
      <c r="H799" s="11" t="s">
        <v>18</v>
      </c>
      <c r="I799" s="11" t="s">
        <v>29</v>
      </c>
      <c r="J799" s="11" t="s">
        <v>769</v>
      </c>
      <c r="K799" s="11" t="s">
        <v>845</v>
      </c>
      <c r="L799" s="12">
        <v>0.4993055555555555</v>
      </c>
      <c r="M799" s="11" t="s">
        <v>1554</v>
      </c>
      <c r="N799" s="13" t="s">
        <v>23</v>
      </c>
      <c r="O799" s="11" t="s">
        <v>24</v>
      </c>
    </row>
    <row r="800" spans="1:15" x14ac:dyDescent="0.25">
      <c r="A800" s="11" t="s">
        <v>15</v>
      </c>
      <c r="B800" s="11" t="str">
        <f>"019911311241"</f>
        <v>019911311241</v>
      </c>
      <c r="C800" s="11" t="s">
        <v>662</v>
      </c>
      <c r="D800" s="11">
        <v>1</v>
      </c>
      <c r="E800" s="11" t="str">
        <f>"Y"</f>
        <v>Y</v>
      </c>
      <c r="F800" s="11" t="s">
        <v>17</v>
      </c>
      <c r="G800" s="11" t="s">
        <v>48</v>
      </c>
      <c r="H800" s="11" t="s">
        <v>18</v>
      </c>
      <c r="I800" s="11" t="s">
        <v>29</v>
      </c>
      <c r="J800" s="11" t="s">
        <v>722</v>
      </c>
      <c r="K800" s="11" t="s">
        <v>845</v>
      </c>
      <c r="L800" s="12">
        <v>0.34375</v>
      </c>
      <c r="M800" s="11" t="s">
        <v>844</v>
      </c>
      <c r="N800" s="13" t="s">
        <v>23</v>
      </c>
      <c r="O800" s="11" t="s">
        <v>24</v>
      </c>
    </row>
    <row r="801" spans="1:15" x14ac:dyDescent="0.25">
      <c r="A801" s="11" t="s">
        <v>15</v>
      </c>
      <c r="B801" s="11" t="str">
        <f>"FES1162750141"</f>
        <v>FES1162750141</v>
      </c>
      <c r="C801" s="11" t="s">
        <v>662</v>
      </c>
      <c r="D801" s="11">
        <v>1</v>
      </c>
      <c r="E801" s="11" t="str">
        <f>"21707340368"</f>
        <v>21707340368</v>
      </c>
      <c r="F801" s="11" t="s">
        <v>17</v>
      </c>
      <c r="G801" s="11" t="s">
        <v>18</v>
      </c>
      <c r="H801" s="11" t="s">
        <v>18</v>
      </c>
      <c r="I801" s="11" t="s">
        <v>58</v>
      </c>
      <c r="J801" s="11" t="s">
        <v>34</v>
      </c>
      <c r="K801" s="11" t="s">
        <v>845</v>
      </c>
      <c r="L801" s="12">
        <v>0.40763888888888888</v>
      </c>
      <c r="M801" s="11" t="s">
        <v>471</v>
      </c>
      <c r="N801" s="13" t="s">
        <v>23</v>
      </c>
      <c r="O801" s="11" t="s">
        <v>24</v>
      </c>
    </row>
    <row r="802" spans="1:15" x14ac:dyDescent="0.25">
      <c r="A802" s="11" t="s">
        <v>15</v>
      </c>
      <c r="B802" s="11" t="str">
        <f>"FES1162750150"</f>
        <v>FES1162750150</v>
      </c>
      <c r="C802" s="11" t="s">
        <v>662</v>
      </c>
      <c r="D802" s="11">
        <v>1</v>
      </c>
      <c r="E802" s="11" t="str">
        <f>"21707367657"</f>
        <v>21707367657</v>
      </c>
      <c r="F802" s="11" t="s">
        <v>17</v>
      </c>
      <c r="G802" s="11" t="s">
        <v>18</v>
      </c>
      <c r="H802" s="11" t="s">
        <v>85</v>
      </c>
      <c r="I802" s="11" t="s">
        <v>144</v>
      </c>
      <c r="J802" s="11" t="s">
        <v>625</v>
      </c>
      <c r="K802" s="11" t="s">
        <v>845</v>
      </c>
      <c r="L802" s="12">
        <v>0.58333333333333337</v>
      </c>
      <c r="M802" s="11" t="s">
        <v>65</v>
      </c>
      <c r="N802" s="13" t="s">
        <v>23</v>
      </c>
      <c r="O802" s="11" t="s">
        <v>24</v>
      </c>
    </row>
    <row r="803" spans="1:15" x14ac:dyDescent="0.25">
      <c r="A803" s="4" t="s">
        <v>15</v>
      </c>
      <c r="B803" s="4" t="str">
        <f>"FES1162750027"</f>
        <v>FES1162750027</v>
      </c>
      <c r="C803" s="4" t="s">
        <v>662</v>
      </c>
      <c r="D803" s="4">
        <v>1</v>
      </c>
      <c r="E803" s="4" t="str">
        <f>"2170737978"</f>
        <v>2170737978</v>
      </c>
      <c r="F803" s="4" t="s">
        <v>17</v>
      </c>
      <c r="G803" s="4" t="s">
        <v>18</v>
      </c>
      <c r="H803" s="4" t="s">
        <v>18</v>
      </c>
      <c r="I803" s="4" t="s">
        <v>29</v>
      </c>
      <c r="J803" s="4" t="s">
        <v>136</v>
      </c>
      <c r="K803" s="4" t="s">
        <v>845</v>
      </c>
      <c r="L803" s="5">
        <v>0.33333333333333331</v>
      </c>
      <c r="M803" s="4" t="s">
        <v>1030</v>
      </c>
      <c r="N803" s="6" t="s">
        <v>23</v>
      </c>
      <c r="O803" s="4" t="s">
        <v>24</v>
      </c>
    </row>
    <row r="804" spans="1:15" x14ac:dyDescent="0.25">
      <c r="A804" s="4" t="s">
        <v>15</v>
      </c>
      <c r="B804" s="4" t="str">
        <f>"FES1162750118"</f>
        <v>FES1162750118</v>
      </c>
      <c r="C804" s="4" t="s">
        <v>662</v>
      </c>
      <c r="D804" s="4">
        <v>1</v>
      </c>
      <c r="E804" s="4" t="str">
        <f>"2170739935"</f>
        <v>2170739935</v>
      </c>
      <c r="F804" s="4" t="s">
        <v>17</v>
      </c>
      <c r="G804" s="4" t="s">
        <v>18</v>
      </c>
      <c r="H804" s="4" t="s">
        <v>85</v>
      </c>
      <c r="I804" s="4" t="s">
        <v>144</v>
      </c>
      <c r="J804" s="4" t="s">
        <v>407</v>
      </c>
      <c r="K804" s="4" t="s">
        <v>845</v>
      </c>
      <c r="L804" s="5">
        <v>0.66736111111111107</v>
      </c>
      <c r="M804" s="4" t="s">
        <v>1012</v>
      </c>
      <c r="N804" s="6" t="s">
        <v>23</v>
      </c>
      <c r="O804" s="4" t="s">
        <v>24</v>
      </c>
    </row>
    <row r="805" spans="1:15" x14ac:dyDescent="0.25">
      <c r="A805" s="4" t="s">
        <v>15</v>
      </c>
      <c r="B805" s="4" t="str">
        <f>"FES1162750005"</f>
        <v>FES1162750005</v>
      </c>
      <c r="C805" s="4" t="s">
        <v>662</v>
      </c>
      <c r="D805" s="4">
        <v>1</v>
      </c>
      <c r="E805" s="4" t="str">
        <f>"2170739060"</f>
        <v>2170739060</v>
      </c>
      <c r="F805" s="4" t="s">
        <v>17</v>
      </c>
      <c r="G805" s="4" t="s">
        <v>18</v>
      </c>
      <c r="H805" s="4" t="s">
        <v>85</v>
      </c>
      <c r="I805" s="4" t="s">
        <v>144</v>
      </c>
      <c r="J805" s="4" t="s">
        <v>808</v>
      </c>
      <c r="K805" s="4" t="s">
        <v>845</v>
      </c>
      <c r="L805" s="5">
        <v>0.40833333333333338</v>
      </c>
      <c r="M805" s="4" t="s">
        <v>1004</v>
      </c>
      <c r="N805" s="6" t="s">
        <v>23</v>
      </c>
      <c r="O805" s="4" t="s">
        <v>24</v>
      </c>
    </row>
    <row r="806" spans="1:15" x14ac:dyDescent="0.25">
      <c r="A806" s="4" t="s">
        <v>15</v>
      </c>
      <c r="B806" s="4" t="str">
        <f>"FES1162750013"</f>
        <v>FES1162750013</v>
      </c>
      <c r="C806" s="4" t="s">
        <v>662</v>
      </c>
      <c r="D806" s="4">
        <v>1</v>
      </c>
      <c r="E806" s="4" t="str">
        <f>"2170734057"</f>
        <v>2170734057</v>
      </c>
      <c r="F806" s="4" t="s">
        <v>17</v>
      </c>
      <c r="G806" s="4" t="s">
        <v>18</v>
      </c>
      <c r="H806" s="4" t="s">
        <v>85</v>
      </c>
      <c r="I806" s="4" t="s">
        <v>144</v>
      </c>
      <c r="J806" s="4" t="s">
        <v>210</v>
      </c>
      <c r="K806" s="4" t="s">
        <v>845</v>
      </c>
      <c r="L806" s="5">
        <v>0.47152777777777777</v>
      </c>
      <c r="M806" s="4" t="s">
        <v>994</v>
      </c>
      <c r="N806" s="6" t="s">
        <v>23</v>
      </c>
      <c r="O806" s="4" t="s">
        <v>24</v>
      </c>
    </row>
    <row r="807" spans="1:15" x14ac:dyDescent="0.25">
      <c r="A807" s="4" t="s">
        <v>15</v>
      </c>
      <c r="B807" s="4" t="str">
        <f>"FES1162749984"</f>
        <v>FES1162749984</v>
      </c>
      <c r="C807" s="4" t="s">
        <v>662</v>
      </c>
      <c r="D807" s="4">
        <v>1</v>
      </c>
      <c r="E807" s="4" t="str">
        <f>"2170740301"</f>
        <v>2170740301</v>
      </c>
      <c r="F807" s="4" t="s">
        <v>17</v>
      </c>
      <c r="G807" s="4" t="s">
        <v>18</v>
      </c>
      <c r="H807" s="4" t="s">
        <v>85</v>
      </c>
      <c r="I807" s="4" t="s">
        <v>144</v>
      </c>
      <c r="J807" s="4" t="s">
        <v>361</v>
      </c>
      <c r="K807" s="4" t="s">
        <v>845</v>
      </c>
      <c r="L807" s="5">
        <v>0.66875000000000007</v>
      </c>
      <c r="M807" s="4" t="s">
        <v>997</v>
      </c>
      <c r="N807" s="6" t="s">
        <v>23</v>
      </c>
      <c r="O807" s="4" t="s">
        <v>24</v>
      </c>
    </row>
    <row r="808" spans="1:15" x14ac:dyDescent="0.25">
      <c r="A808" s="4" t="s">
        <v>15</v>
      </c>
      <c r="B808" s="4" t="str">
        <f>"FES1162750004"</f>
        <v>FES1162750004</v>
      </c>
      <c r="C808" s="4" t="s">
        <v>662</v>
      </c>
      <c r="D808" s="4">
        <v>1</v>
      </c>
      <c r="E808" s="4" t="str">
        <f>"2170740343"</f>
        <v>2170740343</v>
      </c>
      <c r="F808" s="4" t="s">
        <v>17</v>
      </c>
      <c r="G808" s="4" t="s">
        <v>18</v>
      </c>
      <c r="H808" s="4" t="s">
        <v>85</v>
      </c>
      <c r="I808" s="4" t="s">
        <v>207</v>
      </c>
      <c r="J808" s="4" t="s">
        <v>241</v>
      </c>
      <c r="K808" s="4" t="s">
        <v>845</v>
      </c>
      <c r="L808" s="5">
        <v>0.4993055555555555</v>
      </c>
      <c r="M808" s="4" t="s">
        <v>242</v>
      </c>
      <c r="N808" s="6" t="s">
        <v>23</v>
      </c>
      <c r="O808" s="4" t="s">
        <v>24</v>
      </c>
    </row>
    <row r="809" spans="1:15" x14ac:dyDescent="0.25">
      <c r="A809" s="4" t="s">
        <v>15</v>
      </c>
      <c r="B809" s="4" t="str">
        <f>"FES1162749986"</f>
        <v>FES1162749986</v>
      </c>
      <c r="C809" s="4" t="s">
        <v>662</v>
      </c>
      <c r="D809" s="4">
        <v>1</v>
      </c>
      <c r="E809" s="4" t="str">
        <f>"2170740309"</f>
        <v>2170740309</v>
      </c>
      <c r="F809" s="4" t="s">
        <v>17</v>
      </c>
      <c r="G809" s="4" t="s">
        <v>18</v>
      </c>
      <c r="H809" s="4" t="s">
        <v>85</v>
      </c>
      <c r="I809" s="4" t="s">
        <v>850</v>
      </c>
      <c r="J809" s="4" t="s">
        <v>849</v>
      </c>
      <c r="K809" s="4" t="s">
        <v>845</v>
      </c>
      <c r="L809" s="5">
        <v>0.41666666666666669</v>
      </c>
      <c r="M809" s="4" t="s">
        <v>1011</v>
      </c>
      <c r="N809" s="6" t="s">
        <v>23</v>
      </c>
      <c r="O809" s="4" t="s">
        <v>24</v>
      </c>
    </row>
    <row r="810" spans="1:15" x14ac:dyDescent="0.25">
      <c r="A810" s="4" t="s">
        <v>15</v>
      </c>
      <c r="B810" s="4" t="str">
        <f>"FES1162750136"</f>
        <v>FES1162750136</v>
      </c>
      <c r="C810" s="4" t="s">
        <v>662</v>
      </c>
      <c r="D810" s="4">
        <v>1</v>
      </c>
      <c r="E810" s="4" t="str">
        <f>"2170740341"</f>
        <v>2170740341</v>
      </c>
      <c r="F810" s="4" t="s">
        <v>17</v>
      </c>
      <c r="G810" s="4" t="s">
        <v>18</v>
      </c>
      <c r="H810" s="4" t="s">
        <v>18</v>
      </c>
      <c r="I810" s="4" t="s">
        <v>19</v>
      </c>
      <c r="J810" s="4" t="s">
        <v>20</v>
      </c>
      <c r="K810" s="4" t="s">
        <v>845</v>
      </c>
      <c r="L810" s="5">
        <v>0.40416666666666662</v>
      </c>
      <c r="M810" s="4" t="s">
        <v>22</v>
      </c>
      <c r="N810" s="6" t="s">
        <v>23</v>
      </c>
      <c r="O810" s="4" t="s">
        <v>24</v>
      </c>
    </row>
    <row r="811" spans="1:15" x14ac:dyDescent="0.25">
      <c r="A811" s="4" t="s">
        <v>15</v>
      </c>
      <c r="B811" s="4" t="str">
        <f>"FES1162750006"</f>
        <v>FES1162750006</v>
      </c>
      <c r="C811" s="4" t="s">
        <v>662</v>
      </c>
      <c r="D811" s="4">
        <v>2</v>
      </c>
      <c r="E811" s="4" t="str">
        <f>"2170740347"</f>
        <v>2170740347</v>
      </c>
      <c r="F811" s="4" t="s">
        <v>135</v>
      </c>
      <c r="G811" s="4" t="s">
        <v>18</v>
      </c>
      <c r="H811" s="4" t="s">
        <v>48</v>
      </c>
      <c r="I811" s="4" t="s">
        <v>199</v>
      </c>
      <c r="J811" s="4" t="s">
        <v>200</v>
      </c>
      <c r="K811" s="4" t="s">
        <v>845</v>
      </c>
      <c r="L811" s="5">
        <v>0.41666666666666669</v>
      </c>
      <c r="M811" s="4" t="s">
        <v>1031</v>
      </c>
      <c r="N811" s="6" t="s">
        <v>23</v>
      </c>
      <c r="O811" s="4" t="s">
        <v>24</v>
      </c>
    </row>
    <row r="812" spans="1:15" x14ac:dyDescent="0.25">
      <c r="A812" s="4" t="s">
        <v>15</v>
      </c>
      <c r="B812" s="4" t="str">
        <f>"FES1162750058"</f>
        <v>FES1162750058</v>
      </c>
      <c r="C812" s="4" t="s">
        <v>662</v>
      </c>
      <c r="D812" s="4">
        <v>1</v>
      </c>
      <c r="E812" s="4" t="str">
        <f>"2170738494"</f>
        <v>2170738494</v>
      </c>
      <c r="F812" s="4" t="s">
        <v>17</v>
      </c>
      <c r="G812" s="4" t="s">
        <v>18</v>
      </c>
      <c r="H812" s="4" t="s">
        <v>48</v>
      </c>
      <c r="I812" s="4" t="s">
        <v>73</v>
      </c>
      <c r="J812" s="4" t="s">
        <v>779</v>
      </c>
      <c r="K812" s="4" t="s">
        <v>845</v>
      </c>
      <c r="L812" s="5">
        <v>0.48472222222222222</v>
      </c>
      <c r="M812" s="4" t="s">
        <v>1032</v>
      </c>
      <c r="N812" s="6" t="s">
        <v>23</v>
      </c>
      <c r="O812" s="4" t="s">
        <v>24</v>
      </c>
    </row>
    <row r="813" spans="1:15" x14ac:dyDescent="0.25">
      <c r="A813" s="4" t="s">
        <v>15</v>
      </c>
      <c r="B813" s="4" t="str">
        <f>"FES1162750167"</f>
        <v>FES1162750167</v>
      </c>
      <c r="C813" s="4" t="s">
        <v>662</v>
      </c>
      <c r="D813" s="4">
        <v>1</v>
      </c>
      <c r="E813" s="4" t="str">
        <f>"2170740398"</f>
        <v>2170740398</v>
      </c>
      <c r="F813" s="4" t="s">
        <v>17</v>
      </c>
      <c r="G813" s="4" t="s">
        <v>18</v>
      </c>
      <c r="H813" s="4" t="s">
        <v>40</v>
      </c>
      <c r="I813" s="4" t="s">
        <v>41</v>
      </c>
      <c r="J813" s="4" t="s">
        <v>42</v>
      </c>
      <c r="K813" s="4" t="s">
        <v>845</v>
      </c>
      <c r="L813" s="5">
        <v>0.38194444444444442</v>
      </c>
      <c r="M813" s="4" t="s">
        <v>1019</v>
      </c>
      <c r="N813" s="6" t="s">
        <v>23</v>
      </c>
      <c r="O813" s="4" t="s">
        <v>24</v>
      </c>
    </row>
    <row r="814" spans="1:15" x14ac:dyDescent="0.25">
      <c r="A814" s="4" t="s">
        <v>15</v>
      </c>
      <c r="B814" s="4" t="str">
        <f>"FES1162750147"</f>
        <v>FES1162750147</v>
      </c>
      <c r="C814" s="4" t="s">
        <v>662</v>
      </c>
      <c r="D814" s="4">
        <v>1</v>
      </c>
      <c r="E814" s="4" t="str">
        <f>"2170734607"</f>
        <v>2170734607</v>
      </c>
      <c r="F814" s="4" t="s">
        <v>17</v>
      </c>
      <c r="G814" s="4" t="s">
        <v>18</v>
      </c>
      <c r="H814" s="4" t="s">
        <v>32</v>
      </c>
      <c r="I814" s="4" t="s">
        <v>106</v>
      </c>
      <c r="J814" s="4" t="s">
        <v>763</v>
      </c>
      <c r="K814" s="4" t="s">
        <v>845</v>
      </c>
      <c r="L814" s="5">
        <v>0.43402777777777773</v>
      </c>
      <c r="M814" s="4" t="s">
        <v>65</v>
      </c>
      <c r="N814" s="6" t="s">
        <v>23</v>
      </c>
      <c r="O814" s="4" t="s">
        <v>24</v>
      </c>
    </row>
    <row r="815" spans="1:15" x14ac:dyDescent="0.25">
      <c r="A815" s="4" t="s">
        <v>15</v>
      </c>
      <c r="B815" s="4" t="str">
        <f>"FES1162750175"</f>
        <v>FES1162750175</v>
      </c>
      <c r="C815" s="4" t="s">
        <v>662</v>
      </c>
      <c r="D815" s="4">
        <v>1</v>
      </c>
      <c r="E815" s="4" t="str">
        <f>"2170740406"</f>
        <v>2170740406</v>
      </c>
      <c r="F815" s="4" t="s">
        <v>17</v>
      </c>
      <c r="G815" s="4" t="s">
        <v>18</v>
      </c>
      <c r="H815" s="4" t="s">
        <v>48</v>
      </c>
      <c r="I815" s="4" t="s">
        <v>49</v>
      </c>
      <c r="J815" s="4" t="s">
        <v>605</v>
      </c>
      <c r="K815" s="4" t="s">
        <v>845</v>
      </c>
      <c r="L815" s="5">
        <v>0.4152777777777778</v>
      </c>
      <c r="M815" s="4" t="s">
        <v>717</v>
      </c>
      <c r="N815" s="6" t="s">
        <v>23</v>
      </c>
      <c r="O815" s="4" t="s">
        <v>24</v>
      </c>
    </row>
    <row r="816" spans="1:15" x14ac:dyDescent="0.25">
      <c r="A816" s="4" t="s">
        <v>15</v>
      </c>
      <c r="B816" s="4" t="str">
        <f>"FES1162750100"</f>
        <v>FES1162750100</v>
      </c>
      <c r="C816" s="4" t="s">
        <v>662</v>
      </c>
      <c r="D816" s="4">
        <v>1</v>
      </c>
      <c r="E816" s="4" t="str">
        <f>"2170738793"</f>
        <v>2170738793</v>
      </c>
      <c r="F816" s="4" t="s">
        <v>17</v>
      </c>
      <c r="G816" s="4" t="s">
        <v>18</v>
      </c>
      <c r="H816" s="4" t="s">
        <v>18</v>
      </c>
      <c r="I816" s="4" t="s">
        <v>29</v>
      </c>
      <c r="J816" s="4" t="s">
        <v>389</v>
      </c>
      <c r="K816" s="4" t="s">
        <v>845</v>
      </c>
      <c r="L816" s="5">
        <v>0.33333333333333331</v>
      </c>
      <c r="M816" s="4" t="s">
        <v>47</v>
      </c>
      <c r="N816" s="6" t="s">
        <v>23</v>
      </c>
      <c r="O816" s="4" t="s">
        <v>24</v>
      </c>
    </row>
    <row r="817" spans="1:15" x14ac:dyDescent="0.25">
      <c r="A817" s="4" t="s">
        <v>15</v>
      </c>
      <c r="B817" s="4" t="str">
        <f>"FES1162749999"</f>
        <v>FES1162749999</v>
      </c>
      <c r="C817" s="4" t="s">
        <v>662</v>
      </c>
      <c r="D817" s="4">
        <v>1</v>
      </c>
      <c r="E817" s="4" t="str">
        <f>"2170737540"</f>
        <v>2170737540</v>
      </c>
      <c r="F817" s="4" t="s">
        <v>17</v>
      </c>
      <c r="G817" s="4" t="s">
        <v>18</v>
      </c>
      <c r="H817" s="4" t="s">
        <v>18</v>
      </c>
      <c r="I817" s="4" t="s">
        <v>147</v>
      </c>
      <c r="J817" s="4" t="s">
        <v>848</v>
      </c>
      <c r="K817" s="4" t="s">
        <v>845</v>
      </c>
      <c r="L817" s="5">
        <v>0.31041666666666667</v>
      </c>
      <c r="M817" s="4" t="s">
        <v>1033</v>
      </c>
      <c r="N817" s="6" t="s">
        <v>23</v>
      </c>
      <c r="O817" s="4" t="s">
        <v>24</v>
      </c>
    </row>
    <row r="818" spans="1:15" x14ac:dyDescent="0.25">
      <c r="A818" s="4" t="s">
        <v>15</v>
      </c>
      <c r="B818" s="4" t="str">
        <f>"FES1162750191"</f>
        <v>FES1162750191</v>
      </c>
      <c r="C818" s="4" t="s">
        <v>662</v>
      </c>
      <c r="D818" s="4">
        <v>1</v>
      </c>
      <c r="E818" s="4" t="str">
        <f>"2170740422"</f>
        <v>2170740422</v>
      </c>
      <c r="F818" s="4" t="s">
        <v>17</v>
      </c>
      <c r="G818" s="4" t="s">
        <v>18</v>
      </c>
      <c r="H818" s="4" t="s">
        <v>48</v>
      </c>
      <c r="I818" s="4" t="s">
        <v>49</v>
      </c>
      <c r="J818" s="4" t="s">
        <v>847</v>
      </c>
      <c r="K818" s="4" t="s">
        <v>845</v>
      </c>
      <c r="L818" s="5">
        <v>0.42291666666666666</v>
      </c>
      <c r="M818" s="4" t="s">
        <v>1014</v>
      </c>
      <c r="N818" s="6" t="s">
        <v>23</v>
      </c>
      <c r="O818" s="4" t="s">
        <v>24</v>
      </c>
    </row>
    <row r="819" spans="1:15" x14ac:dyDescent="0.25">
      <c r="A819" s="4" t="s">
        <v>15</v>
      </c>
      <c r="B819" s="4" t="str">
        <f>"FES1162750182"</f>
        <v>FES1162750182</v>
      </c>
      <c r="C819" s="4" t="s">
        <v>662</v>
      </c>
      <c r="D819" s="4">
        <v>1</v>
      </c>
      <c r="E819" s="4" t="str">
        <f>"21707340414"</f>
        <v>21707340414</v>
      </c>
      <c r="F819" s="4" t="s">
        <v>17</v>
      </c>
      <c r="G819" s="4" t="s">
        <v>18</v>
      </c>
      <c r="H819" s="4" t="s">
        <v>48</v>
      </c>
      <c r="I819" s="4" t="s">
        <v>73</v>
      </c>
      <c r="J819" s="4" t="s">
        <v>247</v>
      </c>
      <c r="K819" s="4" t="s">
        <v>845</v>
      </c>
      <c r="L819" s="5">
        <v>0.47638888888888892</v>
      </c>
      <c r="M819" s="4" t="s">
        <v>990</v>
      </c>
      <c r="N819" s="6" t="s">
        <v>23</v>
      </c>
      <c r="O819" s="4" t="s">
        <v>24</v>
      </c>
    </row>
    <row r="820" spans="1:15" x14ac:dyDescent="0.25">
      <c r="A820" s="4" t="s">
        <v>15</v>
      </c>
      <c r="B820" s="4" t="str">
        <f>"FES1162750092"</f>
        <v>FES1162750092</v>
      </c>
      <c r="C820" s="4" t="s">
        <v>662</v>
      </c>
      <c r="D820" s="4">
        <v>1</v>
      </c>
      <c r="E820" s="4" t="str">
        <f>"2170738840"</f>
        <v>2170738840</v>
      </c>
      <c r="F820" s="4" t="s">
        <v>17</v>
      </c>
      <c r="G820" s="4" t="s">
        <v>18</v>
      </c>
      <c r="H820" s="4" t="s">
        <v>18</v>
      </c>
      <c r="I820" s="4" t="s">
        <v>68</v>
      </c>
      <c r="J820" s="4" t="s">
        <v>69</v>
      </c>
      <c r="K820" s="4" t="s">
        <v>845</v>
      </c>
      <c r="L820" s="5">
        <v>0.47638888888888892</v>
      </c>
      <c r="M820" s="4" t="s">
        <v>1102</v>
      </c>
      <c r="N820" s="6" t="s">
        <v>23</v>
      </c>
      <c r="O820" s="4" t="s">
        <v>24</v>
      </c>
    </row>
    <row r="821" spans="1:15" x14ac:dyDescent="0.25">
      <c r="A821" s="4" t="s">
        <v>15</v>
      </c>
      <c r="B821" s="4" t="str">
        <f>"009935712298"</f>
        <v>009935712298</v>
      </c>
      <c r="C821" s="4" t="s">
        <v>662</v>
      </c>
      <c r="D821" s="4">
        <v>1</v>
      </c>
      <c r="E821" s="4" t="str">
        <f>"1162745701"</f>
        <v>1162745701</v>
      </c>
      <c r="F821" s="4" t="s">
        <v>17</v>
      </c>
      <c r="G821" s="4" t="s">
        <v>18</v>
      </c>
      <c r="H821" s="4" t="s">
        <v>18</v>
      </c>
      <c r="I821" s="4" t="s">
        <v>97</v>
      </c>
      <c r="J821" s="4" t="s">
        <v>846</v>
      </c>
      <c r="K821" s="4" t="s">
        <v>845</v>
      </c>
      <c r="L821" s="5">
        <v>0.4375</v>
      </c>
      <c r="M821" s="4" t="s">
        <v>170</v>
      </c>
      <c r="N821" s="6" t="s">
        <v>23</v>
      </c>
      <c r="O821" s="4" t="s">
        <v>297</v>
      </c>
    </row>
    <row r="822" spans="1:15" x14ac:dyDescent="0.25">
      <c r="A822" s="4" t="s">
        <v>15</v>
      </c>
      <c r="B822" s="4" t="str">
        <f>"FES1162750063"</f>
        <v>FES1162750063</v>
      </c>
      <c r="C822" s="4" t="s">
        <v>662</v>
      </c>
      <c r="D822" s="4">
        <v>1</v>
      </c>
      <c r="E822" s="4" t="str">
        <f>"2170738520"</f>
        <v>2170738520</v>
      </c>
      <c r="F822" s="4" t="s">
        <v>17</v>
      </c>
      <c r="G822" s="4" t="s">
        <v>18</v>
      </c>
      <c r="H822" s="4" t="s">
        <v>18</v>
      </c>
      <c r="I822" s="4" t="s">
        <v>147</v>
      </c>
      <c r="J822" s="4" t="s">
        <v>299</v>
      </c>
      <c r="K822" s="4" t="s">
        <v>845</v>
      </c>
      <c r="L822" s="5">
        <v>0.33333333333333331</v>
      </c>
      <c r="M822" s="4" t="s">
        <v>450</v>
      </c>
      <c r="N822" s="6" t="s">
        <v>23</v>
      </c>
      <c r="O822" s="4" t="s">
        <v>24</v>
      </c>
    </row>
    <row r="823" spans="1:15" x14ac:dyDescent="0.25">
      <c r="A823" s="4" t="s">
        <v>15</v>
      </c>
      <c r="B823" s="4" t="str">
        <f>"FES1162750199"</f>
        <v>FES1162750199</v>
      </c>
      <c r="C823" s="4" t="s">
        <v>662</v>
      </c>
      <c r="D823" s="4">
        <v>1</v>
      </c>
      <c r="E823" s="4" t="str">
        <f>"2170740432"</f>
        <v>2170740432</v>
      </c>
      <c r="F823" s="4" t="s">
        <v>17</v>
      </c>
      <c r="G823" s="4" t="s">
        <v>18</v>
      </c>
      <c r="H823" s="4" t="s">
        <v>48</v>
      </c>
      <c r="I823" s="4" t="s">
        <v>49</v>
      </c>
      <c r="J823" s="4" t="s">
        <v>322</v>
      </c>
      <c r="K823" s="4" t="s">
        <v>845</v>
      </c>
      <c r="L823" s="5">
        <v>0.32222222222222224</v>
      </c>
      <c r="M823" s="4" t="s">
        <v>757</v>
      </c>
      <c r="N823" s="6" t="s">
        <v>23</v>
      </c>
      <c r="O823" s="4" t="s">
        <v>24</v>
      </c>
    </row>
    <row r="824" spans="1:15" x14ac:dyDescent="0.25">
      <c r="A824" s="4" t="s">
        <v>15</v>
      </c>
      <c r="B824" s="4" t="str">
        <f>"009937017831"</f>
        <v>009937017831</v>
      </c>
      <c r="C824" s="4" t="s">
        <v>662</v>
      </c>
      <c r="D824" s="4">
        <v>1</v>
      </c>
      <c r="E824" s="4" t="str">
        <f>""</f>
        <v/>
      </c>
      <c r="F824" s="4" t="s">
        <v>135</v>
      </c>
      <c r="G824" s="4" t="s">
        <v>18</v>
      </c>
      <c r="H824" s="4" t="s">
        <v>18</v>
      </c>
      <c r="I824" s="4" t="s">
        <v>29</v>
      </c>
      <c r="J824" s="4" t="s">
        <v>769</v>
      </c>
      <c r="K824" s="4" t="s">
        <v>845</v>
      </c>
      <c r="L824" s="5">
        <v>0.34375</v>
      </c>
      <c r="M824" s="4" t="s">
        <v>844</v>
      </c>
      <c r="N824" s="6" t="s">
        <v>23</v>
      </c>
      <c r="O824" s="4" t="s">
        <v>24</v>
      </c>
    </row>
    <row r="825" spans="1:15" ht="15.75" thickBot="1" x14ac:dyDescent="0.3">
      <c r="A825" s="7" t="s">
        <v>15</v>
      </c>
      <c r="B825" s="7" t="str">
        <f>"FES1162750154"</f>
        <v>FES1162750154</v>
      </c>
      <c r="C825" s="7" t="s">
        <v>843</v>
      </c>
      <c r="D825" s="7">
        <v>1</v>
      </c>
      <c r="E825" s="7" t="str">
        <f>"2170740059"</f>
        <v>2170740059</v>
      </c>
      <c r="F825" s="7" t="s">
        <v>17</v>
      </c>
      <c r="G825" s="7" t="s">
        <v>18</v>
      </c>
      <c r="H825" s="7" t="s">
        <v>36</v>
      </c>
      <c r="I825" s="7" t="s">
        <v>842</v>
      </c>
      <c r="J825" s="7" t="s">
        <v>841</v>
      </c>
      <c r="K825" s="7" t="s">
        <v>845</v>
      </c>
      <c r="L825" s="8">
        <v>0.39027777777777778</v>
      </c>
      <c r="M825" s="7" t="s">
        <v>1034</v>
      </c>
      <c r="N825" s="7" t="s">
        <v>23</v>
      </c>
      <c r="O825" s="7" t="s">
        <v>24</v>
      </c>
    </row>
    <row r="826" spans="1:15" x14ac:dyDescent="0.25">
      <c r="A826" s="1" t="s">
        <v>15</v>
      </c>
      <c r="B826" s="1" t="str">
        <f>"FES1162750345"</f>
        <v>FES1162750345</v>
      </c>
      <c r="C826" s="1" t="s">
        <v>845</v>
      </c>
      <c r="D826" s="1">
        <v>1</v>
      </c>
      <c r="E826" s="1" t="str">
        <f>"2170740606"</f>
        <v>2170740606</v>
      </c>
      <c r="F826" s="1" t="s">
        <v>17</v>
      </c>
      <c r="G826" s="1" t="s">
        <v>18</v>
      </c>
      <c r="H826" s="1" t="s">
        <v>48</v>
      </c>
      <c r="I826" s="1" t="s">
        <v>49</v>
      </c>
      <c r="J826" s="1" t="s">
        <v>339</v>
      </c>
      <c r="K826" s="1" t="s">
        <v>1015</v>
      </c>
      <c r="L826" s="2">
        <v>0.3979166666666667</v>
      </c>
      <c r="M826" s="1" t="s">
        <v>487</v>
      </c>
      <c r="N826" s="3" t="s">
        <v>23</v>
      </c>
      <c r="O826" s="1" t="s">
        <v>24</v>
      </c>
    </row>
    <row r="827" spans="1:15" x14ac:dyDescent="0.25">
      <c r="A827" s="4" t="s">
        <v>15</v>
      </c>
      <c r="B827" s="4" t="str">
        <f>"FES1162750084"</f>
        <v>FES1162750084</v>
      </c>
      <c r="C827" s="4" t="s">
        <v>845</v>
      </c>
      <c r="D827" s="4">
        <v>1</v>
      </c>
      <c r="E827" s="4" t="str">
        <f>"2170737858"</f>
        <v>2170737858</v>
      </c>
      <c r="F827" s="4" t="s">
        <v>17</v>
      </c>
      <c r="G827" s="4" t="s">
        <v>18</v>
      </c>
      <c r="H827" s="4" t="s">
        <v>25</v>
      </c>
      <c r="I827" s="4" t="s">
        <v>26</v>
      </c>
      <c r="J827" s="4" t="s">
        <v>568</v>
      </c>
      <c r="K827" s="4" t="s">
        <v>1015</v>
      </c>
      <c r="L827" s="5">
        <v>0.42430555555555555</v>
      </c>
      <c r="M827" s="4" t="s">
        <v>568</v>
      </c>
      <c r="N827" s="6" t="s">
        <v>23</v>
      </c>
      <c r="O827" s="4" t="s">
        <v>24</v>
      </c>
    </row>
    <row r="828" spans="1:15" x14ac:dyDescent="0.25">
      <c r="A828" s="4" t="s">
        <v>15</v>
      </c>
      <c r="B828" s="4" t="str">
        <f>"FES1162750053"</f>
        <v>FES1162750053</v>
      </c>
      <c r="C828" s="4" t="s">
        <v>845</v>
      </c>
      <c r="D828" s="4">
        <v>1</v>
      </c>
      <c r="E828" s="4" t="str">
        <f>"2170738455"</f>
        <v>2170738455</v>
      </c>
      <c r="F828" s="4" t="s">
        <v>17</v>
      </c>
      <c r="G828" s="4" t="s">
        <v>18</v>
      </c>
      <c r="H828" s="4" t="s">
        <v>32</v>
      </c>
      <c r="I828" s="4" t="s">
        <v>33</v>
      </c>
      <c r="J828" s="4" t="s">
        <v>272</v>
      </c>
      <c r="K828" s="4" t="s">
        <v>1015</v>
      </c>
      <c r="L828" s="5">
        <v>0.41666666666666669</v>
      </c>
      <c r="M828" s="4" t="s">
        <v>978</v>
      </c>
      <c r="N828" s="6" t="s">
        <v>23</v>
      </c>
      <c r="O828" s="4" t="s">
        <v>24</v>
      </c>
    </row>
    <row r="829" spans="1:15" x14ac:dyDescent="0.25">
      <c r="A829" s="4" t="s">
        <v>15</v>
      </c>
      <c r="B829" s="4" t="str">
        <f>"FES1162750187"</f>
        <v>FES1162750187</v>
      </c>
      <c r="C829" s="4" t="s">
        <v>845</v>
      </c>
      <c r="D829" s="4">
        <v>1</v>
      </c>
      <c r="E829" s="4" t="str">
        <f>"2170737655"</f>
        <v>2170737655</v>
      </c>
      <c r="F829" s="4" t="s">
        <v>17</v>
      </c>
      <c r="G829" s="4" t="s">
        <v>18</v>
      </c>
      <c r="H829" s="4" t="s">
        <v>85</v>
      </c>
      <c r="I829" s="4" t="s">
        <v>144</v>
      </c>
      <c r="J829" s="4" t="s">
        <v>625</v>
      </c>
      <c r="K829" s="4" t="s">
        <v>1015</v>
      </c>
      <c r="L829" s="5">
        <v>0.52847222222222223</v>
      </c>
      <c r="M829" s="4" t="s">
        <v>1117</v>
      </c>
      <c r="N829" s="6" t="s">
        <v>23</v>
      </c>
      <c r="O829" s="4" t="s">
        <v>24</v>
      </c>
    </row>
    <row r="830" spans="1:15" x14ac:dyDescent="0.25">
      <c r="A830" s="4" t="s">
        <v>15</v>
      </c>
      <c r="B830" s="4" t="str">
        <f>"FES1162750256"</f>
        <v>FES1162750256</v>
      </c>
      <c r="C830" s="4" t="s">
        <v>845</v>
      </c>
      <c r="D830" s="4">
        <v>1</v>
      </c>
      <c r="E830" s="4" t="str">
        <f>"2170740495"</f>
        <v>2170740495</v>
      </c>
      <c r="F830" s="4" t="s">
        <v>17</v>
      </c>
      <c r="G830" s="4" t="s">
        <v>18</v>
      </c>
      <c r="H830" s="4" t="s">
        <v>40</v>
      </c>
      <c r="I830" s="4" t="s">
        <v>41</v>
      </c>
      <c r="J830" s="4" t="s">
        <v>1035</v>
      </c>
      <c r="K830" s="4" t="s">
        <v>1015</v>
      </c>
      <c r="L830" s="5">
        <v>0.43611111111111112</v>
      </c>
      <c r="M830" s="4" t="s">
        <v>1118</v>
      </c>
      <c r="N830" s="6" t="s">
        <v>23</v>
      </c>
      <c r="O830" s="4" t="s">
        <v>24</v>
      </c>
    </row>
    <row r="831" spans="1:15" x14ac:dyDescent="0.25">
      <c r="A831" s="4" t="s">
        <v>15</v>
      </c>
      <c r="B831" s="4" t="str">
        <f>"FES1162750212"</f>
        <v>FES1162750212</v>
      </c>
      <c r="C831" s="4" t="s">
        <v>845</v>
      </c>
      <c r="D831" s="4">
        <v>1</v>
      </c>
      <c r="E831" s="4" t="str">
        <f>"2170739490"</f>
        <v>2170739490</v>
      </c>
      <c r="F831" s="4" t="s">
        <v>17</v>
      </c>
      <c r="G831" s="4" t="s">
        <v>18</v>
      </c>
      <c r="H831" s="4" t="s">
        <v>48</v>
      </c>
      <c r="I831" s="4" t="s">
        <v>108</v>
      </c>
      <c r="J831" s="4" t="s">
        <v>109</v>
      </c>
      <c r="K831" s="4" t="s">
        <v>1015</v>
      </c>
      <c r="L831" s="5">
        <v>0.49583333333333335</v>
      </c>
      <c r="M831" s="4" t="s">
        <v>740</v>
      </c>
      <c r="N831" s="6" t="s">
        <v>23</v>
      </c>
      <c r="O831" s="4" t="s">
        <v>24</v>
      </c>
    </row>
    <row r="832" spans="1:15" x14ac:dyDescent="0.25">
      <c r="A832" s="4" t="s">
        <v>15</v>
      </c>
      <c r="B832" s="4" t="str">
        <f>"FES1162750244"</f>
        <v>FES1162750244</v>
      </c>
      <c r="C832" s="4" t="s">
        <v>845</v>
      </c>
      <c r="D832" s="4">
        <v>1</v>
      </c>
      <c r="E832" s="4" t="str">
        <f>"2170740463"</f>
        <v>2170740463</v>
      </c>
      <c r="F832" s="4" t="s">
        <v>17</v>
      </c>
      <c r="G832" s="4" t="s">
        <v>18</v>
      </c>
      <c r="H832" s="4" t="s">
        <v>18</v>
      </c>
      <c r="I832" s="4" t="s">
        <v>219</v>
      </c>
      <c r="J832" s="4" t="s">
        <v>1036</v>
      </c>
      <c r="K832" s="4" t="s">
        <v>1015</v>
      </c>
      <c r="L832" s="5">
        <v>0.52777777777777779</v>
      </c>
      <c r="M832" s="4" t="s">
        <v>1119</v>
      </c>
      <c r="N832" s="6" t="s">
        <v>23</v>
      </c>
      <c r="O832" s="4" t="s">
        <v>24</v>
      </c>
    </row>
    <row r="833" spans="1:15" x14ac:dyDescent="0.25">
      <c r="A833" s="4" t="s">
        <v>15</v>
      </c>
      <c r="B833" s="4" t="str">
        <f>"FES1162750348"</f>
        <v>FES1162750348</v>
      </c>
      <c r="C833" s="4" t="s">
        <v>845</v>
      </c>
      <c r="D833" s="4">
        <v>1</v>
      </c>
      <c r="E833" s="4" t="str">
        <f>"2170740608"</f>
        <v>2170740608</v>
      </c>
      <c r="F833" s="4" t="s">
        <v>17</v>
      </c>
      <c r="G833" s="4" t="s">
        <v>18</v>
      </c>
      <c r="H833" s="4" t="s">
        <v>85</v>
      </c>
      <c r="I833" s="4" t="s">
        <v>850</v>
      </c>
      <c r="J833" s="4" t="s">
        <v>849</v>
      </c>
      <c r="K833" s="4" t="s">
        <v>1120</v>
      </c>
      <c r="L833" s="5">
        <v>0.31388888888888888</v>
      </c>
      <c r="M833" s="4" t="s">
        <v>1121</v>
      </c>
      <c r="N833" s="6" t="s">
        <v>23</v>
      </c>
      <c r="O833" s="4" t="s">
        <v>24</v>
      </c>
    </row>
    <row r="834" spans="1:15" x14ac:dyDescent="0.25">
      <c r="A834" s="4" t="s">
        <v>15</v>
      </c>
      <c r="B834" s="4" t="str">
        <f>"FES1162750347"</f>
        <v>FES1162750347</v>
      </c>
      <c r="C834" s="4" t="s">
        <v>845</v>
      </c>
      <c r="D834" s="4">
        <v>1</v>
      </c>
      <c r="E834" s="4" t="str">
        <f>"2170740607"</f>
        <v>2170740607</v>
      </c>
      <c r="F834" s="4" t="s">
        <v>17</v>
      </c>
      <c r="G834" s="4" t="s">
        <v>18</v>
      </c>
      <c r="H834" s="4" t="s">
        <v>25</v>
      </c>
      <c r="I834" s="4" t="s">
        <v>26</v>
      </c>
      <c r="J834" s="4" t="s">
        <v>411</v>
      </c>
      <c r="K834" s="4" t="s">
        <v>1120</v>
      </c>
      <c r="L834" s="5">
        <v>0.31388888888888888</v>
      </c>
      <c r="M834" s="4" t="s">
        <v>1410</v>
      </c>
      <c r="N834" s="6" t="s">
        <v>23</v>
      </c>
      <c r="O834" s="4" t="s">
        <v>24</v>
      </c>
    </row>
    <row r="835" spans="1:15" x14ac:dyDescent="0.25">
      <c r="A835" s="4" t="s">
        <v>15</v>
      </c>
      <c r="B835" s="4" t="str">
        <f>"FES1162750350"</f>
        <v>FES1162750350</v>
      </c>
      <c r="C835" s="4" t="s">
        <v>845</v>
      </c>
      <c r="D835" s="4">
        <v>1</v>
      </c>
      <c r="E835" s="4" t="str">
        <f>"2170740610"</f>
        <v>2170740610</v>
      </c>
      <c r="F835" s="4" t="s">
        <v>17</v>
      </c>
      <c r="G835" s="4" t="s">
        <v>18</v>
      </c>
      <c r="H835" s="4" t="s">
        <v>40</v>
      </c>
      <c r="I835" s="4" t="s">
        <v>41</v>
      </c>
      <c r="J835" s="4" t="s">
        <v>42</v>
      </c>
      <c r="K835" s="4" t="s">
        <v>1015</v>
      </c>
      <c r="L835" s="5">
        <v>0.41666666666666669</v>
      </c>
      <c r="M835" s="4" t="s">
        <v>1019</v>
      </c>
      <c r="N835" s="6" t="s">
        <v>23</v>
      </c>
      <c r="O835" s="4" t="s">
        <v>24</v>
      </c>
    </row>
    <row r="836" spans="1:15" x14ac:dyDescent="0.25">
      <c r="A836" s="11" t="s">
        <v>15</v>
      </c>
      <c r="B836" s="11" t="str">
        <f>"FES1162750360"</f>
        <v>FES1162750360</v>
      </c>
      <c r="C836" s="11" t="s">
        <v>845</v>
      </c>
      <c r="D836" s="11">
        <v>1</v>
      </c>
      <c r="E836" s="11" t="str">
        <f>"2170740618"</f>
        <v>2170740618</v>
      </c>
      <c r="F836" s="11" t="s">
        <v>17</v>
      </c>
      <c r="G836" s="11" t="s">
        <v>18</v>
      </c>
      <c r="H836" s="11" t="s">
        <v>18</v>
      </c>
      <c r="I836" s="11" t="s">
        <v>58</v>
      </c>
      <c r="J836" s="11" t="s">
        <v>1037</v>
      </c>
      <c r="K836" s="11" t="s">
        <v>1015</v>
      </c>
      <c r="L836" s="12">
        <v>0.41666666666666669</v>
      </c>
      <c r="M836" s="11" t="s">
        <v>1636</v>
      </c>
      <c r="N836" s="13" t="s">
        <v>23</v>
      </c>
      <c r="O836" s="11" t="s">
        <v>1409</v>
      </c>
    </row>
    <row r="837" spans="1:15" x14ac:dyDescent="0.25">
      <c r="A837" s="4" t="s">
        <v>15</v>
      </c>
      <c r="B837" s="4" t="str">
        <f>"FES1162750373"</f>
        <v>FES1162750373</v>
      </c>
      <c r="C837" s="4" t="s">
        <v>845</v>
      </c>
      <c r="D837" s="4">
        <v>1</v>
      </c>
      <c r="E837" s="4" t="str">
        <f>"2170740627"</f>
        <v>2170740627</v>
      </c>
      <c r="F837" s="4" t="s">
        <v>17</v>
      </c>
      <c r="G837" s="4" t="s">
        <v>18</v>
      </c>
      <c r="H837" s="4" t="s">
        <v>85</v>
      </c>
      <c r="I837" s="4" t="s">
        <v>362</v>
      </c>
      <c r="J837" s="4" t="s">
        <v>363</v>
      </c>
      <c r="K837" s="4" t="s">
        <v>1015</v>
      </c>
      <c r="L837" s="5">
        <v>0.43124999999999997</v>
      </c>
      <c r="M837" s="4" t="s">
        <v>1122</v>
      </c>
      <c r="N837" s="6" t="s">
        <v>23</v>
      </c>
      <c r="O837" s="4" t="s">
        <v>24</v>
      </c>
    </row>
    <row r="838" spans="1:15" x14ac:dyDescent="0.25">
      <c r="A838" s="4" t="s">
        <v>15</v>
      </c>
      <c r="B838" s="4" t="str">
        <f>"FES1162750367"</f>
        <v>FES1162750367</v>
      </c>
      <c r="C838" s="4" t="s">
        <v>845</v>
      </c>
      <c r="D838" s="4">
        <v>1</v>
      </c>
      <c r="E838" s="4" t="str">
        <f>"2170740621"</f>
        <v>2170740621</v>
      </c>
      <c r="F838" s="4" t="s">
        <v>17</v>
      </c>
      <c r="G838" s="4" t="s">
        <v>18</v>
      </c>
      <c r="H838" s="4" t="s">
        <v>85</v>
      </c>
      <c r="I838" s="4" t="s">
        <v>144</v>
      </c>
      <c r="J838" s="4" t="s">
        <v>210</v>
      </c>
      <c r="K838" s="4" t="s">
        <v>1015</v>
      </c>
      <c r="L838" s="5">
        <v>0.40625</v>
      </c>
      <c r="M838" s="4" t="s">
        <v>994</v>
      </c>
      <c r="N838" s="6" t="s">
        <v>23</v>
      </c>
      <c r="O838" s="4" t="s">
        <v>24</v>
      </c>
    </row>
    <row r="839" spans="1:15" x14ac:dyDescent="0.25">
      <c r="A839" s="4" t="s">
        <v>15</v>
      </c>
      <c r="B839" s="4" t="str">
        <f>"FES1162750372"</f>
        <v>FES1162750372</v>
      </c>
      <c r="C839" s="4" t="s">
        <v>845</v>
      </c>
      <c r="D839" s="4">
        <v>1</v>
      </c>
      <c r="E839" s="4" t="str">
        <f>"2170740473"</f>
        <v>2170740473</v>
      </c>
      <c r="F839" s="4" t="s">
        <v>17</v>
      </c>
      <c r="G839" s="4" t="s">
        <v>18</v>
      </c>
      <c r="H839" s="4" t="s">
        <v>25</v>
      </c>
      <c r="I839" s="4" t="s">
        <v>26</v>
      </c>
      <c r="J839" s="4" t="s">
        <v>1038</v>
      </c>
      <c r="K839" s="4" t="s">
        <v>1015</v>
      </c>
      <c r="L839" s="5">
        <v>0.37777777777777777</v>
      </c>
      <c r="M839" s="4" t="s">
        <v>1039</v>
      </c>
      <c r="N839" s="6" t="s">
        <v>23</v>
      </c>
      <c r="O839" s="4" t="s">
        <v>24</v>
      </c>
    </row>
    <row r="840" spans="1:15" x14ac:dyDescent="0.25">
      <c r="A840" s="4" t="s">
        <v>15</v>
      </c>
      <c r="B840" s="4" t="str">
        <f>"FES1162750228"</f>
        <v>FES1162750228</v>
      </c>
      <c r="C840" s="4" t="s">
        <v>845</v>
      </c>
      <c r="D840" s="4">
        <v>1</v>
      </c>
      <c r="E840" s="4" t="str">
        <f>"2170740403"</f>
        <v>2170740403</v>
      </c>
      <c r="F840" s="4" t="s">
        <v>17</v>
      </c>
      <c r="G840" s="4" t="s">
        <v>18</v>
      </c>
      <c r="H840" s="4" t="s">
        <v>18</v>
      </c>
      <c r="I840" s="4" t="s">
        <v>309</v>
      </c>
      <c r="J840" s="4" t="s">
        <v>1040</v>
      </c>
      <c r="K840" s="4" t="s">
        <v>1015</v>
      </c>
      <c r="L840" s="5">
        <v>0.33333333333333331</v>
      </c>
      <c r="M840" s="4" t="s">
        <v>1041</v>
      </c>
      <c r="N840" s="6" t="s">
        <v>23</v>
      </c>
      <c r="O840" s="4" t="s">
        <v>24</v>
      </c>
    </row>
    <row r="841" spans="1:15" x14ac:dyDescent="0.25">
      <c r="A841" s="10" t="s">
        <v>15</v>
      </c>
      <c r="B841" s="10" t="str">
        <f>"FES1162750219"</f>
        <v>FES1162750219</v>
      </c>
      <c r="C841" s="10" t="s">
        <v>845</v>
      </c>
      <c r="D841" s="10">
        <v>1</v>
      </c>
      <c r="E841" s="10" t="str">
        <f>"2170740037"</f>
        <v>2170740037</v>
      </c>
      <c r="F841" s="10" t="s">
        <v>17</v>
      </c>
      <c r="G841" s="10" t="s">
        <v>18</v>
      </c>
      <c r="H841" s="10" t="s">
        <v>18</v>
      </c>
      <c r="I841" s="10" t="s">
        <v>29</v>
      </c>
      <c r="J841" s="10" t="s">
        <v>300</v>
      </c>
      <c r="K841" s="10" t="s">
        <v>43</v>
      </c>
      <c r="L841" s="10"/>
      <c r="M841" s="10" t="s">
        <v>44</v>
      </c>
      <c r="N841" s="10" t="s">
        <v>432</v>
      </c>
      <c r="O841" s="10" t="s">
        <v>432</v>
      </c>
    </row>
    <row r="842" spans="1:15" x14ac:dyDescent="0.25">
      <c r="A842" s="4" t="s">
        <v>15</v>
      </c>
      <c r="B842" s="4" t="str">
        <f>"FES1162750049"</f>
        <v>FES1162750049</v>
      </c>
      <c r="C842" s="4" t="s">
        <v>845</v>
      </c>
      <c r="D842" s="4">
        <v>1</v>
      </c>
      <c r="E842" s="4" t="str">
        <f>"2170738434"</f>
        <v>2170738434</v>
      </c>
      <c r="F842" s="4" t="s">
        <v>17</v>
      </c>
      <c r="G842" s="4" t="s">
        <v>18</v>
      </c>
      <c r="H842" s="4" t="s">
        <v>32</v>
      </c>
      <c r="I842" s="4" t="s">
        <v>33</v>
      </c>
      <c r="J842" s="4" t="s">
        <v>300</v>
      </c>
      <c r="K842" s="4" t="s">
        <v>1015</v>
      </c>
      <c r="L842" s="5">
        <v>0.41666666666666669</v>
      </c>
      <c r="M842" s="4" t="s">
        <v>1123</v>
      </c>
      <c r="N842" s="6" t="s">
        <v>23</v>
      </c>
      <c r="O842" s="4" t="s">
        <v>24</v>
      </c>
    </row>
    <row r="843" spans="1:15" x14ac:dyDescent="0.25">
      <c r="A843" s="4" t="s">
        <v>15</v>
      </c>
      <c r="B843" s="4" t="str">
        <f>"FES1162750255"</f>
        <v>FES1162750255</v>
      </c>
      <c r="C843" s="4" t="s">
        <v>845</v>
      </c>
      <c r="D843" s="4">
        <v>1</v>
      </c>
      <c r="E843" s="4" t="str">
        <f>"2170740491"</f>
        <v>2170740491</v>
      </c>
      <c r="F843" s="4" t="s">
        <v>17</v>
      </c>
      <c r="G843" s="4" t="s">
        <v>18</v>
      </c>
      <c r="H843" s="4" t="s">
        <v>85</v>
      </c>
      <c r="I843" s="4" t="s">
        <v>207</v>
      </c>
      <c r="J843" s="4" t="s">
        <v>1042</v>
      </c>
      <c r="K843" s="4" t="s">
        <v>1015</v>
      </c>
      <c r="L843" s="5">
        <v>0.40069444444444446</v>
      </c>
      <c r="M843" s="4" t="s">
        <v>1124</v>
      </c>
      <c r="N843" s="6" t="s">
        <v>23</v>
      </c>
      <c r="O843" s="4" t="s">
        <v>24</v>
      </c>
    </row>
    <row r="844" spans="1:15" x14ac:dyDescent="0.25">
      <c r="A844" s="4" t="s">
        <v>15</v>
      </c>
      <c r="B844" s="4" t="str">
        <f>"FES1162750359"</f>
        <v>FES1162750359</v>
      </c>
      <c r="C844" s="4" t="s">
        <v>845</v>
      </c>
      <c r="D844" s="4">
        <v>1</v>
      </c>
      <c r="E844" s="4" t="str">
        <f>"2170746017"</f>
        <v>2170746017</v>
      </c>
      <c r="F844" s="4" t="s">
        <v>17</v>
      </c>
      <c r="G844" s="4" t="s">
        <v>18</v>
      </c>
      <c r="H844" s="4" t="s">
        <v>52</v>
      </c>
      <c r="I844" s="4" t="s">
        <v>53</v>
      </c>
      <c r="J844" s="4" t="s">
        <v>56</v>
      </c>
      <c r="K844" s="4" t="s">
        <v>1015</v>
      </c>
      <c r="L844" s="5">
        <v>0.41666666666666669</v>
      </c>
      <c r="M844" s="4" t="s">
        <v>715</v>
      </c>
      <c r="N844" s="6" t="s">
        <v>23</v>
      </c>
      <c r="O844" s="4" t="s">
        <v>24</v>
      </c>
    </row>
    <row r="845" spans="1:15" x14ac:dyDescent="0.25">
      <c r="A845" s="4" t="s">
        <v>15</v>
      </c>
      <c r="B845" s="4" t="str">
        <f>"FES1162750353"</f>
        <v>FES1162750353</v>
      </c>
      <c r="C845" s="4" t="s">
        <v>845</v>
      </c>
      <c r="D845" s="4">
        <v>1</v>
      </c>
      <c r="E845" s="4" t="str">
        <f>"2170740298"</f>
        <v>2170740298</v>
      </c>
      <c r="F845" s="4" t="s">
        <v>17</v>
      </c>
      <c r="G845" s="4" t="s">
        <v>18</v>
      </c>
      <c r="H845" s="4" t="s">
        <v>40</v>
      </c>
      <c r="I845" s="4" t="s">
        <v>41</v>
      </c>
      <c r="J845" s="4" t="s">
        <v>221</v>
      </c>
      <c r="K845" s="4" t="s">
        <v>1015</v>
      </c>
      <c r="L845" s="5">
        <v>0.41666666666666669</v>
      </c>
      <c r="M845" s="4" t="s">
        <v>1019</v>
      </c>
      <c r="N845" s="6" t="s">
        <v>23</v>
      </c>
      <c r="O845" s="4" t="s">
        <v>24</v>
      </c>
    </row>
    <row r="846" spans="1:15" x14ac:dyDescent="0.25">
      <c r="A846" s="4" t="s">
        <v>15</v>
      </c>
      <c r="B846" s="4" t="str">
        <f>"FES1162750349"</f>
        <v>FES1162750349</v>
      </c>
      <c r="C846" s="4" t="s">
        <v>845</v>
      </c>
      <c r="D846" s="4">
        <v>1</v>
      </c>
      <c r="E846" s="4" t="str">
        <f>"2170740609"</f>
        <v>2170740609</v>
      </c>
      <c r="F846" s="4" t="s">
        <v>17</v>
      </c>
      <c r="G846" s="4" t="s">
        <v>18</v>
      </c>
      <c r="H846" s="4" t="s">
        <v>52</v>
      </c>
      <c r="I846" s="4" t="s">
        <v>53</v>
      </c>
      <c r="J846" s="4" t="s">
        <v>56</v>
      </c>
      <c r="K846" s="4" t="s">
        <v>1015</v>
      </c>
      <c r="L846" s="5">
        <v>0.41666666666666669</v>
      </c>
      <c r="M846" s="4" t="s">
        <v>715</v>
      </c>
      <c r="N846" s="6" t="s">
        <v>23</v>
      </c>
      <c r="O846" s="4" t="s">
        <v>24</v>
      </c>
    </row>
    <row r="847" spans="1:15" x14ac:dyDescent="0.25">
      <c r="A847" s="4" t="s">
        <v>15</v>
      </c>
      <c r="B847" s="4" t="str">
        <f>"FES1162750341"</f>
        <v>FES1162750341</v>
      </c>
      <c r="C847" s="4" t="s">
        <v>845</v>
      </c>
      <c r="D847" s="4">
        <v>1</v>
      </c>
      <c r="E847" s="4" t="str">
        <f>"2170739051"</f>
        <v>2170739051</v>
      </c>
      <c r="F847" s="4" t="s">
        <v>17</v>
      </c>
      <c r="G847" s="4" t="s">
        <v>18</v>
      </c>
      <c r="H847" s="4" t="s">
        <v>52</v>
      </c>
      <c r="I847" s="4" t="s">
        <v>53</v>
      </c>
      <c r="J847" s="4" t="s">
        <v>56</v>
      </c>
      <c r="K847" s="4" t="s">
        <v>1015</v>
      </c>
      <c r="L847" s="5">
        <v>0.41666666666666669</v>
      </c>
      <c r="M847" s="4" t="s">
        <v>715</v>
      </c>
      <c r="N847" s="6" t="s">
        <v>23</v>
      </c>
      <c r="O847" s="4" t="s">
        <v>24</v>
      </c>
    </row>
    <row r="848" spans="1:15" x14ac:dyDescent="0.25">
      <c r="A848" s="4" t="s">
        <v>15</v>
      </c>
      <c r="B848" s="4" t="str">
        <f>"FES1162750304"</f>
        <v>FES1162750304</v>
      </c>
      <c r="C848" s="4" t="s">
        <v>845</v>
      </c>
      <c r="D848" s="4">
        <v>1</v>
      </c>
      <c r="E848" s="4" t="str">
        <f>"2170740549"</f>
        <v>2170740549</v>
      </c>
      <c r="F848" s="4" t="s">
        <v>17</v>
      </c>
      <c r="G848" s="4" t="s">
        <v>18</v>
      </c>
      <c r="H848" s="4" t="s">
        <v>48</v>
      </c>
      <c r="I848" s="4" t="s">
        <v>73</v>
      </c>
      <c r="J848" s="4" t="s">
        <v>247</v>
      </c>
      <c r="K848" s="4" t="s">
        <v>1015</v>
      </c>
      <c r="L848" s="5">
        <v>0.42569444444444443</v>
      </c>
      <c r="M848" s="4" t="s">
        <v>1125</v>
      </c>
      <c r="N848" s="6" t="s">
        <v>23</v>
      </c>
      <c r="O848" s="4" t="s">
        <v>24</v>
      </c>
    </row>
    <row r="849" spans="1:15" x14ac:dyDescent="0.25">
      <c r="A849" s="4" t="s">
        <v>15</v>
      </c>
      <c r="B849" s="4" t="str">
        <f>"FES1162750226"</f>
        <v>FES1162750226</v>
      </c>
      <c r="C849" s="4" t="s">
        <v>845</v>
      </c>
      <c r="D849" s="4">
        <v>1</v>
      </c>
      <c r="E849" s="4" t="str">
        <f>"2170740222"</f>
        <v>2170740222</v>
      </c>
      <c r="F849" s="4" t="s">
        <v>17</v>
      </c>
      <c r="G849" s="4" t="s">
        <v>18</v>
      </c>
      <c r="H849" s="4" t="s">
        <v>85</v>
      </c>
      <c r="I849" s="4" t="s">
        <v>362</v>
      </c>
      <c r="J849" s="4" t="s">
        <v>1043</v>
      </c>
      <c r="K849" s="4" t="s">
        <v>1015</v>
      </c>
      <c r="L849" s="5">
        <v>0.43333333333333335</v>
      </c>
      <c r="M849" s="4" t="s">
        <v>1126</v>
      </c>
      <c r="N849" s="6" t="s">
        <v>23</v>
      </c>
      <c r="O849" s="4" t="s">
        <v>24</v>
      </c>
    </row>
    <row r="850" spans="1:15" x14ac:dyDescent="0.25">
      <c r="A850" s="4" t="s">
        <v>15</v>
      </c>
      <c r="B850" s="4" t="str">
        <f>"FES1162750057"</f>
        <v>FES1162750057</v>
      </c>
      <c r="C850" s="4" t="s">
        <v>845</v>
      </c>
      <c r="D850" s="4">
        <v>1</v>
      </c>
      <c r="E850" s="4" t="str">
        <f>"2170738489"</f>
        <v>2170738489</v>
      </c>
      <c r="F850" s="4" t="s">
        <v>17</v>
      </c>
      <c r="G850" s="4" t="s">
        <v>18</v>
      </c>
      <c r="H850" s="4" t="s">
        <v>32</v>
      </c>
      <c r="I850" s="4" t="s">
        <v>33</v>
      </c>
      <c r="J850" s="4" t="s">
        <v>301</v>
      </c>
      <c r="K850" s="4" t="s">
        <v>1015</v>
      </c>
      <c r="L850" s="5">
        <v>0.4236111111111111</v>
      </c>
      <c r="M850" s="4" t="s">
        <v>65</v>
      </c>
      <c r="N850" s="6" t="s">
        <v>23</v>
      </c>
      <c r="O850" s="4" t="s">
        <v>24</v>
      </c>
    </row>
    <row r="851" spans="1:15" x14ac:dyDescent="0.25">
      <c r="A851" s="4" t="s">
        <v>15</v>
      </c>
      <c r="B851" s="4" t="str">
        <f>"FES1162750172"</f>
        <v>FES1162750172</v>
      </c>
      <c r="C851" s="4" t="s">
        <v>845</v>
      </c>
      <c r="D851" s="4">
        <v>1</v>
      </c>
      <c r="E851" s="4" t="str">
        <f>"2170740384"</f>
        <v>2170740384</v>
      </c>
      <c r="F851" s="4" t="s">
        <v>17</v>
      </c>
      <c r="G851" s="4" t="s">
        <v>18</v>
      </c>
      <c r="H851" s="4" t="s">
        <v>52</v>
      </c>
      <c r="I851" s="4" t="s">
        <v>53</v>
      </c>
      <c r="J851" s="4" t="s">
        <v>592</v>
      </c>
      <c r="K851" s="4" t="s">
        <v>1015</v>
      </c>
      <c r="L851" s="5">
        <v>0.51041666666666663</v>
      </c>
      <c r="M851" s="4" t="s">
        <v>697</v>
      </c>
      <c r="N851" s="6" t="s">
        <v>23</v>
      </c>
      <c r="O851" s="4" t="s">
        <v>24</v>
      </c>
    </row>
    <row r="852" spans="1:15" x14ac:dyDescent="0.25">
      <c r="A852" s="4" t="s">
        <v>15</v>
      </c>
      <c r="B852" s="4" t="str">
        <f>"FES1162750318"</f>
        <v>FES1162750318</v>
      </c>
      <c r="C852" s="4" t="s">
        <v>845</v>
      </c>
      <c r="D852" s="4">
        <v>1</v>
      </c>
      <c r="E852" s="4" t="str">
        <f>"2170740574"</f>
        <v>2170740574</v>
      </c>
      <c r="F852" s="4" t="s">
        <v>17</v>
      </c>
      <c r="G852" s="4" t="s">
        <v>18</v>
      </c>
      <c r="H852" s="4" t="s">
        <v>48</v>
      </c>
      <c r="I852" s="4" t="s">
        <v>49</v>
      </c>
      <c r="J852" s="4" t="s">
        <v>1044</v>
      </c>
      <c r="K852" s="4" t="s">
        <v>1015</v>
      </c>
      <c r="L852" s="5">
        <v>0.3347222222222222</v>
      </c>
      <c r="M852" s="4" t="s">
        <v>1045</v>
      </c>
      <c r="N852" s="6" t="s">
        <v>23</v>
      </c>
      <c r="O852" s="4" t="s">
        <v>24</v>
      </c>
    </row>
    <row r="853" spans="1:15" x14ac:dyDescent="0.25">
      <c r="A853" s="4" t="s">
        <v>15</v>
      </c>
      <c r="B853" s="4" t="str">
        <f>"FES1162749985"</f>
        <v>FES1162749985</v>
      </c>
      <c r="C853" s="4" t="s">
        <v>845</v>
      </c>
      <c r="D853" s="4">
        <v>1</v>
      </c>
      <c r="E853" s="4" t="str">
        <f>"2170740302"</f>
        <v>2170740302</v>
      </c>
      <c r="F853" s="4" t="s">
        <v>17</v>
      </c>
      <c r="G853" s="4" t="s">
        <v>18</v>
      </c>
      <c r="H853" s="4" t="s">
        <v>32</v>
      </c>
      <c r="I853" s="4" t="s">
        <v>140</v>
      </c>
      <c r="J853" s="4" t="s">
        <v>1046</v>
      </c>
      <c r="K853" s="4" t="s">
        <v>1015</v>
      </c>
      <c r="L853" s="5">
        <v>0.3347222222222222</v>
      </c>
      <c r="M853" s="4" t="s">
        <v>1260</v>
      </c>
      <c r="N853" s="6" t="s">
        <v>23</v>
      </c>
      <c r="O853" s="4" t="s">
        <v>24</v>
      </c>
    </row>
    <row r="854" spans="1:15" x14ac:dyDescent="0.25">
      <c r="A854" s="4" t="s">
        <v>15</v>
      </c>
      <c r="B854" s="4" t="str">
        <f>"FES1162750040"</f>
        <v>FES1162750040</v>
      </c>
      <c r="C854" s="4" t="s">
        <v>845</v>
      </c>
      <c r="D854" s="4">
        <v>1</v>
      </c>
      <c r="E854" s="4" t="str">
        <f>"2170738360"</f>
        <v>2170738360</v>
      </c>
      <c r="F854" s="4" t="s">
        <v>17</v>
      </c>
      <c r="G854" s="4" t="s">
        <v>18</v>
      </c>
      <c r="H854" s="4" t="s">
        <v>18</v>
      </c>
      <c r="I854" s="4" t="s">
        <v>29</v>
      </c>
      <c r="J854" s="4" t="s">
        <v>173</v>
      </c>
      <c r="K854" s="4" t="s">
        <v>1015</v>
      </c>
      <c r="L854" s="5">
        <v>0.37152777777777773</v>
      </c>
      <c r="M854" s="4" t="s">
        <v>1127</v>
      </c>
      <c r="N854" s="6" t="s">
        <v>23</v>
      </c>
      <c r="O854" s="4" t="s">
        <v>24</v>
      </c>
    </row>
    <row r="855" spans="1:15" x14ac:dyDescent="0.25">
      <c r="A855" s="4" t="s">
        <v>15</v>
      </c>
      <c r="B855" s="4" t="str">
        <f>"FES1162750166"</f>
        <v>FES1162750166</v>
      </c>
      <c r="C855" s="4" t="s">
        <v>845</v>
      </c>
      <c r="D855" s="4">
        <v>1</v>
      </c>
      <c r="E855" s="4" t="str">
        <f>"2170740396"</f>
        <v>2170740396</v>
      </c>
      <c r="F855" s="4" t="s">
        <v>17</v>
      </c>
      <c r="G855" s="4" t="s">
        <v>18</v>
      </c>
      <c r="H855" s="4" t="s">
        <v>18</v>
      </c>
      <c r="I855" s="4" t="s">
        <v>58</v>
      </c>
      <c r="J855" s="4" t="s">
        <v>1047</v>
      </c>
      <c r="K855" s="4" t="s">
        <v>1015</v>
      </c>
      <c r="L855" s="5">
        <v>0.42430555555555555</v>
      </c>
      <c r="M855" s="4" t="s">
        <v>1128</v>
      </c>
      <c r="N855" s="6" t="s">
        <v>23</v>
      </c>
      <c r="O855" s="4" t="s">
        <v>24</v>
      </c>
    </row>
    <row r="856" spans="1:15" x14ac:dyDescent="0.25">
      <c r="A856" s="4" t="s">
        <v>15</v>
      </c>
      <c r="B856" s="4" t="str">
        <f>"FES1162750225"</f>
        <v>FES1162750225</v>
      </c>
      <c r="C856" s="4" t="s">
        <v>845</v>
      </c>
      <c r="D856" s="4">
        <v>1</v>
      </c>
      <c r="E856" s="4" t="str">
        <f>"2170740912"</f>
        <v>2170740912</v>
      </c>
      <c r="F856" s="4" t="s">
        <v>17</v>
      </c>
      <c r="G856" s="4" t="s">
        <v>18</v>
      </c>
      <c r="H856" s="4" t="s">
        <v>18</v>
      </c>
      <c r="I856" s="4" t="s">
        <v>219</v>
      </c>
      <c r="J856" s="4" t="s">
        <v>1048</v>
      </c>
      <c r="K856" s="4" t="s">
        <v>1015</v>
      </c>
      <c r="L856" s="5">
        <v>0.52083333333333337</v>
      </c>
      <c r="M856" s="4" t="s">
        <v>1129</v>
      </c>
      <c r="N856" s="6" t="s">
        <v>23</v>
      </c>
      <c r="O856" s="4" t="s">
        <v>24</v>
      </c>
    </row>
    <row r="857" spans="1:15" x14ac:dyDescent="0.25">
      <c r="A857" s="4" t="s">
        <v>15</v>
      </c>
      <c r="B857" s="4" t="str">
        <f>"FES1162750162"</f>
        <v>FES1162750162</v>
      </c>
      <c r="C857" s="4" t="s">
        <v>845</v>
      </c>
      <c r="D857" s="4">
        <v>1</v>
      </c>
      <c r="E857" s="4" t="str">
        <f>"2170740388"</f>
        <v>2170740388</v>
      </c>
      <c r="F857" s="4" t="s">
        <v>17</v>
      </c>
      <c r="G857" s="4" t="s">
        <v>18</v>
      </c>
      <c r="H857" s="4" t="s">
        <v>18</v>
      </c>
      <c r="I857" s="4" t="s">
        <v>97</v>
      </c>
      <c r="J857" s="4" t="s">
        <v>588</v>
      </c>
      <c r="K857" s="4" t="s">
        <v>1015</v>
      </c>
      <c r="L857" s="5">
        <v>0.35625000000000001</v>
      </c>
      <c r="M857" s="4" t="s">
        <v>1130</v>
      </c>
      <c r="N857" s="6" t="s">
        <v>23</v>
      </c>
      <c r="O857" s="4" t="s">
        <v>24</v>
      </c>
    </row>
    <row r="858" spans="1:15" x14ac:dyDescent="0.25">
      <c r="A858" s="4" t="s">
        <v>15</v>
      </c>
      <c r="B858" s="4" t="str">
        <f>"FES1162750279"</f>
        <v>FES1162750279</v>
      </c>
      <c r="C858" s="4" t="s">
        <v>845</v>
      </c>
      <c r="D858" s="4">
        <v>1</v>
      </c>
      <c r="E858" s="4" t="str">
        <f>"2170740528"</f>
        <v>2170740528</v>
      </c>
      <c r="F858" s="4" t="s">
        <v>17</v>
      </c>
      <c r="G858" s="4" t="s">
        <v>18</v>
      </c>
      <c r="H858" s="4" t="s">
        <v>48</v>
      </c>
      <c r="I858" s="4" t="s">
        <v>49</v>
      </c>
      <c r="J858" s="4" t="s">
        <v>100</v>
      </c>
      <c r="K858" s="4" t="s">
        <v>1015</v>
      </c>
      <c r="L858" s="5">
        <v>0.36319444444444443</v>
      </c>
      <c r="M858" s="4" t="s">
        <v>341</v>
      </c>
      <c r="N858" s="6" t="s">
        <v>23</v>
      </c>
      <c r="O858" s="4" t="s">
        <v>24</v>
      </c>
    </row>
    <row r="859" spans="1:15" x14ac:dyDescent="0.25">
      <c r="A859" s="4" t="s">
        <v>15</v>
      </c>
      <c r="B859" s="4" t="str">
        <f>"FES1162750221"</f>
        <v>FES1162750221</v>
      </c>
      <c r="C859" s="4" t="s">
        <v>845</v>
      </c>
      <c r="D859" s="4">
        <v>1</v>
      </c>
      <c r="E859" s="4" t="str">
        <f>"2170740103"</f>
        <v>2170740103</v>
      </c>
      <c r="F859" s="4" t="s">
        <v>17</v>
      </c>
      <c r="G859" s="4" t="s">
        <v>18</v>
      </c>
      <c r="H859" s="4" t="s">
        <v>18</v>
      </c>
      <c r="I859" s="4" t="s">
        <v>19</v>
      </c>
      <c r="J859" s="4" t="s">
        <v>1049</v>
      </c>
      <c r="K859" s="4" t="s">
        <v>1015</v>
      </c>
      <c r="L859" s="5">
        <v>0.33333333333333331</v>
      </c>
      <c r="M859" s="4" t="s">
        <v>170</v>
      </c>
      <c r="N859" s="6" t="s">
        <v>23</v>
      </c>
      <c r="O859" s="4" t="s">
        <v>24</v>
      </c>
    </row>
    <row r="860" spans="1:15" x14ac:dyDescent="0.25">
      <c r="A860" s="4" t="s">
        <v>15</v>
      </c>
      <c r="B860" s="4" t="str">
        <f>"FES1162750210"</f>
        <v>FES1162750210</v>
      </c>
      <c r="C860" s="4" t="s">
        <v>845</v>
      </c>
      <c r="D860" s="4">
        <v>2</v>
      </c>
      <c r="E860" s="4" t="str">
        <f>"2170739399"</f>
        <v>2170739399</v>
      </c>
      <c r="F860" s="4" t="s">
        <v>164</v>
      </c>
      <c r="G860" s="4" t="s">
        <v>18</v>
      </c>
      <c r="H860" s="4" t="s">
        <v>18</v>
      </c>
      <c r="I860" s="4" t="s">
        <v>29</v>
      </c>
      <c r="J860" s="4" t="s">
        <v>1050</v>
      </c>
      <c r="K860" s="4" t="s">
        <v>1015</v>
      </c>
      <c r="L860" s="5">
        <v>0.31944444444444448</v>
      </c>
      <c r="M860" s="4" t="s">
        <v>1131</v>
      </c>
      <c r="N860" s="6" t="s">
        <v>23</v>
      </c>
      <c r="O860" s="4" t="s">
        <v>166</v>
      </c>
    </row>
    <row r="861" spans="1:15" x14ac:dyDescent="0.25">
      <c r="A861" s="4" t="s">
        <v>15</v>
      </c>
      <c r="B861" s="4" t="str">
        <f>"FES1162750266"</f>
        <v>FES1162750266</v>
      </c>
      <c r="C861" s="4" t="s">
        <v>845</v>
      </c>
      <c r="D861" s="4">
        <v>1</v>
      </c>
      <c r="E861" s="4" t="str">
        <f>"2170740493"</f>
        <v>2170740493</v>
      </c>
      <c r="F861" s="4" t="s">
        <v>17</v>
      </c>
      <c r="G861" s="4" t="s">
        <v>18</v>
      </c>
      <c r="H861" s="4" t="s">
        <v>18</v>
      </c>
      <c r="I861" s="4" t="s">
        <v>311</v>
      </c>
      <c r="J861" s="4" t="s">
        <v>1051</v>
      </c>
      <c r="K861" s="4" t="s">
        <v>1015</v>
      </c>
      <c r="L861" s="5">
        <v>0.4291666666666667</v>
      </c>
      <c r="M861" s="4" t="s">
        <v>1132</v>
      </c>
      <c r="N861" s="6" t="s">
        <v>23</v>
      </c>
      <c r="O861" s="4" t="s">
        <v>24</v>
      </c>
    </row>
    <row r="862" spans="1:15" x14ac:dyDescent="0.25">
      <c r="A862" s="11" t="s">
        <v>15</v>
      </c>
      <c r="B862" s="11" t="str">
        <f>"FES1162750261"</f>
        <v>FES1162750261</v>
      </c>
      <c r="C862" s="11" t="s">
        <v>845</v>
      </c>
      <c r="D862" s="11">
        <v>1</v>
      </c>
      <c r="E862" s="11" t="str">
        <f>"2170740510"</f>
        <v>2170740510</v>
      </c>
      <c r="F862" s="11" t="s">
        <v>17</v>
      </c>
      <c r="G862" s="11" t="s">
        <v>18</v>
      </c>
      <c r="H862" s="11" t="s">
        <v>304</v>
      </c>
      <c r="I862" s="11" t="s">
        <v>1052</v>
      </c>
      <c r="J862" s="11" t="s">
        <v>554</v>
      </c>
      <c r="K862" s="11" t="s">
        <v>1015</v>
      </c>
      <c r="L862" s="12">
        <v>0.4291666666666667</v>
      </c>
      <c r="M862" s="11" t="s">
        <v>1427</v>
      </c>
      <c r="N862" s="13" t="s">
        <v>23</v>
      </c>
      <c r="O862" s="11" t="s">
        <v>24</v>
      </c>
    </row>
    <row r="863" spans="1:15" x14ac:dyDescent="0.25">
      <c r="A863" s="4" t="s">
        <v>15</v>
      </c>
      <c r="B863" s="4" t="str">
        <f>"FES1162750189"</f>
        <v>FES1162750189</v>
      </c>
      <c r="C863" s="4" t="s">
        <v>845</v>
      </c>
      <c r="D863" s="4">
        <v>1</v>
      </c>
      <c r="E863" s="4" t="str">
        <f>"2170470419"</f>
        <v>2170470419</v>
      </c>
      <c r="F863" s="4" t="s">
        <v>17</v>
      </c>
      <c r="G863" s="4" t="s">
        <v>18</v>
      </c>
      <c r="H863" s="4" t="s">
        <v>18</v>
      </c>
      <c r="I863" s="4" t="s">
        <v>29</v>
      </c>
      <c r="J863" s="4" t="s">
        <v>1053</v>
      </c>
      <c r="K863" s="4" t="s">
        <v>1015</v>
      </c>
      <c r="L863" s="5">
        <v>0.3576388888888889</v>
      </c>
      <c r="M863" s="4" t="s">
        <v>161</v>
      </c>
      <c r="N863" s="6" t="s">
        <v>23</v>
      </c>
      <c r="O863" s="4" t="s">
        <v>24</v>
      </c>
    </row>
    <row r="864" spans="1:15" x14ac:dyDescent="0.25">
      <c r="A864" s="4" t="s">
        <v>15</v>
      </c>
      <c r="B864" s="4" t="str">
        <f>"FES1162750159"</f>
        <v>FES1162750159</v>
      </c>
      <c r="C864" s="4" t="s">
        <v>845</v>
      </c>
      <c r="D864" s="4">
        <v>1</v>
      </c>
      <c r="E864" s="4" t="str">
        <f>"2170740233"</f>
        <v>2170740233</v>
      </c>
      <c r="F864" s="4" t="s">
        <v>17</v>
      </c>
      <c r="G864" s="4" t="s">
        <v>18</v>
      </c>
      <c r="H864" s="4" t="s">
        <v>18</v>
      </c>
      <c r="I864" s="4" t="s">
        <v>97</v>
      </c>
      <c r="J864" s="4" t="s">
        <v>632</v>
      </c>
      <c r="K864" s="4" t="s">
        <v>1015</v>
      </c>
      <c r="L864" s="5">
        <v>0.41805555555555557</v>
      </c>
      <c r="M864" s="4" t="s">
        <v>1133</v>
      </c>
      <c r="N864" s="6" t="s">
        <v>23</v>
      </c>
      <c r="O864" s="4" t="s">
        <v>24</v>
      </c>
    </row>
    <row r="865" spans="1:15" x14ac:dyDescent="0.25">
      <c r="A865" s="4" t="s">
        <v>15</v>
      </c>
      <c r="B865" s="4" t="str">
        <f>"FES1162750180"</f>
        <v>FES1162750180</v>
      </c>
      <c r="C865" s="4" t="s">
        <v>845</v>
      </c>
      <c r="D865" s="4">
        <v>1</v>
      </c>
      <c r="E865" s="4" t="str">
        <f>"2170740412"</f>
        <v>2170740412</v>
      </c>
      <c r="F865" s="4" t="s">
        <v>17</v>
      </c>
      <c r="G865" s="4" t="s">
        <v>18</v>
      </c>
      <c r="H865" s="4" t="s">
        <v>18</v>
      </c>
      <c r="I865" s="4" t="s">
        <v>97</v>
      </c>
      <c r="J865" s="4" t="s">
        <v>133</v>
      </c>
      <c r="K865" s="4" t="s">
        <v>1015</v>
      </c>
      <c r="L865" s="5">
        <v>0.37291666666666662</v>
      </c>
      <c r="M865" s="4" t="s">
        <v>816</v>
      </c>
      <c r="N865" s="6" t="s">
        <v>23</v>
      </c>
      <c r="O865" s="4" t="s">
        <v>24</v>
      </c>
    </row>
    <row r="866" spans="1:15" x14ac:dyDescent="0.25">
      <c r="A866" s="4" t="s">
        <v>15</v>
      </c>
      <c r="B866" s="4" t="str">
        <f>"FES1162750213"</f>
        <v>FES1162750213</v>
      </c>
      <c r="C866" s="4" t="s">
        <v>845</v>
      </c>
      <c r="D866" s="4">
        <v>1</v>
      </c>
      <c r="E866" s="4" t="str">
        <f>"2170739505"</f>
        <v>2170739505</v>
      </c>
      <c r="F866" s="4" t="s">
        <v>17</v>
      </c>
      <c r="G866" s="4" t="s">
        <v>18</v>
      </c>
      <c r="H866" s="4" t="s">
        <v>48</v>
      </c>
      <c r="I866" s="4" t="s">
        <v>49</v>
      </c>
      <c r="J866" s="4" t="s">
        <v>1054</v>
      </c>
      <c r="K866" s="4" t="s">
        <v>1015</v>
      </c>
      <c r="L866" s="5">
        <v>0.41666666666666669</v>
      </c>
      <c r="M866" s="4" t="s">
        <v>1134</v>
      </c>
      <c r="N866" s="6" t="s">
        <v>23</v>
      </c>
      <c r="O866" s="4" t="s">
        <v>24</v>
      </c>
    </row>
    <row r="867" spans="1:15" x14ac:dyDescent="0.25">
      <c r="A867" s="4" t="s">
        <v>15</v>
      </c>
      <c r="B867" s="4" t="str">
        <f>"FES1162750276"</f>
        <v>FES1162750276</v>
      </c>
      <c r="C867" s="4" t="s">
        <v>845</v>
      </c>
      <c r="D867" s="4">
        <v>1</v>
      </c>
      <c r="E867" s="4" t="str">
        <f>"2170740525"</f>
        <v>2170740525</v>
      </c>
      <c r="F867" s="4" t="s">
        <v>17</v>
      </c>
      <c r="G867" s="4" t="s">
        <v>18</v>
      </c>
      <c r="H867" s="4" t="s">
        <v>18</v>
      </c>
      <c r="I867" s="4" t="s">
        <v>147</v>
      </c>
      <c r="J867" s="4" t="s">
        <v>1055</v>
      </c>
      <c r="K867" s="4" t="s">
        <v>1015</v>
      </c>
      <c r="L867" s="5">
        <v>0.33333333333333331</v>
      </c>
      <c r="M867" s="4" t="s">
        <v>1135</v>
      </c>
      <c r="N867" s="6" t="s">
        <v>23</v>
      </c>
      <c r="O867" s="4" t="s">
        <v>24</v>
      </c>
    </row>
    <row r="868" spans="1:15" x14ac:dyDescent="0.25">
      <c r="A868" s="10" t="s">
        <v>15</v>
      </c>
      <c r="B868" s="10" t="str">
        <f>"FES1162750220"</f>
        <v>FES1162750220</v>
      </c>
      <c r="C868" s="10" t="s">
        <v>845</v>
      </c>
      <c r="D868" s="10">
        <v>1</v>
      </c>
      <c r="E868" s="10" t="str">
        <f>"2170740039"</f>
        <v>2170740039</v>
      </c>
      <c r="F868" s="10" t="s">
        <v>17</v>
      </c>
      <c r="G868" s="10" t="s">
        <v>18</v>
      </c>
      <c r="H868" s="10" t="s">
        <v>18</v>
      </c>
      <c r="I868" s="10" t="s">
        <v>29</v>
      </c>
      <c r="J868" s="10" t="s">
        <v>300</v>
      </c>
      <c r="K868" s="10" t="s">
        <v>43</v>
      </c>
      <c r="L868" s="10"/>
      <c r="M868" s="10" t="s">
        <v>44</v>
      </c>
      <c r="N868" s="10" t="s">
        <v>433</v>
      </c>
      <c r="O868" s="10" t="s">
        <v>433</v>
      </c>
    </row>
    <row r="869" spans="1:15" x14ac:dyDescent="0.25">
      <c r="A869" s="4" t="s">
        <v>15</v>
      </c>
      <c r="B869" s="4" t="str">
        <f>"FES1162750248"</f>
        <v>FES1162750248</v>
      </c>
      <c r="C869" s="4" t="s">
        <v>845</v>
      </c>
      <c r="D869" s="4">
        <v>1</v>
      </c>
      <c r="E869" s="4" t="str">
        <f>"2170740476"</f>
        <v>2170740476</v>
      </c>
      <c r="F869" s="4" t="s">
        <v>17</v>
      </c>
      <c r="G869" s="4" t="s">
        <v>18</v>
      </c>
      <c r="H869" s="4" t="s">
        <v>18</v>
      </c>
      <c r="I869" s="4" t="s">
        <v>19</v>
      </c>
      <c r="J869" s="4" t="s">
        <v>61</v>
      </c>
      <c r="K869" s="4" t="s">
        <v>1015</v>
      </c>
      <c r="L869" s="5">
        <v>0.375</v>
      </c>
      <c r="M869" s="4" t="s">
        <v>1136</v>
      </c>
      <c r="N869" s="6" t="s">
        <v>23</v>
      </c>
      <c r="O869" s="4" t="s">
        <v>24</v>
      </c>
    </row>
    <row r="870" spans="1:15" x14ac:dyDescent="0.25">
      <c r="A870" s="4" t="s">
        <v>15</v>
      </c>
      <c r="B870" s="4" t="str">
        <f>"FES1162750253"</f>
        <v>FES1162750253</v>
      </c>
      <c r="C870" s="4" t="s">
        <v>845</v>
      </c>
      <c r="D870" s="4">
        <v>1</v>
      </c>
      <c r="E870" s="4" t="str">
        <f>"2170740488"</f>
        <v>2170740488</v>
      </c>
      <c r="F870" s="4" t="s">
        <v>17</v>
      </c>
      <c r="G870" s="4" t="s">
        <v>18</v>
      </c>
      <c r="H870" s="4" t="s">
        <v>18</v>
      </c>
      <c r="I870" s="4" t="s">
        <v>309</v>
      </c>
      <c r="J870" s="4" t="s">
        <v>1056</v>
      </c>
      <c r="K870" s="4" t="s">
        <v>1015</v>
      </c>
      <c r="L870" s="5">
        <v>0.33333333333333331</v>
      </c>
      <c r="M870" s="4" t="s">
        <v>1137</v>
      </c>
      <c r="N870" s="6" t="s">
        <v>23</v>
      </c>
      <c r="O870" s="4" t="s">
        <v>24</v>
      </c>
    </row>
    <row r="871" spans="1:15" x14ac:dyDescent="0.25">
      <c r="A871" s="4" t="s">
        <v>15</v>
      </c>
      <c r="B871" s="4" t="str">
        <f>"FES1162750262"</f>
        <v>FES1162750262</v>
      </c>
      <c r="C871" s="4" t="s">
        <v>845</v>
      </c>
      <c r="D871" s="4">
        <v>1</v>
      </c>
      <c r="E871" s="4" t="str">
        <f>"2170740490"</f>
        <v>2170740490</v>
      </c>
      <c r="F871" s="4" t="s">
        <v>17</v>
      </c>
      <c r="G871" s="4" t="s">
        <v>18</v>
      </c>
      <c r="H871" s="4" t="s">
        <v>18</v>
      </c>
      <c r="I871" s="4" t="s">
        <v>126</v>
      </c>
      <c r="J871" s="4" t="s">
        <v>581</v>
      </c>
      <c r="K871" s="4" t="s">
        <v>1015</v>
      </c>
      <c r="L871" s="5">
        <v>0.375</v>
      </c>
      <c r="M871" s="4" t="s">
        <v>1138</v>
      </c>
      <c r="N871" s="6" t="s">
        <v>23</v>
      </c>
      <c r="O871" s="4" t="s">
        <v>24</v>
      </c>
    </row>
    <row r="872" spans="1:15" x14ac:dyDescent="0.25">
      <c r="A872" s="4" t="s">
        <v>15</v>
      </c>
      <c r="B872" s="4" t="str">
        <f>"FES1162750215"</f>
        <v>FES1162750215</v>
      </c>
      <c r="C872" s="4" t="s">
        <v>845</v>
      </c>
      <c r="D872" s="4">
        <v>1</v>
      </c>
      <c r="E872" s="4" t="str">
        <f>"2170739723"</f>
        <v>2170739723</v>
      </c>
      <c r="F872" s="4" t="s">
        <v>17</v>
      </c>
      <c r="G872" s="4" t="s">
        <v>18</v>
      </c>
      <c r="H872" s="4" t="s">
        <v>18</v>
      </c>
      <c r="I872" s="4" t="s">
        <v>19</v>
      </c>
      <c r="J872" s="4" t="s">
        <v>1057</v>
      </c>
      <c r="K872" s="4" t="s">
        <v>1015</v>
      </c>
      <c r="L872" s="5">
        <v>0.375</v>
      </c>
      <c r="M872" s="4" t="s">
        <v>723</v>
      </c>
      <c r="N872" s="6" t="s">
        <v>23</v>
      </c>
      <c r="O872" s="4" t="s">
        <v>24</v>
      </c>
    </row>
    <row r="873" spans="1:15" x14ac:dyDescent="0.25">
      <c r="A873" s="4" t="s">
        <v>15</v>
      </c>
      <c r="B873" s="4" t="str">
        <f>"FES1162750251"</f>
        <v>FES1162750251</v>
      </c>
      <c r="C873" s="4" t="s">
        <v>845</v>
      </c>
      <c r="D873" s="4">
        <v>1</v>
      </c>
      <c r="E873" s="4" t="str">
        <f>"2170740848"</f>
        <v>2170740848</v>
      </c>
      <c r="F873" s="4" t="s">
        <v>17</v>
      </c>
      <c r="G873" s="4" t="s">
        <v>18</v>
      </c>
      <c r="H873" s="4" t="s">
        <v>18</v>
      </c>
      <c r="I873" s="4" t="s">
        <v>97</v>
      </c>
      <c r="J873" s="4" t="s">
        <v>612</v>
      </c>
      <c r="K873" s="4" t="s">
        <v>1015</v>
      </c>
      <c r="L873" s="5">
        <v>0.3527777777777778</v>
      </c>
      <c r="M873" s="4" t="s">
        <v>726</v>
      </c>
      <c r="N873" s="6" t="s">
        <v>23</v>
      </c>
      <c r="O873" s="4" t="s">
        <v>24</v>
      </c>
    </row>
    <row r="874" spans="1:15" x14ac:dyDescent="0.25">
      <c r="A874" s="10" t="s">
        <v>15</v>
      </c>
      <c r="B874" s="10" t="str">
        <f>"FES1162750218"</f>
        <v>FES1162750218</v>
      </c>
      <c r="C874" s="10" t="s">
        <v>845</v>
      </c>
      <c r="D874" s="10">
        <v>1</v>
      </c>
      <c r="E874" s="10" t="str">
        <f>"2170740036"</f>
        <v>2170740036</v>
      </c>
      <c r="F874" s="10" t="s">
        <v>17</v>
      </c>
      <c r="G874" s="10" t="s">
        <v>18</v>
      </c>
      <c r="H874" s="10" t="s">
        <v>18</v>
      </c>
      <c r="I874" s="10" t="s">
        <v>29</v>
      </c>
      <c r="J874" s="10" t="s">
        <v>300</v>
      </c>
      <c r="K874" s="10" t="s">
        <v>43</v>
      </c>
      <c r="L874" s="10"/>
      <c r="M874" s="10" t="s">
        <v>44</v>
      </c>
      <c r="N874" s="10" t="s">
        <v>433</v>
      </c>
      <c r="O874" s="10" t="s">
        <v>433</v>
      </c>
    </row>
    <row r="875" spans="1:15" x14ac:dyDescent="0.25">
      <c r="A875" s="4" t="s">
        <v>15</v>
      </c>
      <c r="B875" s="4" t="str">
        <f>"FES1162750217"</f>
        <v>FES1162750217</v>
      </c>
      <c r="C875" s="4" t="s">
        <v>845</v>
      </c>
      <c r="D875" s="4">
        <v>1</v>
      </c>
      <c r="E875" s="4" t="str">
        <f>"2170739945"</f>
        <v>2170739945</v>
      </c>
      <c r="F875" s="4" t="s">
        <v>17</v>
      </c>
      <c r="G875" s="4" t="s">
        <v>18</v>
      </c>
      <c r="H875" s="4" t="s">
        <v>18</v>
      </c>
      <c r="I875" s="4" t="s">
        <v>309</v>
      </c>
      <c r="J875" s="4" t="s">
        <v>1040</v>
      </c>
      <c r="K875" s="4" t="s">
        <v>1015</v>
      </c>
      <c r="L875" s="5">
        <v>0.33333333333333331</v>
      </c>
      <c r="M875" s="4" t="s">
        <v>1041</v>
      </c>
      <c r="N875" s="6" t="s">
        <v>23</v>
      </c>
      <c r="O875" s="4" t="s">
        <v>24</v>
      </c>
    </row>
    <row r="876" spans="1:15" x14ac:dyDescent="0.25">
      <c r="A876" s="4" t="s">
        <v>15</v>
      </c>
      <c r="B876" s="4" t="str">
        <f>"FES1162750283"</f>
        <v>FES1162750283</v>
      </c>
      <c r="C876" s="4" t="s">
        <v>845</v>
      </c>
      <c r="D876" s="4">
        <v>1</v>
      </c>
      <c r="E876" s="4" t="str">
        <f>"2170740530"</f>
        <v>2170740530</v>
      </c>
      <c r="F876" s="4" t="s">
        <v>17</v>
      </c>
      <c r="G876" s="4" t="s">
        <v>18</v>
      </c>
      <c r="H876" s="4" t="s">
        <v>18</v>
      </c>
      <c r="I876" s="4" t="s">
        <v>19</v>
      </c>
      <c r="J876" s="4" t="s">
        <v>1058</v>
      </c>
      <c r="K876" s="4" t="s">
        <v>1015</v>
      </c>
      <c r="L876" s="5">
        <v>0.34027777777777773</v>
      </c>
      <c r="M876" s="4" t="s">
        <v>1059</v>
      </c>
      <c r="N876" s="6" t="s">
        <v>23</v>
      </c>
      <c r="O876" s="4" t="s">
        <v>24</v>
      </c>
    </row>
    <row r="877" spans="1:15" x14ac:dyDescent="0.25">
      <c r="A877" s="4" t="s">
        <v>15</v>
      </c>
      <c r="B877" s="4" t="str">
        <f>"FES1162750236"</f>
        <v>FES1162750236</v>
      </c>
      <c r="C877" s="4" t="s">
        <v>845</v>
      </c>
      <c r="D877" s="4">
        <v>1</v>
      </c>
      <c r="E877" s="4" t="str">
        <f>"2170740445"</f>
        <v>2170740445</v>
      </c>
      <c r="F877" s="4" t="s">
        <v>17</v>
      </c>
      <c r="G877" s="4" t="s">
        <v>18</v>
      </c>
      <c r="H877" s="4" t="s">
        <v>25</v>
      </c>
      <c r="I877" s="4" t="s">
        <v>26</v>
      </c>
      <c r="J877" s="4" t="s">
        <v>286</v>
      </c>
      <c r="K877" s="4" t="s">
        <v>1015</v>
      </c>
      <c r="L877" s="5">
        <v>0.37152777777777773</v>
      </c>
      <c r="M877" s="4" t="s">
        <v>1060</v>
      </c>
      <c r="N877" s="6" t="s">
        <v>23</v>
      </c>
      <c r="O877" s="4" t="s">
        <v>24</v>
      </c>
    </row>
    <row r="878" spans="1:15" x14ac:dyDescent="0.25">
      <c r="A878" s="4" t="s">
        <v>15</v>
      </c>
      <c r="B878" s="4" t="str">
        <f>"FES1162750258"</f>
        <v>FES1162750258</v>
      </c>
      <c r="C878" s="4" t="s">
        <v>845</v>
      </c>
      <c r="D878" s="4">
        <v>1</v>
      </c>
      <c r="E878" s="4" t="str">
        <f>"2170740502"</f>
        <v>2170740502</v>
      </c>
      <c r="F878" s="4" t="s">
        <v>17</v>
      </c>
      <c r="G878" s="4" t="s">
        <v>18</v>
      </c>
      <c r="H878" s="4" t="s">
        <v>32</v>
      </c>
      <c r="I878" s="4" t="s">
        <v>33</v>
      </c>
      <c r="J878" s="4" t="s">
        <v>1061</v>
      </c>
      <c r="K878" s="4" t="s">
        <v>1015</v>
      </c>
      <c r="L878" s="5">
        <v>0.42708333333333331</v>
      </c>
      <c r="M878" s="4" t="s">
        <v>1139</v>
      </c>
      <c r="N878" s="6" t="s">
        <v>23</v>
      </c>
      <c r="O878" s="4" t="s">
        <v>24</v>
      </c>
    </row>
    <row r="879" spans="1:15" x14ac:dyDescent="0.25">
      <c r="A879" s="4" t="s">
        <v>15</v>
      </c>
      <c r="B879" s="4" t="str">
        <f>"FES1162750259"</f>
        <v>FES1162750259</v>
      </c>
      <c r="C879" s="4" t="s">
        <v>845</v>
      </c>
      <c r="D879" s="4">
        <v>1</v>
      </c>
      <c r="E879" s="4" t="str">
        <f>"2170740504"</f>
        <v>2170740504</v>
      </c>
      <c r="F879" s="4" t="s">
        <v>17</v>
      </c>
      <c r="G879" s="4" t="s">
        <v>18</v>
      </c>
      <c r="H879" s="4" t="s">
        <v>40</v>
      </c>
      <c r="I879" s="4" t="s">
        <v>41</v>
      </c>
      <c r="J879" s="4" t="s">
        <v>1035</v>
      </c>
      <c r="K879" s="4" t="s">
        <v>1015</v>
      </c>
      <c r="L879" s="5">
        <v>0.43611111111111112</v>
      </c>
      <c r="M879" s="4" t="s">
        <v>1118</v>
      </c>
      <c r="N879" s="6" t="s">
        <v>23</v>
      </c>
      <c r="O879" s="4" t="s">
        <v>24</v>
      </c>
    </row>
    <row r="880" spans="1:15" x14ac:dyDescent="0.25">
      <c r="A880" s="4" t="s">
        <v>15</v>
      </c>
      <c r="B880" s="4" t="str">
        <f>"FES1162750247"</f>
        <v>FES1162750247</v>
      </c>
      <c r="C880" s="4" t="s">
        <v>845</v>
      </c>
      <c r="D880" s="4">
        <v>1</v>
      </c>
      <c r="E880" s="4" t="str">
        <f>"2170740474"</f>
        <v>2170740474</v>
      </c>
      <c r="F880" s="4" t="s">
        <v>17</v>
      </c>
      <c r="G880" s="4" t="s">
        <v>18</v>
      </c>
      <c r="H880" s="4" t="s">
        <v>178</v>
      </c>
      <c r="I880" s="4" t="s">
        <v>900</v>
      </c>
      <c r="J880" s="4" t="s">
        <v>899</v>
      </c>
      <c r="K880" s="4" t="s">
        <v>1015</v>
      </c>
      <c r="L880" s="5">
        <v>0.39583333333333331</v>
      </c>
      <c r="M880" s="4" t="s">
        <v>978</v>
      </c>
      <c r="N880" s="6" t="s">
        <v>23</v>
      </c>
      <c r="O880" s="4" t="s">
        <v>24</v>
      </c>
    </row>
    <row r="881" spans="1:15" x14ac:dyDescent="0.25">
      <c r="A881" s="4" t="s">
        <v>15</v>
      </c>
      <c r="B881" s="4" t="str">
        <f>"FES1162750231"</f>
        <v>FES1162750231</v>
      </c>
      <c r="C881" s="4" t="s">
        <v>845</v>
      </c>
      <c r="D881" s="4">
        <v>1</v>
      </c>
      <c r="E881" s="4" t="str">
        <f>"2170740436"</f>
        <v>2170740436</v>
      </c>
      <c r="F881" s="4" t="s">
        <v>17</v>
      </c>
      <c r="G881" s="4" t="s">
        <v>18</v>
      </c>
      <c r="H881" s="4" t="s">
        <v>85</v>
      </c>
      <c r="I881" s="4" t="s">
        <v>144</v>
      </c>
      <c r="J881" s="4" t="s">
        <v>361</v>
      </c>
      <c r="K881" s="4" t="s">
        <v>1015</v>
      </c>
      <c r="L881" s="5">
        <v>0.41875000000000001</v>
      </c>
      <c r="M881" s="4" t="s">
        <v>1140</v>
      </c>
      <c r="N881" s="6" t="s">
        <v>23</v>
      </c>
      <c r="O881" s="4" t="s">
        <v>24</v>
      </c>
    </row>
    <row r="882" spans="1:15" x14ac:dyDescent="0.25">
      <c r="A882" s="4" t="s">
        <v>15</v>
      </c>
      <c r="B882" s="4" t="str">
        <f>"FES1162750260"</f>
        <v>FES1162750260</v>
      </c>
      <c r="C882" s="4" t="s">
        <v>845</v>
      </c>
      <c r="D882" s="4">
        <v>1</v>
      </c>
      <c r="E882" s="4" t="str">
        <f>"2170740509"</f>
        <v>2170740509</v>
      </c>
      <c r="F882" s="4" t="s">
        <v>17</v>
      </c>
      <c r="G882" s="4" t="s">
        <v>18</v>
      </c>
      <c r="H882" s="4" t="s">
        <v>40</v>
      </c>
      <c r="I882" s="4" t="s">
        <v>870</v>
      </c>
      <c r="J882" s="4" t="s">
        <v>1062</v>
      </c>
      <c r="K882" s="4" t="s">
        <v>1015</v>
      </c>
      <c r="L882" s="5">
        <v>0.52361111111111114</v>
      </c>
      <c r="M882" s="4" t="s">
        <v>1141</v>
      </c>
      <c r="N882" s="6" t="s">
        <v>23</v>
      </c>
      <c r="O882" s="4" t="s">
        <v>24</v>
      </c>
    </row>
    <row r="883" spans="1:15" x14ac:dyDescent="0.25">
      <c r="A883" s="4" t="s">
        <v>15</v>
      </c>
      <c r="B883" s="4" t="str">
        <f>"FES1162750275"</f>
        <v>FES1162750275</v>
      </c>
      <c r="C883" s="4" t="s">
        <v>845</v>
      </c>
      <c r="D883" s="4">
        <v>1</v>
      </c>
      <c r="E883" s="4" t="str">
        <f>"2170740523"</f>
        <v>2170740523</v>
      </c>
      <c r="F883" s="4" t="s">
        <v>17</v>
      </c>
      <c r="G883" s="4" t="s">
        <v>18</v>
      </c>
      <c r="H883" s="4" t="s">
        <v>85</v>
      </c>
      <c r="I883" s="4" t="s">
        <v>144</v>
      </c>
      <c r="J883" s="4" t="s">
        <v>407</v>
      </c>
      <c r="K883" s="4" t="s">
        <v>1015</v>
      </c>
      <c r="L883" s="5">
        <v>0.66666666666666663</v>
      </c>
      <c r="M883" s="4" t="s">
        <v>1012</v>
      </c>
      <c r="N883" s="6" t="s">
        <v>23</v>
      </c>
      <c r="O883" s="4" t="s">
        <v>24</v>
      </c>
    </row>
    <row r="884" spans="1:15" x14ac:dyDescent="0.25">
      <c r="A884" s="4" t="s">
        <v>15</v>
      </c>
      <c r="B884" s="4" t="str">
        <f>"FES1162750216"</f>
        <v>FES1162750216</v>
      </c>
      <c r="C884" s="4" t="s">
        <v>845</v>
      </c>
      <c r="D884" s="4">
        <v>1</v>
      </c>
      <c r="E884" s="4" t="str">
        <f>"2170739944"</f>
        <v>2170739944</v>
      </c>
      <c r="F884" s="4" t="s">
        <v>17</v>
      </c>
      <c r="G884" s="4" t="s">
        <v>18</v>
      </c>
      <c r="H884" s="4" t="s">
        <v>85</v>
      </c>
      <c r="I884" s="4" t="s">
        <v>152</v>
      </c>
      <c r="J884" s="4" t="s">
        <v>1063</v>
      </c>
      <c r="K884" s="4" t="s">
        <v>1015</v>
      </c>
      <c r="L884" s="5">
        <v>0.39652777777777781</v>
      </c>
      <c r="M884" s="4" t="s">
        <v>1142</v>
      </c>
      <c r="N884" s="6" t="s">
        <v>23</v>
      </c>
      <c r="O884" s="4" t="s">
        <v>24</v>
      </c>
    </row>
    <row r="885" spans="1:15" x14ac:dyDescent="0.25">
      <c r="A885" s="4" t="s">
        <v>15</v>
      </c>
      <c r="B885" s="4" t="str">
        <f>"FES1162750278"</f>
        <v>FES1162750278</v>
      </c>
      <c r="C885" s="4" t="s">
        <v>845</v>
      </c>
      <c r="D885" s="4">
        <v>1</v>
      </c>
      <c r="E885" s="4" t="str">
        <f>"2170740527"</f>
        <v>2170740527</v>
      </c>
      <c r="F885" s="4" t="s">
        <v>17</v>
      </c>
      <c r="G885" s="4" t="s">
        <v>18</v>
      </c>
      <c r="H885" s="4" t="s">
        <v>85</v>
      </c>
      <c r="I885" s="4" t="s">
        <v>144</v>
      </c>
      <c r="J885" s="4" t="s">
        <v>407</v>
      </c>
      <c r="K885" s="4" t="s">
        <v>1015</v>
      </c>
      <c r="L885" s="5">
        <v>0.6694444444444444</v>
      </c>
      <c r="M885" s="4" t="s">
        <v>1012</v>
      </c>
      <c r="N885" s="6" t="s">
        <v>23</v>
      </c>
      <c r="O885" s="4" t="s">
        <v>24</v>
      </c>
    </row>
    <row r="886" spans="1:15" x14ac:dyDescent="0.25">
      <c r="A886" s="4" t="s">
        <v>15</v>
      </c>
      <c r="B886" s="4" t="str">
        <f>"FES1162750229"</f>
        <v>FES1162750229</v>
      </c>
      <c r="C886" s="4" t="s">
        <v>845</v>
      </c>
      <c r="D886" s="4">
        <v>1</v>
      </c>
      <c r="E886" s="4" t="str">
        <f>"2170740429"</f>
        <v>2170740429</v>
      </c>
      <c r="F886" s="4" t="s">
        <v>17</v>
      </c>
      <c r="G886" s="4" t="s">
        <v>18</v>
      </c>
      <c r="H886" s="4" t="s">
        <v>85</v>
      </c>
      <c r="I886" s="4" t="s">
        <v>144</v>
      </c>
      <c r="J886" s="4" t="s">
        <v>216</v>
      </c>
      <c r="K886" s="4" t="s">
        <v>1015</v>
      </c>
      <c r="L886" s="5">
        <v>0.3972222222222222</v>
      </c>
      <c r="M886" s="4" t="s">
        <v>1143</v>
      </c>
      <c r="N886" s="6" t="s">
        <v>23</v>
      </c>
      <c r="O886" s="4" t="s">
        <v>24</v>
      </c>
    </row>
    <row r="887" spans="1:15" x14ac:dyDescent="0.25">
      <c r="A887" s="4" t="s">
        <v>15</v>
      </c>
      <c r="B887" s="4" t="str">
        <f>"FES1162750222"</f>
        <v>FES1162750222</v>
      </c>
      <c r="C887" s="4" t="s">
        <v>845</v>
      </c>
      <c r="D887" s="4">
        <v>1</v>
      </c>
      <c r="E887" s="4" t="str">
        <f>"2170740150"</f>
        <v>2170740150</v>
      </c>
      <c r="F887" s="4" t="s">
        <v>17</v>
      </c>
      <c r="G887" s="4" t="s">
        <v>18</v>
      </c>
      <c r="H887" s="4" t="s">
        <v>85</v>
      </c>
      <c r="I887" s="4" t="s">
        <v>362</v>
      </c>
      <c r="J887" s="4" t="s">
        <v>1043</v>
      </c>
      <c r="K887" s="4" t="s">
        <v>1015</v>
      </c>
      <c r="L887" s="5">
        <v>0.41250000000000003</v>
      </c>
      <c r="M887" s="4" t="s">
        <v>1126</v>
      </c>
      <c r="N887" s="6" t="s">
        <v>23</v>
      </c>
      <c r="O887" s="4" t="s">
        <v>24</v>
      </c>
    </row>
    <row r="888" spans="1:15" x14ac:dyDescent="0.25">
      <c r="A888" s="4" t="s">
        <v>15</v>
      </c>
      <c r="B888" s="4" t="str">
        <f>"FES1162750287"</f>
        <v>FES1162750287</v>
      </c>
      <c r="C888" s="4" t="s">
        <v>845</v>
      </c>
      <c r="D888" s="4">
        <v>1</v>
      </c>
      <c r="E888" s="4" t="str">
        <f>"2170740536"</f>
        <v>2170740536</v>
      </c>
      <c r="F888" s="4" t="s">
        <v>17</v>
      </c>
      <c r="G888" s="4" t="s">
        <v>18</v>
      </c>
      <c r="H888" s="4" t="s">
        <v>85</v>
      </c>
      <c r="I888" s="4" t="s">
        <v>207</v>
      </c>
      <c r="J888" s="4" t="s">
        <v>1064</v>
      </c>
      <c r="K888" s="4" t="s">
        <v>1015</v>
      </c>
      <c r="L888" s="5">
        <v>0.42222222222222222</v>
      </c>
      <c r="M888" s="4" t="s">
        <v>1144</v>
      </c>
      <c r="N888" s="6" t="s">
        <v>23</v>
      </c>
      <c r="O888" s="4" t="s">
        <v>24</v>
      </c>
    </row>
    <row r="889" spans="1:15" x14ac:dyDescent="0.25">
      <c r="A889" s="4" t="s">
        <v>15</v>
      </c>
      <c r="B889" s="4" t="str">
        <f>"FES1162750267"</f>
        <v>FES1162750267</v>
      </c>
      <c r="C889" s="4" t="s">
        <v>845</v>
      </c>
      <c r="D889" s="4">
        <v>1</v>
      </c>
      <c r="E889" s="4" t="str">
        <f>"2170740506"</f>
        <v>2170740506</v>
      </c>
      <c r="F889" s="4" t="s">
        <v>17</v>
      </c>
      <c r="G889" s="4" t="s">
        <v>18</v>
      </c>
      <c r="H889" s="4" t="s">
        <v>85</v>
      </c>
      <c r="I889" s="4" t="s">
        <v>207</v>
      </c>
      <c r="J889" s="4" t="s">
        <v>400</v>
      </c>
      <c r="K889" s="4" t="s">
        <v>1015</v>
      </c>
      <c r="L889" s="5">
        <v>0.41875000000000001</v>
      </c>
      <c r="M889" s="4" t="s">
        <v>1145</v>
      </c>
      <c r="N889" s="6" t="s">
        <v>23</v>
      </c>
      <c r="O889" s="4" t="s">
        <v>24</v>
      </c>
    </row>
    <row r="890" spans="1:15" x14ac:dyDescent="0.25">
      <c r="A890" s="4" t="s">
        <v>15</v>
      </c>
      <c r="B890" s="4" t="str">
        <f>"FES1162750282"</f>
        <v>FES1162750282</v>
      </c>
      <c r="C890" s="4" t="s">
        <v>845</v>
      </c>
      <c r="D890" s="4">
        <v>1</v>
      </c>
      <c r="E890" s="4" t="str">
        <f>"2170740521"</f>
        <v>2170740521</v>
      </c>
      <c r="F890" s="4" t="s">
        <v>17</v>
      </c>
      <c r="G890" s="4" t="s">
        <v>18</v>
      </c>
      <c r="H890" s="4" t="s">
        <v>85</v>
      </c>
      <c r="I890" s="4" t="s">
        <v>207</v>
      </c>
      <c r="J890" s="4" t="s">
        <v>406</v>
      </c>
      <c r="K890" s="4" t="s">
        <v>1015</v>
      </c>
      <c r="L890" s="5">
        <v>0.38263888888888892</v>
      </c>
      <c r="M890" s="4" t="s">
        <v>544</v>
      </c>
      <c r="N890" s="6" t="s">
        <v>23</v>
      </c>
      <c r="O890" s="4" t="s">
        <v>24</v>
      </c>
    </row>
    <row r="891" spans="1:15" x14ac:dyDescent="0.25">
      <c r="A891" s="4" t="s">
        <v>15</v>
      </c>
      <c r="B891" s="4" t="str">
        <f>"FES1162750113"</f>
        <v>FES1162750113</v>
      </c>
      <c r="C891" s="4" t="s">
        <v>845</v>
      </c>
      <c r="D891" s="4">
        <v>1</v>
      </c>
      <c r="E891" s="4" t="str">
        <f>"2170739557"</f>
        <v>2170739557</v>
      </c>
      <c r="F891" s="4" t="s">
        <v>17</v>
      </c>
      <c r="G891" s="4" t="s">
        <v>18</v>
      </c>
      <c r="H891" s="4" t="s">
        <v>52</v>
      </c>
      <c r="I891" s="4" t="s">
        <v>53</v>
      </c>
      <c r="J891" s="4" t="s">
        <v>592</v>
      </c>
      <c r="K891" s="4" t="s">
        <v>1015</v>
      </c>
      <c r="L891" s="5">
        <v>0.51041666666666663</v>
      </c>
      <c r="M891" s="4" t="s">
        <v>697</v>
      </c>
      <c r="N891" s="6" t="s">
        <v>23</v>
      </c>
      <c r="O891" s="4" t="s">
        <v>24</v>
      </c>
    </row>
    <row r="892" spans="1:15" x14ac:dyDescent="0.25">
      <c r="A892" s="4" t="s">
        <v>15</v>
      </c>
      <c r="B892" s="4" t="str">
        <f>"FES1162750024"</f>
        <v>FES1162750024</v>
      </c>
      <c r="C892" s="4" t="s">
        <v>845</v>
      </c>
      <c r="D892" s="4">
        <v>1</v>
      </c>
      <c r="E892" s="4" t="str">
        <f>"2170737587"</f>
        <v>2170737587</v>
      </c>
      <c r="F892" s="4" t="s">
        <v>17</v>
      </c>
      <c r="G892" s="4" t="s">
        <v>18</v>
      </c>
      <c r="H892" s="4" t="s">
        <v>25</v>
      </c>
      <c r="I892" s="4" t="s">
        <v>26</v>
      </c>
      <c r="J892" s="4" t="s">
        <v>411</v>
      </c>
      <c r="K892" s="4" t="s">
        <v>1015</v>
      </c>
      <c r="L892" s="5">
        <v>0.44305555555555554</v>
      </c>
      <c r="M892" s="4" t="s">
        <v>1146</v>
      </c>
      <c r="N892" s="6" t="s">
        <v>23</v>
      </c>
      <c r="O892" s="4" t="s">
        <v>24</v>
      </c>
    </row>
    <row r="893" spans="1:15" x14ac:dyDescent="0.25">
      <c r="A893" s="4" t="s">
        <v>15</v>
      </c>
      <c r="B893" s="4" t="str">
        <f>"FES1162750127"</f>
        <v>FES1162750127</v>
      </c>
      <c r="C893" s="4" t="s">
        <v>845</v>
      </c>
      <c r="D893" s="4">
        <v>1</v>
      </c>
      <c r="E893" s="4" t="str">
        <f>"21707331405"</f>
        <v>21707331405</v>
      </c>
      <c r="F893" s="4" t="s">
        <v>17</v>
      </c>
      <c r="G893" s="4" t="s">
        <v>18</v>
      </c>
      <c r="H893" s="4" t="s">
        <v>25</v>
      </c>
      <c r="I893" s="4" t="s">
        <v>26</v>
      </c>
      <c r="J893" s="4" t="s">
        <v>763</v>
      </c>
      <c r="K893" s="4" t="s">
        <v>1015</v>
      </c>
      <c r="L893" s="5">
        <v>0.41180555555555554</v>
      </c>
      <c r="M893" s="4" t="s">
        <v>1147</v>
      </c>
      <c r="N893" s="6" t="s">
        <v>23</v>
      </c>
      <c r="O893" s="4" t="s">
        <v>24</v>
      </c>
    </row>
    <row r="894" spans="1:15" x14ac:dyDescent="0.25">
      <c r="A894" s="4" t="s">
        <v>15</v>
      </c>
      <c r="B894" s="4" t="str">
        <f>"FES1162750264"</f>
        <v>FES1162750264</v>
      </c>
      <c r="C894" s="4" t="s">
        <v>845</v>
      </c>
      <c r="D894" s="4">
        <v>1</v>
      </c>
      <c r="E894" s="4" t="str">
        <f>"2170740513"</f>
        <v>2170740513</v>
      </c>
      <c r="F894" s="4" t="s">
        <v>17</v>
      </c>
      <c r="G894" s="4" t="s">
        <v>18</v>
      </c>
      <c r="H894" s="4" t="s">
        <v>48</v>
      </c>
      <c r="I894" s="4" t="s">
        <v>110</v>
      </c>
      <c r="J894" s="4" t="s">
        <v>276</v>
      </c>
      <c r="K894" s="4" t="s">
        <v>1015</v>
      </c>
      <c r="L894" s="5">
        <v>0.41180555555555554</v>
      </c>
      <c r="M894" s="4" t="s">
        <v>1258</v>
      </c>
      <c r="N894" s="6" t="s">
        <v>23</v>
      </c>
      <c r="O894" s="4" t="s">
        <v>24</v>
      </c>
    </row>
    <row r="895" spans="1:15" x14ac:dyDescent="0.25">
      <c r="A895" s="11" t="s">
        <v>15</v>
      </c>
      <c r="B895" s="11" t="str">
        <f>"FES1162750246"</f>
        <v>FES1162750246</v>
      </c>
      <c r="C895" s="11" t="s">
        <v>845</v>
      </c>
      <c r="D895" s="11">
        <v>1</v>
      </c>
      <c r="E895" s="11" t="str">
        <f>"2170740470"</f>
        <v>2170740470</v>
      </c>
      <c r="F895" s="11" t="s">
        <v>17</v>
      </c>
      <c r="G895" s="11" t="s">
        <v>18</v>
      </c>
      <c r="H895" s="11" t="s">
        <v>25</v>
      </c>
      <c r="I895" s="11" t="s">
        <v>26</v>
      </c>
      <c r="J895" s="11" t="s">
        <v>1065</v>
      </c>
      <c r="K895" s="11" t="s">
        <v>1015</v>
      </c>
      <c r="L895" s="12">
        <v>0.41180555555555554</v>
      </c>
      <c r="M895" s="11" t="s">
        <v>1637</v>
      </c>
      <c r="N895" s="13" t="s">
        <v>23</v>
      </c>
      <c r="O895" s="11" t="s">
        <v>24</v>
      </c>
    </row>
    <row r="896" spans="1:15" x14ac:dyDescent="0.25">
      <c r="A896" s="4" t="s">
        <v>15</v>
      </c>
      <c r="B896" s="4" t="str">
        <f>"FES1162750263"</f>
        <v>FES1162750263</v>
      </c>
      <c r="C896" s="4" t="s">
        <v>845</v>
      </c>
      <c r="D896" s="4">
        <v>1</v>
      </c>
      <c r="E896" s="4" t="str">
        <f>"2170740507"</f>
        <v>2170740507</v>
      </c>
      <c r="F896" s="4" t="s">
        <v>17</v>
      </c>
      <c r="G896" s="4" t="s">
        <v>18</v>
      </c>
      <c r="H896" s="4" t="s">
        <v>48</v>
      </c>
      <c r="I896" s="4" t="s">
        <v>49</v>
      </c>
      <c r="J896" s="4" t="s">
        <v>322</v>
      </c>
      <c r="K896" s="4" t="s">
        <v>1015</v>
      </c>
      <c r="L896" s="5">
        <v>0.30138888888888887</v>
      </c>
      <c r="M896" s="4" t="s">
        <v>583</v>
      </c>
      <c r="N896" s="6" t="s">
        <v>23</v>
      </c>
      <c r="O896" s="4" t="s">
        <v>24</v>
      </c>
    </row>
    <row r="897" spans="1:15" x14ac:dyDescent="0.25">
      <c r="A897" s="4" t="s">
        <v>15</v>
      </c>
      <c r="B897" s="4" t="str">
        <f>"FES1162750265"</f>
        <v>FES1162750265</v>
      </c>
      <c r="C897" s="4" t="s">
        <v>845</v>
      </c>
      <c r="D897" s="4">
        <v>1</v>
      </c>
      <c r="E897" s="4" t="str">
        <f>"2170740487"</f>
        <v>2170740487</v>
      </c>
      <c r="F897" s="4" t="s">
        <v>17</v>
      </c>
      <c r="G897" s="4" t="s">
        <v>18</v>
      </c>
      <c r="H897" s="4" t="s">
        <v>25</v>
      </c>
      <c r="I897" s="4" t="s">
        <v>92</v>
      </c>
      <c r="J897" s="4" t="s">
        <v>288</v>
      </c>
      <c r="K897" s="4" t="s">
        <v>1015</v>
      </c>
      <c r="L897" s="5">
        <v>0.3611111111111111</v>
      </c>
      <c r="M897" s="4" t="s">
        <v>1148</v>
      </c>
      <c r="N897" s="6" t="s">
        <v>23</v>
      </c>
      <c r="O897" s="4" t="s">
        <v>24</v>
      </c>
    </row>
    <row r="898" spans="1:15" x14ac:dyDescent="0.25">
      <c r="A898" s="4" t="s">
        <v>15</v>
      </c>
      <c r="B898" s="4" t="str">
        <f>"FES1162750068"</f>
        <v>FES1162750068</v>
      </c>
      <c r="C898" s="4" t="s">
        <v>845</v>
      </c>
      <c r="D898" s="4">
        <v>1</v>
      </c>
      <c r="E898" s="4" t="str">
        <f>"2170738547"</f>
        <v>2170738547</v>
      </c>
      <c r="F898" s="4" t="s">
        <v>17</v>
      </c>
      <c r="G898" s="4" t="s">
        <v>18</v>
      </c>
      <c r="H898" s="4" t="s">
        <v>52</v>
      </c>
      <c r="I898" s="4" t="s">
        <v>53</v>
      </c>
      <c r="J898" s="4" t="s">
        <v>280</v>
      </c>
      <c r="K898" s="4" t="s">
        <v>1015</v>
      </c>
      <c r="L898" s="5">
        <v>0.43333333333333335</v>
      </c>
      <c r="M898" s="4" t="s">
        <v>1149</v>
      </c>
      <c r="N898" s="6" t="s">
        <v>23</v>
      </c>
      <c r="O898" s="4" t="s">
        <v>24</v>
      </c>
    </row>
    <row r="899" spans="1:15" x14ac:dyDescent="0.25">
      <c r="A899" s="4" t="s">
        <v>15</v>
      </c>
      <c r="B899" s="4" t="str">
        <f>"FES1162750018"</f>
        <v>FES1162750018</v>
      </c>
      <c r="C899" s="4" t="s">
        <v>845</v>
      </c>
      <c r="D899" s="4">
        <v>1</v>
      </c>
      <c r="E899" s="4" t="str">
        <f>"2170740367"</f>
        <v>2170740367</v>
      </c>
      <c r="F899" s="4" t="s">
        <v>17</v>
      </c>
      <c r="G899" s="4" t="s">
        <v>18</v>
      </c>
      <c r="H899" s="4" t="s">
        <v>25</v>
      </c>
      <c r="I899" s="4" t="s">
        <v>26</v>
      </c>
      <c r="J899" s="4" t="s">
        <v>1066</v>
      </c>
      <c r="K899" s="4" t="s">
        <v>1015</v>
      </c>
      <c r="L899" s="5">
        <v>0.7715277777777777</v>
      </c>
      <c r="M899" s="4" t="s">
        <v>1150</v>
      </c>
      <c r="N899" s="6" t="s">
        <v>23</v>
      </c>
      <c r="O899" s="4" t="s">
        <v>24</v>
      </c>
    </row>
    <row r="900" spans="1:15" x14ac:dyDescent="0.25">
      <c r="A900" s="4" t="s">
        <v>15</v>
      </c>
      <c r="B900" s="4" t="str">
        <f>"FES1162750209"</f>
        <v>FES1162750209</v>
      </c>
      <c r="C900" s="4" t="s">
        <v>845</v>
      </c>
      <c r="D900" s="4">
        <v>1</v>
      </c>
      <c r="E900" s="4" t="str">
        <f>"2170739356"</f>
        <v>2170739356</v>
      </c>
      <c r="F900" s="4" t="s">
        <v>17</v>
      </c>
      <c r="G900" s="4" t="s">
        <v>18</v>
      </c>
      <c r="H900" s="4" t="s">
        <v>48</v>
      </c>
      <c r="I900" s="4" t="s">
        <v>73</v>
      </c>
      <c r="J900" s="4" t="s">
        <v>247</v>
      </c>
      <c r="K900" s="4" t="s">
        <v>1015</v>
      </c>
      <c r="L900" s="5">
        <v>0.42569444444444443</v>
      </c>
      <c r="M900" s="4" t="s">
        <v>1125</v>
      </c>
      <c r="N900" s="6" t="s">
        <v>23</v>
      </c>
      <c r="O900" s="4" t="s">
        <v>24</v>
      </c>
    </row>
    <row r="901" spans="1:15" x14ac:dyDescent="0.25">
      <c r="A901" s="4" t="s">
        <v>15</v>
      </c>
      <c r="B901" s="4" t="str">
        <f>"FES1162750227"</f>
        <v>FES1162750227</v>
      </c>
      <c r="C901" s="4" t="s">
        <v>845</v>
      </c>
      <c r="D901" s="4">
        <v>1</v>
      </c>
      <c r="E901" s="4" t="str">
        <f>"2170740232"</f>
        <v>2170740232</v>
      </c>
      <c r="F901" s="4" t="s">
        <v>17</v>
      </c>
      <c r="G901" s="4" t="s">
        <v>18</v>
      </c>
      <c r="H901" s="4" t="s">
        <v>52</v>
      </c>
      <c r="I901" s="4" t="s">
        <v>1067</v>
      </c>
      <c r="J901" s="4" t="s">
        <v>552</v>
      </c>
      <c r="K901" s="4" t="s">
        <v>1015</v>
      </c>
      <c r="L901" s="5">
        <v>0.42569444444444443</v>
      </c>
      <c r="M901" s="4" t="s">
        <v>1259</v>
      </c>
      <c r="N901" s="6" t="s">
        <v>23</v>
      </c>
      <c r="O901" s="4" t="s">
        <v>24</v>
      </c>
    </row>
    <row r="902" spans="1:15" x14ac:dyDescent="0.25">
      <c r="A902" s="4" t="s">
        <v>15</v>
      </c>
      <c r="B902" s="4" t="str">
        <f>"FES1162750230"</f>
        <v>FES1162750230</v>
      </c>
      <c r="C902" s="4" t="s">
        <v>845</v>
      </c>
      <c r="D902" s="4">
        <v>1</v>
      </c>
      <c r="E902" s="4" t="str">
        <f>"2170740431"</f>
        <v>2170740431</v>
      </c>
      <c r="F902" s="4" t="s">
        <v>17</v>
      </c>
      <c r="G902" s="4" t="s">
        <v>18</v>
      </c>
      <c r="H902" s="4" t="s">
        <v>25</v>
      </c>
      <c r="I902" s="4" t="s">
        <v>26</v>
      </c>
      <c r="J902" s="4" t="s">
        <v>283</v>
      </c>
      <c r="K902" s="4" t="s">
        <v>1015</v>
      </c>
      <c r="L902" s="5">
        <v>0.77777777777777779</v>
      </c>
      <c r="M902" s="4" t="s">
        <v>1151</v>
      </c>
      <c r="N902" s="6" t="s">
        <v>23</v>
      </c>
      <c r="O902" s="4" t="s">
        <v>24</v>
      </c>
    </row>
    <row r="903" spans="1:15" x14ac:dyDescent="0.25">
      <c r="A903" s="4" t="s">
        <v>15</v>
      </c>
      <c r="B903" s="4" t="str">
        <f>"FES1162750070"</f>
        <v>FES1162750070</v>
      </c>
      <c r="C903" s="4" t="s">
        <v>845</v>
      </c>
      <c r="D903" s="4">
        <v>1</v>
      </c>
      <c r="E903" s="4" t="str">
        <f>"2170738560"</f>
        <v>2170738560</v>
      </c>
      <c r="F903" s="4" t="s">
        <v>17</v>
      </c>
      <c r="G903" s="4" t="s">
        <v>18</v>
      </c>
      <c r="H903" s="4" t="s">
        <v>25</v>
      </c>
      <c r="I903" s="4" t="s">
        <v>26</v>
      </c>
      <c r="J903" s="4" t="s">
        <v>156</v>
      </c>
      <c r="K903" s="4" t="s">
        <v>1015</v>
      </c>
      <c r="L903" s="5">
        <v>0.43541666666666662</v>
      </c>
      <c r="M903" s="4" t="s">
        <v>157</v>
      </c>
      <c r="N903" s="6" t="s">
        <v>23</v>
      </c>
      <c r="O903" s="4" t="s">
        <v>24</v>
      </c>
    </row>
    <row r="904" spans="1:15" x14ac:dyDescent="0.25">
      <c r="A904" s="4" t="s">
        <v>15</v>
      </c>
      <c r="B904" s="4" t="str">
        <f>"FES1162750243"</f>
        <v>FES1162750243</v>
      </c>
      <c r="C904" s="4" t="s">
        <v>845</v>
      </c>
      <c r="D904" s="4">
        <v>1</v>
      </c>
      <c r="E904" s="4" t="str">
        <f>"2170740462"</f>
        <v>2170740462</v>
      </c>
      <c r="F904" s="4" t="s">
        <v>17</v>
      </c>
      <c r="G904" s="4" t="s">
        <v>18</v>
      </c>
      <c r="H904" s="4" t="s">
        <v>48</v>
      </c>
      <c r="I904" s="4" t="s">
        <v>199</v>
      </c>
      <c r="J904" s="4" t="s">
        <v>233</v>
      </c>
      <c r="K904" s="4" t="s">
        <v>1015</v>
      </c>
      <c r="L904" s="5">
        <v>0.41666666666666669</v>
      </c>
      <c r="M904" s="4" t="s">
        <v>1152</v>
      </c>
      <c r="N904" s="6" t="s">
        <v>23</v>
      </c>
      <c r="O904" s="4" t="s">
        <v>24</v>
      </c>
    </row>
    <row r="905" spans="1:15" x14ac:dyDescent="0.25">
      <c r="A905" s="4" t="s">
        <v>15</v>
      </c>
      <c r="B905" s="4" t="str">
        <f>"FES1162750211"</f>
        <v>FES1162750211</v>
      </c>
      <c r="C905" s="4" t="s">
        <v>845</v>
      </c>
      <c r="D905" s="4">
        <v>1</v>
      </c>
      <c r="E905" s="4" t="str">
        <f>"2170739475"</f>
        <v>2170739475</v>
      </c>
      <c r="F905" s="4" t="s">
        <v>17</v>
      </c>
      <c r="G905" s="4" t="s">
        <v>18</v>
      </c>
      <c r="H905" s="4" t="s">
        <v>48</v>
      </c>
      <c r="I905" s="4" t="s">
        <v>73</v>
      </c>
      <c r="J905" s="4" t="s">
        <v>247</v>
      </c>
      <c r="K905" s="4" t="s">
        <v>1015</v>
      </c>
      <c r="L905" s="5">
        <v>0.42569444444444443</v>
      </c>
      <c r="M905" s="4" t="s">
        <v>1125</v>
      </c>
      <c r="N905" s="6" t="s">
        <v>23</v>
      </c>
      <c r="O905" s="4" t="s">
        <v>24</v>
      </c>
    </row>
    <row r="906" spans="1:15" x14ac:dyDescent="0.25">
      <c r="A906" s="4" t="s">
        <v>15</v>
      </c>
      <c r="B906" s="4" t="str">
        <f>"FES1162750272"</f>
        <v>FES1162750272</v>
      </c>
      <c r="C906" s="4" t="s">
        <v>845</v>
      </c>
      <c r="D906" s="4">
        <v>1</v>
      </c>
      <c r="E906" s="4" t="str">
        <f>"2170740503"</f>
        <v>2170740503</v>
      </c>
      <c r="F906" s="4" t="s">
        <v>17</v>
      </c>
      <c r="G906" s="4" t="s">
        <v>18</v>
      </c>
      <c r="H906" s="4" t="s">
        <v>48</v>
      </c>
      <c r="I906" s="4" t="s">
        <v>49</v>
      </c>
      <c r="J906" s="4" t="s">
        <v>1068</v>
      </c>
      <c r="K906" s="4" t="s">
        <v>1015</v>
      </c>
      <c r="L906" s="5">
        <v>0.41666666666666669</v>
      </c>
      <c r="M906" s="4" t="s">
        <v>1153</v>
      </c>
      <c r="N906" s="6" t="s">
        <v>23</v>
      </c>
      <c r="O906" s="4" t="s">
        <v>24</v>
      </c>
    </row>
    <row r="907" spans="1:15" x14ac:dyDescent="0.25">
      <c r="A907" s="15" t="s">
        <v>15</v>
      </c>
      <c r="B907" s="15" t="str">
        <f>"FES1162750214"</f>
        <v>FES1162750214</v>
      </c>
      <c r="C907" s="15" t="s">
        <v>845</v>
      </c>
      <c r="D907" s="15">
        <v>1</v>
      </c>
      <c r="E907" s="15" t="str">
        <f>"2170739511"</f>
        <v>2170739511</v>
      </c>
      <c r="F907" s="15" t="s">
        <v>17</v>
      </c>
      <c r="G907" s="15" t="s">
        <v>18</v>
      </c>
      <c r="H907" s="15" t="s">
        <v>48</v>
      </c>
      <c r="I907" s="15" t="s">
        <v>366</v>
      </c>
      <c r="J907" s="15" t="s">
        <v>367</v>
      </c>
      <c r="K907" s="15" t="s">
        <v>43</v>
      </c>
      <c r="L907" s="15"/>
      <c r="M907" s="15" t="s">
        <v>44</v>
      </c>
      <c r="N907" s="15" t="s">
        <v>419</v>
      </c>
      <c r="O907" s="15" t="s">
        <v>24</v>
      </c>
    </row>
    <row r="908" spans="1:15" x14ac:dyDescent="0.25">
      <c r="A908" s="4" t="s">
        <v>15</v>
      </c>
      <c r="B908" s="4" t="str">
        <f>"FES1162750252"</f>
        <v>FES1162750252</v>
      </c>
      <c r="C908" s="4" t="s">
        <v>845</v>
      </c>
      <c r="D908" s="4">
        <v>1</v>
      </c>
      <c r="E908" s="4" t="str">
        <f>"2170740486"</f>
        <v>2170740486</v>
      </c>
      <c r="F908" s="4" t="s">
        <v>17</v>
      </c>
      <c r="G908" s="4" t="s">
        <v>18</v>
      </c>
      <c r="H908" s="4" t="s">
        <v>48</v>
      </c>
      <c r="I908" s="4" t="s">
        <v>110</v>
      </c>
      <c r="J908" s="4" t="s">
        <v>276</v>
      </c>
      <c r="K908" s="4" t="s">
        <v>1015</v>
      </c>
      <c r="L908" s="5">
        <v>0.34097222222222223</v>
      </c>
      <c r="M908" s="4" t="s">
        <v>1258</v>
      </c>
      <c r="N908" s="4" t="s">
        <v>23</v>
      </c>
      <c r="O908" s="4" t="s">
        <v>24</v>
      </c>
    </row>
    <row r="909" spans="1:15" x14ac:dyDescent="0.25">
      <c r="A909" s="4" t="s">
        <v>15</v>
      </c>
      <c r="B909" s="4" t="str">
        <f>"FES1162750294"</f>
        <v>FES1162750294</v>
      </c>
      <c r="C909" s="4" t="s">
        <v>845</v>
      </c>
      <c r="D909" s="4">
        <v>1</v>
      </c>
      <c r="E909" s="4" t="str">
        <f>"21707405642"</f>
        <v>21707405642</v>
      </c>
      <c r="F909" s="4" t="s">
        <v>17</v>
      </c>
      <c r="G909" s="4" t="s">
        <v>18</v>
      </c>
      <c r="H909" s="4" t="s">
        <v>48</v>
      </c>
      <c r="I909" s="4" t="s">
        <v>49</v>
      </c>
      <c r="J909" s="4" t="s">
        <v>252</v>
      </c>
      <c r="K909" s="4" t="s">
        <v>1015</v>
      </c>
      <c r="L909" s="5">
        <v>0.37291666666666662</v>
      </c>
      <c r="M909" s="4" t="s">
        <v>1069</v>
      </c>
      <c r="N909" s="6" t="s">
        <v>23</v>
      </c>
      <c r="O909" s="4" t="s">
        <v>24</v>
      </c>
    </row>
    <row r="910" spans="1:15" x14ac:dyDescent="0.25">
      <c r="A910" s="4" t="s">
        <v>15</v>
      </c>
      <c r="B910" s="4" t="str">
        <f>"FES1162749992"</f>
        <v>FES1162749992</v>
      </c>
      <c r="C910" s="4" t="s">
        <v>845</v>
      </c>
      <c r="D910" s="4">
        <v>1</v>
      </c>
      <c r="E910" s="4" t="str">
        <f>"2170740326"</f>
        <v>2170740326</v>
      </c>
      <c r="F910" s="4" t="s">
        <v>17</v>
      </c>
      <c r="G910" s="4" t="s">
        <v>18</v>
      </c>
      <c r="H910" s="4" t="s">
        <v>25</v>
      </c>
      <c r="I910" s="4" t="s">
        <v>26</v>
      </c>
      <c r="J910" s="4" t="s">
        <v>283</v>
      </c>
      <c r="K910" s="4" t="s">
        <v>1015</v>
      </c>
      <c r="L910" s="5">
        <v>0.77777777777777779</v>
      </c>
      <c r="M910" s="4" t="s">
        <v>1151</v>
      </c>
      <c r="N910" s="6" t="s">
        <v>23</v>
      </c>
      <c r="O910" s="4" t="s">
        <v>24</v>
      </c>
    </row>
    <row r="911" spans="1:15" x14ac:dyDescent="0.25">
      <c r="A911" s="4" t="s">
        <v>15</v>
      </c>
      <c r="B911" s="4" t="str">
        <f>"FES1162750273"</f>
        <v>FES1162750273</v>
      </c>
      <c r="C911" s="4" t="s">
        <v>845</v>
      </c>
      <c r="D911" s="4">
        <v>1</v>
      </c>
      <c r="E911" s="4" t="str">
        <f>"2170740518"</f>
        <v>2170740518</v>
      </c>
      <c r="F911" s="4" t="s">
        <v>17</v>
      </c>
      <c r="G911" s="4" t="s">
        <v>18</v>
      </c>
      <c r="H911" s="4" t="s">
        <v>52</v>
      </c>
      <c r="I911" s="4" t="s">
        <v>53</v>
      </c>
      <c r="J911" s="4" t="s">
        <v>1070</v>
      </c>
      <c r="K911" s="4" t="s">
        <v>1015</v>
      </c>
      <c r="L911" s="5">
        <v>0.41666666666666669</v>
      </c>
      <c r="M911" s="4" t="s">
        <v>1154</v>
      </c>
      <c r="N911" s="6" t="s">
        <v>23</v>
      </c>
      <c r="O911" s="4" t="s">
        <v>24</v>
      </c>
    </row>
    <row r="912" spans="1:15" x14ac:dyDescent="0.25">
      <c r="A912" s="4" t="s">
        <v>15</v>
      </c>
      <c r="B912" s="4" t="str">
        <f>"FES1162750299"</f>
        <v>FES1162750299</v>
      </c>
      <c r="C912" s="4" t="s">
        <v>845</v>
      </c>
      <c r="D912" s="4">
        <v>1</v>
      </c>
      <c r="E912" s="4" t="str">
        <f>"2170740550"</f>
        <v>2170740550</v>
      </c>
      <c r="F912" s="4" t="s">
        <v>17</v>
      </c>
      <c r="G912" s="4" t="s">
        <v>18</v>
      </c>
      <c r="H912" s="4" t="s">
        <v>48</v>
      </c>
      <c r="I912" s="4" t="s">
        <v>558</v>
      </c>
      <c r="J912" s="4" t="s">
        <v>1071</v>
      </c>
      <c r="K912" s="4" t="s">
        <v>1015</v>
      </c>
      <c r="L912" s="5">
        <v>0.41666666666666669</v>
      </c>
      <c r="M912" s="4" t="s">
        <v>1155</v>
      </c>
      <c r="N912" s="6" t="s">
        <v>23</v>
      </c>
      <c r="O912" s="4" t="s">
        <v>24</v>
      </c>
    </row>
    <row r="913" spans="1:15" x14ac:dyDescent="0.25">
      <c r="A913" s="4" t="s">
        <v>15</v>
      </c>
      <c r="B913" s="4" t="str">
        <f>"FES1162750292"</f>
        <v>FES1162750292</v>
      </c>
      <c r="C913" s="4" t="s">
        <v>845</v>
      </c>
      <c r="D913" s="4">
        <v>1</v>
      </c>
      <c r="E913" s="4" t="str">
        <f>"2170740540"</f>
        <v>2170740540</v>
      </c>
      <c r="F913" s="4" t="s">
        <v>17</v>
      </c>
      <c r="G913" s="4" t="s">
        <v>18</v>
      </c>
      <c r="H913" s="4" t="s">
        <v>48</v>
      </c>
      <c r="I913" s="4" t="s">
        <v>49</v>
      </c>
      <c r="J913" s="4" t="s">
        <v>1072</v>
      </c>
      <c r="K913" s="4" t="s">
        <v>1015</v>
      </c>
      <c r="L913" s="5">
        <v>0.38055555555555554</v>
      </c>
      <c r="M913" s="4" t="s">
        <v>1073</v>
      </c>
      <c r="N913" s="6" t="s">
        <v>23</v>
      </c>
      <c r="O913" s="4" t="s">
        <v>24</v>
      </c>
    </row>
    <row r="914" spans="1:15" x14ac:dyDescent="0.25">
      <c r="A914" s="4" t="s">
        <v>15</v>
      </c>
      <c r="B914" s="4" t="str">
        <f>"FES1162750093"</f>
        <v>FES1162750093</v>
      </c>
      <c r="C914" s="4" t="s">
        <v>845</v>
      </c>
      <c r="D914" s="4">
        <v>1</v>
      </c>
      <c r="E914" s="4" t="str">
        <f>"2170738845"</f>
        <v>2170738845</v>
      </c>
      <c r="F914" s="4" t="s">
        <v>17</v>
      </c>
      <c r="G914" s="4" t="s">
        <v>18</v>
      </c>
      <c r="H914" s="4" t="s">
        <v>25</v>
      </c>
      <c r="I914" s="4" t="s">
        <v>26</v>
      </c>
      <c r="J914" s="4" t="s">
        <v>278</v>
      </c>
      <c r="K914" s="4" t="s">
        <v>1015</v>
      </c>
      <c r="L914" s="5">
        <v>0.40347222222222223</v>
      </c>
      <c r="M914" s="4" t="s">
        <v>256</v>
      </c>
      <c r="N914" s="6" t="s">
        <v>23</v>
      </c>
      <c r="O914" s="4" t="s">
        <v>24</v>
      </c>
    </row>
    <row r="915" spans="1:15" x14ac:dyDescent="0.25">
      <c r="A915" s="4" t="s">
        <v>15</v>
      </c>
      <c r="B915" s="4" t="str">
        <f>"FES1162750098"</f>
        <v>FES1162750098</v>
      </c>
      <c r="C915" s="4" t="s">
        <v>845</v>
      </c>
      <c r="D915" s="4">
        <v>1</v>
      </c>
      <c r="E915" s="4" t="str">
        <f>"21707388889"</f>
        <v>21707388889</v>
      </c>
      <c r="F915" s="4" t="s">
        <v>17</v>
      </c>
      <c r="G915" s="4" t="s">
        <v>18</v>
      </c>
      <c r="H915" s="4" t="s">
        <v>52</v>
      </c>
      <c r="I915" s="4" t="s">
        <v>53</v>
      </c>
      <c r="J915" s="4" t="s">
        <v>592</v>
      </c>
      <c r="K915" s="4" t="s">
        <v>1015</v>
      </c>
      <c r="L915" s="5">
        <v>0.51041666666666663</v>
      </c>
      <c r="M915" s="4" t="s">
        <v>697</v>
      </c>
      <c r="N915" s="6" t="s">
        <v>23</v>
      </c>
      <c r="O915" s="4" t="s">
        <v>24</v>
      </c>
    </row>
    <row r="916" spans="1:15" x14ac:dyDescent="0.25">
      <c r="A916" s="4" t="s">
        <v>15</v>
      </c>
      <c r="B916" s="4" t="str">
        <f>"FES1162750048"</f>
        <v>FES1162750048</v>
      </c>
      <c r="C916" s="4" t="s">
        <v>845</v>
      </c>
      <c r="D916" s="4">
        <v>1</v>
      </c>
      <c r="E916" s="4" t="str">
        <f>"2170738410"</f>
        <v>2170738410</v>
      </c>
      <c r="F916" s="4" t="s">
        <v>17</v>
      </c>
      <c r="G916" s="4" t="s">
        <v>18</v>
      </c>
      <c r="H916" s="4" t="s">
        <v>25</v>
      </c>
      <c r="I916" s="4" t="s">
        <v>26</v>
      </c>
      <c r="J916" s="4" t="s">
        <v>202</v>
      </c>
      <c r="K916" s="4" t="s">
        <v>1015</v>
      </c>
      <c r="L916" s="5">
        <v>0.44513888888888892</v>
      </c>
      <c r="M916" s="4" t="s">
        <v>203</v>
      </c>
      <c r="N916" s="6" t="s">
        <v>23</v>
      </c>
      <c r="O916" s="4" t="s">
        <v>24</v>
      </c>
    </row>
    <row r="917" spans="1:15" x14ac:dyDescent="0.25">
      <c r="A917" s="4" t="s">
        <v>15</v>
      </c>
      <c r="B917" s="4" t="str">
        <f>"FES1162750121"</f>
        <v>FES1162750121</v>
      </c>
      <c r="C917" s="4" t="s">
        <v>845</v>
      </c>
      <c r="D917" s="4">
        <v>1</v>
      </c>
      <c r="E917" s="4" t="str">
        <f>"2170740061"</f>
        <v>2170740061</v>
      </c>
      <c r="F917" s="4" t="s">
        <v>17</v>
      </c>
      <c r="G917" s="4" t="s">
        <v>18</v>
      </c>
      <c r="H917" s="4" t="s">
        <v>25</v>
      </c>
      <c r="I917" s="4" t="s">
        <v>26</v>
      </c>
      <c r="J917" s="4" t="s">
        <v>279</v>
      </c>
      <c r="K917" s="4" t="s">
        <v>1015</v>
      </c>
      <c r="L917" s="5">
        <v>0.44513888888888892</v>
      </c>
      <c r="M917" s="4" t="s">
        <v>1257</v>
      </c>
      <c r="N917" s="6" t="s">
        <v>23</v>
      </c>
      <c r="O917" s="4" t="s">
        <v>24</v>
      </c>
    </row>
    <row r="918" spans="1:15" x14ac:dyDescent="0.25">
      <c r="A918" s="4" t="s">
        <v>15</v>
      </c>
      <c r="B918" s="4" t="str">
        <f>"FES1162750039"</f>
        <v>FES1162750039</v>
      </c>
      <c r="C918" s="4" t="s">
        <v>845</v>
      </c>
      <c r="D918" s="4">
        <v>1</v>
      </c>
      <c r="E918" s="4" t="str">
        <f>"217073854"</f>
        <v>217073854</v>
      </c>
      <c r="F918" s="4" t="s">
        <v>17</v>
      </c>
      <c r="G918" s="4" t="s">
        <v>18</v>
      </c>
      <c r="H918" s="4" t="s">
        <v>25</v>
      </c>
      <c r="I918" s="4" t="s">
        <v>26</v>
      </c>
      <c r="J918" s="4" t="s">
        <v>283</v>
      </c>
      <c r="K918" s="4" t="s">
        <v>1015</v>
      </c>
      <c r="L918" s="5">
        <v>0.77708333333333324</v>
      </c>
      <c r="M918" s="4" t="s">
        <v>1156</v>
      </c>
      <c r="N918" s="6" t="s">
        <v>23</v>
      </c>
      <c r="O918" s="4" t="s">
        <v>24</v>
      </c>
    </row>
    <row r="919" spans="1:15" x14ac:dyDescent="0.25">
      <c r="A919" s="4" t="s">
        <v>15</v>
      </c>
      <c r="B919" s="4" t="str">
        <f>"FES1162750173"</f>
        <v>FES1162750173</v>
      </c>
      <c r="C919" s="4" t="s">
        <v>845</v>
      </c>
      <c r="D919" s="4">
        <v>1</v>
      </c>
      <c r="E919" s="4" t="str">
        <f>"2170740393"</f>
        <v>2170740393</v>
      </c>
      <c r="F919" s="4" t="s">
        <v>17</v>
      </c>
      <c r="G919" s="4" t="s">
        <v>18</v>
      </c>
      <c r="H919" s="4" t="s">
        <v>25</v>
      </c>
      <c r="I919" s="4" t="s">
        <v>26</v>
      </c>
      <c r="J919" s="4" t="s">
        <v>202</v>
      </c>
      <c r="K919" s="4" t="s">
        <v>1015</v>
      </c>
      <c r="L919" s="5">
        <v>0.44513888888888892</v>
      </c>
      <c r="M919" s="4" t="s">
        <v>203</v>
      </c>
      <c r="N919" s="6" t="s">
        <v>23</v>
      </c>
      <c r="O919" s="4" t="s">
        <v>24</v>
      </c>
    </row>
    <row r="920" spans="1:15" x14ac:dyDescent="0.25">
      <c r="A920" s="4" t="s">
        <v>15</v>
      </c>
      <c r="B920" s="4" t="str">
        <f>"FES1162750089"</f>
        <v>FES1162750089</v>
      </c>
      <c r="C920" s="4" t="s">
        <v>845</v>
      </c>
      <c r="D920" s="4">
        <v>1</v>
      </c>
      <c r="E920" s="4" t="str">
        <f>"2170738811"</f>
        <v>2170738811</v>
      </c>
      <c r="F920" s="4" t="s">
        <v>17</v>
      </c>
      <c r="G920" s="4" t="s">
        <v>18</v>
      </c>
      <c r="H920" s="4" t="s">
        <v>52</v>
      </c>
      <c r="I920" s="4" t="s">
        <v>1067</v>
      </c>
      <c r="J920" s="4" t="s">
        <v>1074</v>
      </c>
      <c r="K920" s="4" t="s">
        <v>1015</v>
      </c>
      <c r="L920" s="5">
        <v>0.44513888888888892</v>
      </c>
      <c r="M920" s="4" t="s">
        <v>1256</v>
      </c>
      <c r="N920" s="6" t="s">
        <v>23</v>
      </c>
      <c r="O920" s="4" t="s">
        <v>24</v>
      </c>
    </row>
    <row r="921" spans="1:15" x14ac:dyDescent="0.25">
      <c r="A921" s="4" t="s">
        <v>15</v>
      </c>
      <c r="B921" s="4" t="str">
        <f>"FES1162750125"</f>
        <v>FES1162750125</v>
      </c>
      <c r="C921" s="4" t="s">
        <v>845</v>
      </c>
      <c r="D921" s="4">
        <v>1</v>
      </c>
      <c r="E921" s="4" t="str">
        <f>"2170740370"</f>
        <v>2170740370</v>
      </c>
      <c r="F921" s="4" t="s">
        <v>17</v>
      </c>
      <c r="G921" s="4" t="s">
        <v>18</v>
      </c>
      <c r="H921" s="4" t="s">
        <v>25</v>
      </c>
      <c r="I921" s="4" t="s">
        <v>26</v>
      </c>
      <c r="J921" s="4" t="s">
        <v>1066</v>
      </c>
      <c r="K921" s="4" t="s">
        <v>1015</v>
      </c>
      <c r="L921" s="5">
        <v>0.7715277777777777</v>
      </c>
      <c r="M921" s="4" t="s">
        <v>1150</v>
      </c>
      <c r="N921" s="6" t="s">
        <v>23</v>
      </c>
      <c r="O921" s="4" t="s">
        <v>24</v>
      </c>
    </row>
    <row r="922" spans="1:15" x14ac:dyDescent="0.25">
      <c r="A922" s="4" t="s">
        <v>15</v>
      </c>
      <c r="B922" s="4" t="str">
        <f>"FES1162750036"</f>
        <v>FES1162750036</v>
      </c>
      <c r="C922" s="4" t="s">
        <v>845</v>
      </c>
      <c r="D922" s="4">
        <v>1</v>
      </c>
      <c r="E922" s="4" t="str">
        <f>"2170738541"</f>
        <v>2170738541</v>
      </c>
      <c r="F922" s="4" t="s">
        <v>17</v>
      </c>
      <c r="G922" s="4" t="s">
        <v>18</v>
      </c>
      <c r="H922" s="4" t="s">
        <v>25</v>
      </c>
      <c r="I922" s="4" t="s">
        <v>92</v>
      </c>
      <c r="J922" s="4" t="s">
        <v>781</v>
      </c>
      <c r="K922" s="4" t="s">
        <v>1015</v>
      </c>
      <c r="L922" s="5">
        <v>0.34375</v>
      </c>
      <c r="M922" s="4" t="s">
        <v>1075</v>
      </c>
      <c r="N922" s="6" t="s">
        <v>23</v>
      </c>
      <c r="O922" s="4" t="s">
        <v>24</v>
      </c>
    </row>
    <row r="923" spans="1:15" x14ac:dyDescent="0.25">
      <c r="A923" s="4" t="s">
        <v>15</v>
      </c>
      <c r="B923" s="4" t="str">
        <f>"FES1162750185"</f>
        <v>FES1162750185</v>
      </c>
      <c r="C923" s="4" t="s">
        <v>845</v>
      </c>
      <c r="D923" s="4">
        <v>1</v>
      </c>
      <c r="E923" s="4" t="str">
        <f>"2170740417"</f>
        <v>2170740417</v>
      </c>
      <c r="F923" s="4" t="s">
        <v>17</v>
      </c>
      <c r="G923" s="4" t="s">
        <v>18</v>
      </c>
      <c r="H923" s="4" t="s">
        <v>25</v>
      </c>
      <c r="I923" s="4" t="s">
        <v>26</v>
      </c>
      <c r="J923" s="4" t="s">
        <v>413</v>
      </c>
      <c r="K923" s="4" t="s">
        <v>1015</v>
      </c>
      <c r="L923" s="5">
        <v>0.42430555555555555</v>
      </c>
      <c r="M923" s="4" t="s">
        <v>700</v>
      </c>
      <c r="N923" s="6" t="s">
        <v>23</v>
      </c>
      <c r="O923" s="4" t="s">
        <v>24</v>
      </c>
    </row>
    <row r="924" spans="1:15" x14ac:dyDescent="0.25">
      <c r="A924" s="4" t="s">
        <v>15</v>
      </c>
      <c r="B924" s="4" t="str">
        <f>"FES1162750171"</f>
        <v>FES1162750171</v>
      </c>
      <c r="C924" s="4" t="s">
        <v>845</v>
      </c>
      <c r="D924" s="4">
        <v>1</v>
      </c>
      <c r="E924" s="4" t="str">
        <f>"2170740000"</f>
        <v>2170740000</v>
      </c>
      <c r="F924" s="4" t="s">
        <v>17</v>
      </c>
      <c r="G924" s="4" t="s">
        <v>18</v>
      </c>
      <c r="H924" s="4" t="s">
        <v>25</v>
      </c>
      <c r="I924" s="4" t="s">
        <v>281</v>
      </c>
      <c r="J924" s="4" t="s">
        <v>624</v>
      </c>
      <c r="K924" s="4" t="s">
        <v>1015</v>
      </c>
      <c r="L924" s="5">
        <v>0.77361111111111114</v>
      </c>
      <c r="M924" s="4" t="s">
        <v>1157</v>
      </c>
      <c r="N924" s="6" t="s">
        <v>23</v>
      </c>
      <c r="O924" s="4" t="s">
        <v>24</v>
      </c>
    </row>
    <row r="925" spans="1:15" x14ac:dyDescent="0.25">
      <c r="A925" s="4" t="s">
        <v>15</v>
      </c>
      <c r="B925" s="4" t="str">
        <f>"FES1162750280"</f>
        <v>FES1162750280</v>
      </c>
      <c r="C925" s="4" t="s">
        <v>845</v>
      </c>
      <c r="D925" s="4">
        <v>1</v>
      </c>
      <c r="E925" s="4" t="str">
        <f>"2170740529"</f>
        <v>2170740529</v>
      </c>
      <c r="F925" s="4" t="s">
        <v>17</v>
      </c>
      <c r="G925" s="4" t="s">
        <v>18</v>
      </c>
      <c r="H925" s="4" t="s">
        <v>40</v>
      </c>
      <c r="I925" s="4" t="s">
        <v>41</v>
      </c>
      <c r="J925" s="4" t="s">
        <v>1076</v>
      </c>
      <c r="K925" s="4" t="s">
        <v>1015</v>
      </c>
      <c r="L925" s="5">
        <v>0.57222222222222219</v>
      </c>
      <c r="M925" s="4" t="s">
        <v>1158</v>
      </c>
      <c r="N925" s="6" t="s">
        <v>23</v>
      </c>
      <c r="O925" s="4" t="s">
        <v>24</v>
      </c>
    </row>
    <row r="926" spans="1:15" x14ac:dyDescent="0.25">
      <c r="A926" s="4" t="s">
        <v>15</v>
      </c>
      <c r="B926" s="4" t="str">
        <f>"FES11625749983"</f>
        <v>FES11625749983</v>
      </c>
      <c r="C926" s="4" t="s">
        <v>845</v>
      </c>
      <c r="D926" s="4">
        <v>1</v>
      </c>
      <c r="E926" s="4" t="str">
        <f>"2170739004"</f>
        <v>2170739004</v>
      </c>
      <c r="F926" s="4" t="s">
        <v>17</v>
      </c>
      <c r="G926" s="4" t="s">
        <v>18</v>
      </c>
      <c r="H926" s="4" t="s">
        <v>25</v>
      </c>
      <c r="I926" s="4" t="s">
        <v>26</v>
      </c>
      <c r="J926" s="4" t="s">
        <v>414</v>
      </c>
      <c r="K926" s="4" t="s">
        <v>1015</v>
      </c>
      <c r="L926" s="5">
        <v>0.77500000000000002</v>
      </c>
      <c r="M926" s="4" t="s">
        <v>1159</v>
      </c>
      <c r="N926" s="6" t="s">
        <v>23</v>
      </c>
      <c r="O926" s="4" t="s">
        <v>24</v>
      </c>
    </row>
    <row r="927" spans="1:15" x14ac:dyDescent="0.25">
      <c r="A927" s="4" t="s">
        <v>15</v>
      </c>
      <c r="B927" s="4" t="str">
        <f>"FES1162750242"</f>
        <v>FES1162750242</v>
      </c>
      <c r="C927" s="4" t="s">
        <v>845</v>
      </c>
      <c r="D927" s="4">
        <v>2</v>
      </c>
      <c r="E927" s="4" t="str">
        <f>"2170740461"</f>
        <v>2170740461</v>
      </c>
      <c r="F927" s="4" t="s">
        <v>17</v>
      </c>
      <c r="G927" s="4" t="s">
        <v>18</v>
      </c>
      <c r="H927" s="4" t="s">
        <v>48</v>
      </c>
      <c r="I927" s="4" t="s">
        <v>49</v>
      </c>
      <c r="J927" s="4" t="s">
        <v>631</v>
      </c>
      <c r="K927" s="4" t="s">
        <v>1015</v>
      </c>
      <c r="L927" s="5">
        <v>0.3576388888888889</v>
      </c>
      <c r="M927" s="4" t="s">
        <v>1077</v>
      </c>
      <c r="N927" s="6" t="s">
        <v>23</v>
      </c>
      <c r="O927" s="4" t="s">
        <v>24</v>
      </c>
    </row>
    <row r="928" spans="1:15" x14ac:dyDescent="0.25">
      <c r="A928" s="4" t="s">
        <v>15</v>
      </c>
      <c r="B928" s="4" t="str">
        <f>"FES1162750190"</f>
        <v>FES1162750190</v>
      </c>
      <c r="C928" s="4" t="s">
        <v>845</v>
      </c>
      <c r="D928" s="4">
        <v>1</v>
      </c>
      <c r="E928" s="4" t="str">
        <f>"2170740421"</f>
        <v>2170740421</v>
      </c>
      <c r="F928" s="4" t="s">
        <v>17</v>
      </c>
      <c r="G928" s="4" t="s">
        <v>18</v>
      </c>
      <c r="H928" s="4" t="s">
        <v>25</v>
      </c>
      <c r="I928" s="4" t="s">
        <v>26</v>
      </c>
      <c r="J928" s="4" t="s">
        <v>283</v>
      </c>
      <c r="K928" s="4" t="s">
        <v>1015</v>
      </c>
      <c r="L928" s="5">
        <v>0.77638888888888891</v>
      </c>
      <c r="M928" s="4" t="s">
        <v>1160</v>
      </c>
      <c r="N928" s="6" t="s">
        <v>23</v>
      </c>
      <c r="O928" s="4" t="s">
        <v>24</v>
      </c>
    </row>
    <row r="929" spans="1:15" x14ac:dyDescent="0.25">
      <c r="A929" s="4" t="s">
        <v>15</v>
      </c>
      <c r="B929" s="4" t="str">
        <f>"FES1162750083"</f>
        <v>FES1162750083</v>
      </c>
      <c r="C929" s="4" t="s">
        <v>845</v>
      </c>
      <c r="D929" s="4">
        <v>1</v>
      </c>
      <c r="E929" s="4" t="str">
        <f>"2170738752"</f>
        <v>2170738752</v>
      </c>
      <c r="F929" s="4" t="s">
        <v>17</v>
      </c>
      <c r="G929" s="4" t="s">
        <v>18</v>
      </c>
      <c r="H929" s="4" t="s">
        <v>25</v>
      </c>
      <c r="I929" s="4" t="s">
        <v>92</v>
      </c>
      <c r="J929" s="4" t="s">
        <v>555</v>
      </c>
      <c r="K929" s="4" t="s">
        <v>1015</v>
      </c>
      <c r="L929" s="5">
        <v>0.35416666666666669</v>
      </c>
      <c r="M929" s="4" t="s">
        <v>1161</v>
      </c>
      <c r="N929" s="6" t="s">
        <v>23</v>
      </c>
      <c r="O929" s="4" t="s">
        <v>24</v>
      </c>
    </row>
    <row r="930" spans="1:15" x14ac:dyDescent="0.25">
      <c r="A930" s="4" t="s">
        <v>15</v>
      </c>
      <c r="B930" s="4" t="str">
        <f>"FES1162749989"</f>
        <v>FES1162749989</v>
      </c>
      <c r="C930" s="4" t="s">
        <v>845</v>
      </c>
      <c r="D930" s="4">
        <v>1</v>
      </c>
      <c r="E930" s="4" t="str">
        <f>"2170740321"</f>
        <v>2170740321</v>
      </c>
      <c r="F930" s="4" t="s">
        <v>17</v>
      </c>
      <c r="G930" s="4" t="s">
        <v>18</v>
      </c>
      <c r="H930" s="4" t="s">
        <v>25</v>
      </c>
      <c r="I930" s="4" t="s">
        <v>26</v>
      </c>
      <c r="J930" s="4" t="s">
        <v>202</v>
      </c>
      <c r="K930" s="4" t="s">
        <v>1015</v>
      </c>
      <c r="L930" s="5">
        <v>0.44513888888888892</v>
      </c>
      <c r="M930" s="4" t="s">
        <v>203</v>
      </c>
      <c r="N930" s="6" t="s">
        <v>23</v>
      </c>
      <c r="O930" s="4" t="s">
        <v>24</v>
      </c>
    </row>
    <row r="931" spans="1:15" x14ac:dyDescent="0.25">
      <c r="A931" s="4" t="s">
        <v>15</v>
      </c>
      <c r="B931" s="4" t="str">
        <f>"FES1162750281"</f>
        <v>FES1162750281</v>
      </c>
      <c r="C931" s="4" t="s">
        <v>845</v>
      </c>
      <c r="D931" s="4">
        <v>1</v>
      </c>
      <c r="E931" s="4" t="str">
        <f>"2170740321"</f>
        <v>2170740321</v>
      </c>
      <c r="F931" s="4" t="s">
        <v>17</v>
      </c>
      <c r="G931" s="4" t="s">
        <v>18</v>
      </c>
      <c r="H931" s="4" t="s">
        <v>25</v>
      </c>
      <c r="I931" s="4" t="s">
        <v>26</v>
      </c>
      <c r="J931" s="4" t="s">
        <v>202</v>
      </c>
      <c r="K931" s="4" t="s">
        <v>1015</v>
      </c>
      <c r="L931" s="5">
        <v>0.44513888888888892</v>
      </c>
      <c r="M931" s="4" t="s">
        <v>203</v>
      </c>
      <c r="N931" s="6" t="s">
        <v>23</v>
      </c>
      <c r="O931" s="4" t="s">
        <v>24</v>
      </c>
    </row>
    <row r="932" spans="1:15" x14ac:dyDescent="0.25">
      <c r="A932" s="4" t="s">
        <v>15</v>
      </c>
      <c r="B932" s="4" t="str">
        <f>"FES1162750104"</f>
        <v>FES1162750104</v>
      </c>
      <c r="C932" s="4" t="s">
        <v>845</v>
      </c>
      <c r="D932" s="4">
        <v>1</v>
      </c>
      <c r="E932" s="4" t="str">
        <f>"2170739110"</f>
        <v>2170739110</v>
      </c>
      <c r="F932" s="4" t="s">
        <v>17</v>
      </c>
      <c r="G932" s="4" t="s">
        <v>18</v>
      </c>
      <c r="H932" s="4" t="s">
        <v>52</v>
      </c>
      <c r="I932" s="4" t="s">
        <v>53</v>
      </c>
      <c r="J932" s="4" t="s">
        <v>592</v>
      </c>
      <c r="K932" s="4" t="s">
        <v>1015</v>
      </c>
      <c r="L932" s="5">
        <v>0.51041666666666663</v>
      </c>
      <c r="M932" s="4" t="s">
        <v>697</v>
      </c>
      <c r="N932" s="6" t="s">
        <v>23</v>
      </c>
      <c r="O932" s="4" t="s">
        <v>24</v>
      </c>
    </row>
    <row r="933" spans="1:15" x14ac:dyDescent="0.25">
      <c r="A933" s="11" t="s">
        <v>15</v>
      </c>
      <c r="B933" s="11" t="str">
        <f>"FES1162750333"</f>
        <v>FES1162750333</v>
      </c>
      <c r="C933" s="11" t="s">
        <v>845</v>
      </c>
      <c r="D933" s="11">
        <v>1</v>
      </c>
      <c r="E933" s="11" t="str">
        <f>"2170740583"</f>
        <v>2170740583</v>
      </c>
      <c r="F933" s="11" t="s">
        <v>1162</v>
      </c>
      <c r="G933" s="11" t="s">
        <v>1163</v>
      </c>
      <c r="H933" s="11" t="s">
        <v>25</v>
      </c>
      <c r="I933" s="11" t="s">
        <v>26</v>
      </c>
      <c r="J933" s="11" t="s">
        <v>1065</v>
      </c>
      <c r="K933" s="11" t="s">
        <v>1015</v>
      </c>
      <c r="L933" s="12">
        <v>0.51041666666666663</v>
      </c>
      <c r="M933" s="11" t="s">
        <v>1638</v>
      </c>
      <c r="N933" s="13" t="s">
        <v>23</v>
      </c>
      <c r="O933" s="11" t="s">
        <v>166</v>
      </c>
    </row>
    <row r="934" spans="1:15" x14ac:dyDescent="0.25">
      <c r="A934" s="4" t="s">
        <v>15</v>
      </c>
      <c r="B934" s="4" t="str">
        <f>"FES1162750193"</f>
        <v>FES1162750193</v>
      </c>
      <c r="C934" s="4" t="s">
        <v>845</v>
      </c>
      <c r="D934" s="4">
        <v>1</v>
      </c>
      <c r="E934" s="4" t="str">
        <f>"2170740220"</f>
        <v>2170740220</v>
      </c>
      <c r="F934" s="4" t="s">
        <v>17</v>
      </c>
      <c r="G934" s="4" t="s">
        <v>18</v>
      </c>
      <c r="H934" s="4" t="s">
        <v>32</v>
      </c>
      <c r="I934" s="4" t="s">
        <v>33</v>
      </c>
      <c r="J934" s="4" t="s">
        <v>317</v>
      </c>
      <c r="K934" s="4" t="s">
        <v>1015</v>
      </c>
      <c r="L934" s="5">
        <v>0.41944444444444445</v>
      </c>
      <c r="M934" s="4" t="s">
        <v>956</v>
      </c>
      <c r="N934" s="6" t="s">
        <v>23</v>
      </c>
      <c r="O934" s="4" t="s">
        <v>24</v>
      </c>
    </row>
    <row r="935" spans="1:15" x14ac:dyDescent="0.25">
      <c r="A935" s="4" t="s">
        <v>15</v>
      </c>
      <c r="B935" s="4" t="str">
        <f>"FES1162750157"</f>
        <v>FES1162750157</v>
      </c>
      <c r="C935" s="4" t="s">
        <v>845</v>
      </c>
      <c r="D935" s="4">
        <v>1</v>
      </c>
      <c r="E935" s="4" t="str">
        <f>"2170740383"</f>
        <v>2170740383</v>
      </c>
      <c r="F935" s="4" t="s">
        <v>17</v>
      </c>
      <c r="G935" s="4" t="s">
        <v>18</v>
      </c>
      <c r="H935" s="4" t="s">
        <v>36</v>
      </c>
      <c r="I935" s="4" t="s">
        <v>842</v>
      </c>
      <c r="J935" s="4" t="s">
        <v>1078</v>
      </c>
      <c r="K935" s="4" t="s">
        <v>1015</v>
      </c>
      <c r="L935" s="5">
        <v>0.37222222222222223</v>
      </c>
      <c r="M935" s="4" t="s">
        <v>1164</v>
      </c>
      <c r="N935" s="6" t="s">
        <v>23</v>
      </c>
      <c r="O935" s="4" t="s">
        <v>24</v>
      </c>
    </row>
    <row r="936" spans="1:15" x14ac:dyDescent="0.25">
      <c r="A936" s="4" t="s">
        <v>15</v>
      </c>
      <c r="B936" s="4" t="str">
        <f>"FES1162750071"</f>
        <v>FES1162750071</v>
      </c>
      <c r="C936" s="4" t="s">
        <v>845</v>
      </c>
      <c r="D936" s="4">
        <v>1</v>
      </c>
      <c r="E936" s="4" t="str">
        <f>"2170738561"</f>
        <v>2170738561</v>
      </c>
      <c r="F936" s="4" t="s">
        <v>17</v>
      </c>
      <c r="G936" s="4" t="s">
        <v>18</v>
      </c>
      <c r="H936" s="4" t="s">
        <v>32</v>
      </c>
      <c r="I936" s="4" t="s">
        <v>33</v>
      </c>
      <c r="J936" s="4" t="s">
        <v>317</v>
      </c>
      <c r="K936" s="4" t="s">
        <v>1015</v>
      </c>
      <c r="L936" s="5">
        <v>0.41944444444444445</v>
      </c>
      <c r="M936" s="4" t="s">
        <v>956</v>
      </c>
      <c r="N936" s="6" t="s">
        <v>23</v>
      </c>
      <c r="O936" s="4" t="s">
        <v>24</v>
      </c>
    </row>
    <row r="937" spans="1:15" x14ac:dyDescent="0.25">
      <c r="A937" s="4" t="s">
        <v>15</v>
      </c>
      <c r="B937" s="4" t="str">
        <f>"FES1162750232"</f>
        <v>FES1162750232</v>
      </c>
      <c r="C937" s="4" t="s">
        <v>845</v>
      </c>
      <c r="D937" s="4">
        <v>1</v>
      </c>
      <c r="E937" s="4" t="str">
        <f>"2170740440"</f>
        <v>2170740440</v>
      </c>
      <c r="F937" s="4" t="s">
        <v>17</v>
      </c>
      <c r="G937" s="4" t="s">
        <v>18</v>
      </c>
      <c r="H937" s="4" t="s">
        <v>32</v>
      </c>
      <c r="I937" s="4" t="s">
        <v>33</v>
      </c>
      <c r="J937" s="4" t="s">
        <v>552</v>
      </c>
      <c r="K937" s="4" t="s">
        <v>1015</v>
      </c>
      <c r="L937" s="5">
        <v>0.41875000000000001</v>
      </c>
      <c r="M937" s="4" t="s">
        <v>1165</v>
      </c>
      <c r="N937" s="6" t="s">
        <v>23</v>
      </c>
      <c r="O937" s="4" t="s">
        <v>24</v>
      </c>
    </row>
    <row r="938" spans="1:15" x14ac:dyDescent="0.25">
      <c r="A938" s="4" t="s">
        <v>15</v>
      </c>
      <c r="B938" s="4" t="str">
        <f>"FES1162750235"</f>
        <v>FES1162750235</v>
      </c>
      <c r="C938" s="4" t="s">
        <v>845</v>
      </c>
      <c r="D938" s="4">
        <v>1</v>
      </c>
      <c r="E938" s="4" t="str">
        <f>"2170740443"</f>
        <v>2170740443</v>
      </c>
      <c r="F938" s="4" t="s">
        <v>17</v>
      </c>
      <c r="G938" s="4" t="s">
        <v>18</v>
      </c>
      <c r="H938" s="4" t="s">
        <v>32</v>
      </c>
      <c r="I938" s="4" t="s">
        <v>33</v>
      </c>
      <c r="J938" s="4" t="s">
        <v>552</v>
      </c>
      <c r="K938" s="4" t="s">
        <v>1015</v>
      </c>
      <c r="L938" s="5">
        <v>0.41875000000000001</v>
      </c>
      <c r="M938" s="4" t="s">
        <v>1165</v>
      </c>
      <c r="N938" s="6" t="s">
        <v>23</v>
      </c>
      <c r="O938" s="4" t="s">
        <v>24</v>
      </c>
    </row>
    <row r="939" spans="1:15" x14ac:dyDescent="0.25">
      <c r="A939" s="4" t="s">
        <v>15</v>
      </c>
      <c r="B939" s="4" t="str">
        <f>"FES1162750240"</f>
        <v>FES1162750240</v>
      </c>
      <c r="C939" s="4" t="s">
        <v>845</v>
      </c>
      <c r="D939" s="4">
        <v>1</v>
      </c>
      <c r="E939" s="4" t="str">
        <f>"2170740454"</f>
        <v>2170740454</v>
      </c>
      <c r="F939" s="4" t="s">
        <v>164</v>
      </c>
      <c r="G939" s="4" t="s">
        <v>18</v>
      </c>
      <c r="H939" s="4" t="s">
        <v>18</v>
      </c>
      <c r="I939" s="4" t="s">
        <v>290</v>
      </c>
      <c r="J939" s="4" t="s">
        <v>1079</v>
      </c>
      <c r="K939" s="4" t="s">
        <v>1015</v>
      </c>
      <c r="L939" s="5">
        <v>0.42499999999999999</v>
      </c>
      <c r="M939" s="4" t="s">
        <v>1166</v>
      </c>
      <c r="N939" s="6" t="s">
        <v>23</v>
      </c>
      <c r="O939" s="4" t="s">
        <v>166</v>
      </c>
    </row>
    <row r="940" spans="1:15" x14ac:dyDescent="0.25">
      <c r="A940" s="4" t="s">
        <v>15</v>
      </c>
      <c r="B940" s="4" t="str">
        <f>"FES1162750319"</f>
        <v>FES1162750319</v>
      </c>
      <c r="C940" s="4" t="s">
        <v>845</v>
      </c>
      <c r="D940" s="4">
        <v>1</v>
      </c>
      <c r="E940" s="4" t="str">
        <f>"2170739499"</f>
        <v>2170739499</v>
      </c>
      <c r="F940" s="4" t="s">
        <v>17</v>
      </c>
      <c r="G940" s="4" t="s">
        <v>18</v>
      </c>
      <c r="H940" s="4" t="s">
        <v>18</v>
      </c>
      <c r="I940" s="4" t="s">
        <v>19</v>
      </c>
      <c r="J940" s="4" t="s">
        <v>270</v>
      </c>
      <c r="K940" s="4" t="s">
        <v>1015</v>
      </c>
      <c r="L940" s="5">
        <v>0.34583333333333338</v>
      </c>
      <c r="M940" s="4" t="s">
        <v>719</v>
      </c>
      <c r="N940" s="6" t="s">
        <v>23</v>
      </c>
      <c r="O940" s="4" t="s">
        <v>24</v>
      </c>
    </row>
    <row r="941" spans="1:15" x14ac:dyDescent="0.25">
      <c r="A941" s="4" t="s">
        <v>15</v>
      </c>
      <c r="B941" s="4" t="str">
        <f>"FES1162750290"</f>
        <v>FES1162750290</v>
      </c>
      <c r="C941" s="4" t="s">
        <v>845</v>
      </c>
      <c r="D941" s="4">
        <v>1</v>
      </c>
      <c r="E941" s="4" t="str">
        <f>"2170740538"</f>
        <v>2170740538</v>
      </c>
      <c r="F941" s="4" t="s">
        <v>17</v>
      </c>
      <c r="G941" s="4" t="s">
        <v>18</v>
      </c>
      <c r="H941" s="4" t="s">
        <v>18</v>
      </c>
      <c r="I941" s="4" t="s">
        <v>97</v>
      </c>
      <c r="J941" s="4" t="s">
        <v>1080</v>
      </c>
      <c r="K941" s="4" t="s">
        <v>1015</v>
      </c>
      <c r="L941" s="5">
        <v>0.38819444444444445</v>
      </c>
      <c r="M941" s="4" t="s">
        <v>1167</v>
      </c>
      <c r="N941" s="6" t="s">
        <v>23</v>
      </c>
      <c r="O941" s="4" t="s">
        <v>24</v>
      </c>
    </row>
    <row r="942" spans="1:15" x14ac:dyDescent="0.25">
      <c r="A942" s="4" t="s">
        <v>15</v>
      </c>
      <c r="B942" s="4" t="str">
        <f>"FES1162750305"</f>
        <v>FES1162750305</v>
      </c>
      <c r="C942" s="4" t="s">
        <v>845</v>
      </c>
      <c r="D942" s="4">
        <v>1</v>
      </c>
      <c r="E942" s="4" t="str">
        <f>"2170740554"</f>
        <v>2170740554</v>
      </c>
      <c r="F942" s="4" t="s">
        <v>17</v>
      </c>
      <c r="G942" s="4" t="s">
        <v>18</v>
      </c>
      <c r="H942" s="4" t="s">
        <v>1163</v>
      </c>
      <c r="I942" s="4" t="s">
        <v>19</v>
      </c>
      <c r="J942" s="4" t="s">
        <v>20</v>
      </c>
      <c r="K942" s="4" t="s">
        <v>1015</v>
      </c>
      <c r="L942" s="5">
        <v>0.3833333333333333</v>
      </c>
      <c r="M942" s="4" t="s">
        <v>706</v>
      </c>
      <c r="N942" s="6" t="s">
        <v>23</v>
      </c>
      <c r="O942" s="4" t="s">
        <v>24</v>
      </c>
    </row>
    <row r="943" spans="1:15" x14ac:dyDescent="0.25">
      <c r="A943" s="4" t="s">
        <v>15</v>
      </c>
      <c r="B943" s="4" t="str">
        <f>"FES1162750306"</f>
        <v>FES1162750306</v>
      </c>
      <c r="C943" s="4" t="s">
        <v>845</v>
      </c>
      <c r="D943" s="4">
        <v>1</v>
      </c>
      <c r="E943" s="4" t="str">
        <f>"2170740555"</f>
        <v>2170740555</v>
      </c>
      <c r="F943" s="4" t="s">
        <v>17</v>
      </c>
      <c r="G943" s="4" t="s">
        <v>18</v>
      </c>
      <c r="H943" s="4" t="s">
        <v>18</v>
      </c>
      <c r="I943" s="4" t="s">
        <v>19</v>
      </c>
      <c r="J943" s="4" t="s">
        <v>20</v>
      </c>
      <c r="K943" s="4" t="s">
        <v>1015</v>
      </c>
      <c r="L943" s="5">
        <v>0.3833333333333333</v>
      </c>
      <c r="M943" s="4" t="s">
        <v>706</v>
      </c>
      <c r="N943" s="6" t="s">
        <v>23</v>
      </c>
      <c r="O943" s="4" t="s">
        <v>24</v>
      </c>
    </row>
    <row r="944" spans="1:15" x14ac:dyDescent="0.25">
      <c r="A944" s="4" t="s">
        <v>15</v>
      </c>
      <c r="B944" s="4" t="str">
        <f>"FES1162750329"</f>
        <v>FES1162750329</v>
      </c>
      <c r="C944" s="4" t="s">
        <v>845</v>
      </c>
      <c r="D944" s="4">
        <v>1</v>
      </c>
      <c r="E944" s="4" t="str">
        <f>"2170740568"</f>
        <v>2170740568</v>
      </c>
      <c r="F944" s="4" t="s">
        <v>17</v>
      </c>
      <c r="G944" s="4" t="s">
        <v>18</v>
      </c>
      <c r="H944" s="4" t="s">
        <v>85</v>
      </c>
      <c r="I944" s="4" t="s">
        <v>207</v>
      </c>
      <c r="J944" s="4" t="s">
        <v>1081</v>
      </c>
      <c r="K944" s="4" t="s">
        <v>1015</v>
      </c>
      <c r="L944" s="5">
        <v>0.41666666666666669</v>
      </c>
      <c r="M944" s="4" t="s">
        <v>1168</v>
      </c>
      <c r="N944" s="6" t="s">
        <v>23</v>
      </c>
      <c r="O944" s="4" t="s">
        <v>24</v>
      </c>
    </row>
    <row r="945" spans="1:15" x14ac:dyDescent="0.25">
      <c r="A945" s="4" t="s">
        <v>15</v>
      </c>
      <c r="B945" s="4" t="str">
        <f>"FES1162750328"</f>
        <v>FES1162750328</v>
      </c>
      <c r="C945" s="4" t="s">
        <v>845</v>
      </c>
      <c r="D945" s="4">
        <v>1</v>
      </c>
      <c r="E945" s="4" t="str">
        <f>"2170740578"</f>
        <v>2170740578</v>
      </c>
      <c r="F945" s="4" t="s">
        <v>17</v>
      </c>
      <c r="G945" s="4" t="s">
        <v>18</v>
      </c>
      <c r="H945" s="4" t="s">
        <v>48</v>
      </c>
      <c r="I945" s="4" t="s">
        <v>49</v>
      </c>
      <c r="J945" s="4" t="s">
        <v>322</v>
      </c>
      <c r="K945" s="4" t="s">
        <v>1015</v>
      </c>
      <c r="L945" s="5">
        <v>0.30138888888888887</v>
      </c>
      <c r="M945" s="4" t="s">
        <v>583</v>
      </c>
      <c r="N945" s="6" t="s">
        <v>23</v>
      </c>
      <c r="O945" s="4" t="s">
        <v>24</v>
      </c>
    </row>
    <row r="946" spans="1:15" x14ac:dyDescent="0.25">
      <c r="A946" s="4" t="s">
        <v>15</v>
      </c>
      <c r="B946" s="4" t="str">
        <f>"FES1162750234"</f>
        <v>FES1162750234</v>
      </c>
      <c r="C946" s="4" t="s">
        <v>845</v>
      </c>
      <c r="D946" s="4">
        <v>1</v>
      </c>
      <c r="E946" s="4" t="str">
        <f>"2170740442"</f>
        <v>2170740442</v>
      </c>
      <c r="F946" s="4" t="s">
        <v>17</v>
      </c>
      <c r="G946" s="4" t="s">
        <v>18</v>
      </c>
      <c r="H946" s="4" t="s">
        <v>32</v>
      </c>
      <c r="I946" s="4" t="s">
        <v>33</v>
      </c>
      <c r="J946" s="4" t="s">
        <v>552</v>
      </c>
      <c r="K946" s="4" t="s">
        <v>1015</v>
      </c>
      <c r="L946" s="5">
        <v>0.41875000000000001</v>
      </c>
      <c r="M946" s="4" t="s">
        <v>1165</v>
      </c>
      <c r="N946" s="6" t="s">
        <v>23</v>
      </c>
      <c r="O946" s="4" t="s">
        <v>24</v>
      </c>
    </row>
    <row r="947" spans="1:15" x14ac:dyDescent="0.25">
      <c r="A947" s="4" t="s">
        <v>15</v>
      </c>
      <c r="B947" s="4" t="str">
        <f>"FES1162750310"</f>
        <v>FES1162750310</v>
      </c>
      <c r="C947" s="4" t="s">
        <v>845</v>
      </c>
      <c r="D947" s="4">
        <v>1</v>
      </c>
      <c r="E947" s="4" t="str">
        <f>"2170740560"</f>
        <v>2170740560</v>
      </c>
      <c r="F947" s="4" t="s">
        <v>17</v>
      </c>
      <c r="G947" s="4" t="s">
        <v>18</v>
      </c>
      <c r="H947" s="4" t="s">
        <v>18</v>
      </c>
      <c r="I947" s="4" t="s">
        <v>29</v>
      </c>
      <c r="J947" s="4" t="s">
        <v>302</v>
      </c>
      <c r="K947" s="4" t="s">
        <v>1015</v>
      </c>
      <c r="L947" s="5">
        <v>0.33333333333333331</v>
      </c>
      <c r="M947" s="4" t="s">
        <v>462</v>
      </c>
      <c r="N947" s="6" t="s">
        <v>23</v>
      </c>
      <c r="O947" s="4" t="s">
        <v>24</v>
      </c>
    </row>
    <row r="948" spans="1:15" x14ac:dyDescent="0.25">
      <c r="A948" s="4" t="s">
        <v>15</v>
      </c>
      <c r="B948" s="4" t="str">
        <f>"FES1162750233"</f>
        <v>FES1162750233</v>
      </c>
      <c r="C948" s="4" t="s">
        <v>845</v>
      </c>
      <c r="D948" s="4">
        <v>1</v>
      </c>
      <c r="E948" s="4" t="str">
        <f>"2170740441"</f>
        <v>2170740441</v>
      </c>
      <c r="F948" s="4" t="s">
        <v>17</v>
      </c>
      <c r="G948" s="4" t="s">
        <v>18</v>
      </c>
      <c r="H948" s="4" t="s">
        <v>32</v>
      </c>
      <c r="I948" s="4" t="s">
        <v>33</v>
      </c>
      <c r="J948" s="4" t="s">
        <v>552</v>
      </c>
      <c r="K948" s="4" t="s">
        <v>1015</v>
      </c>
      <c r="L948" s="5">
        <v>0.41875000000000001</v>
      </c>
      <c r="M948" s="4" t="s">
        <v>1165</v>
      </c>
      <c r="N948" s="6" t="s">
        <v>23</v>
      </c>
      <c r="O948" s="4" t="s">
        <v>24</v>
      </c>
    </row>
    <row r="949" spans="1:15" x14ac:dyDescent="0.25">
      <c r="A949" s="4" t="s">
        <v>15</v>
      </c>
      <c r="B949" s="4" t="str">
        <f>"FES1162750257"</f>
        <v>FES1162750257</v>
      </c>
      <c r="C949" s="4" t="s">
        <v>845</v>
      </c>
      <c r="D949" s="4">
        <v>1</v>
      </c>
      <c r="E949" s="4" t="str">
        <f>"2170740500"</f>
        <v>2170740500</v>
      </c>
      <c r="F949" s="4" t="s">
        <v>17</v>
      </c>
      <c r="G949" s="4" t="s">
        <v>18</v>
      </c>
      <c r="H949" s="4" t="s">
        <v>32</v>
      </c>
      <c r="I949" s="4" t="s">
        <v>33</v>
      </c>
      <c r="J949" s="4" t="s">
        <v>1082</v>
      </c>
      <c r="K949" s="4" t="s">
        <v>1015</v>
      </c>
      <c r="L949" s="5">
        <v>0.42708333333333331</v>
      </c>
      <c r="M949" s="4" t="s">
        <v>1169</v>
      </c>
      <c r="N949" s="6" t="s">
        <v>23</v>
      </c>
      <c r="O949" s="4" t="s">
        <v>24</v>
      </c>
    </row>
    <row r="950" spans="1:15" x14ac:dyDescent="0.25">
      <c r="A950" s="4" t="s">
        <v>15</v>
      </c>
      <c r="B950" s="4" t="str">
        <f>"FES1162750335"</f>
        <v>FES1162750335</v>
      </c>
      <c r="C950" s="4" t="s">
        <v>845</v>
      </c>
      <c r="D950" s="4">
        <v>1</v>
      </c>
      <c r="E950" s="4" t="str">
        <f>"2170740376"</f>
        <v>2170740376</v>
      </c>
      <c r="F950" s="4" t="s">
        <v>17</v>
      </c>
      <c r="G950" s="4" t="s">
        <v>18</v>
      </c>
      <c r="H950" s="4" t="s">
        <v>40</v>
      </c>
      <c r="I950" s="4" t="s">
        <v>41</v>
      </c>
      <c r="J950" s="4" t="s">
        <v>255</v>
      </c>
      <c r="K950" s="4" t="s">
        <v>1015</v>
      </c>
      <c r="L950" s="5">
        <v>0.4291666666666667</v>
      </c>
      <c r="M950" s="4" t="s">
        <v>1170</v>
      </c>
      <c r="N950" s="6" t="s">
        <v>23</v>
      </c>
      <c r="O950" s="4" t="s">
        <v>24</v>
      </c>
    </row>
    <row r="951" spans="1:15" x14ac:dyDescent="0.25">
      <c r="A951" s="4" t="s">
        <v>15</v>
      </c>
      <c r="B951" s="4" t="str">
        <f>"FES1162750301"</f>
        <v>FES1162750301</v>
      </c>
      <c r="C951" s="4" t="s">
        <v>845</v>
      </c>
      <c r="D951" s="4">
        <v>1</v>
      </c>
      <c r="E951" s="4" t="str">
        <f>"2170738838"</f>
        <v>2170738838</v>
      </c>
      <c r="F951" s="4" t="s">
        <v>17</v>
      </c>
      <c r="G951" s="4" t="s">
        <v>18</v>
      </c>
      <c r="H951" s="4" t="s">
        <v>18</v>
      </c>
      <c r="I951" s="4" t="s">
        <v>45</v>
      </c>
      <c r="J951" s="4" t="s">
        <v>1083</v>
      </c>
      <c r="K951" s="4" t="s">
        <v>1015</v>
      </c>
      <c r="L951" s="5">
        <v>0.4291666666666667</v>
      </c>
      <c r="M951" s="4" t="s">
        <v>1255</v>
      </c>
      <c r="N951" s="6" t="s">
        <v>23</v>
      </c>
      <c r="O951" s="4" t="s">
        <v>24</v>
      </c>
    </row>
    <row r="952" spans="1:15" x14ac:dyDescent="0.25">
      <c r="A952" s="4" t="s">
        <v>15</v>
      </c>
      <c r="B952" s="4" t="str">
        <f>"FES1162750313"</f>
        <v>FES1162750313</v>
      </c>
      <c r="C952" s="4" t="s">
        <v>845</v>
      </c>
      <c r="D952" s="4">
        <v>1</v>
      </c>
      <c r="E952" s="4" t="str">
        <f>"2170740561"</f>
        <v>2170740561</v>
      </c>
      <c r="F952" s="4" t="s">
        <v>17</v>
      </c>
      <c r="G952" s="4" t="s">
        <v>18</v>
      </c>
      <c r="H952" s="4" t="s">
        <v>25</v>
      </c>
      <c r="I952" s="4" t="s">
        <v>26</v>
      </c>
      <c r="J952" s="4" t="s">
        <v>414</v>
      </c>
      <c r="K952" s="4" t="s">
        <v>1015</v>
      </c>
      <c r="L952" s="5">
        <v>0.77500000000000002</v>
      </c>
      <c r="M952" s="4" t="s">
        <v>1171</v>
      </c>
      <c r="N952" s="6" t="s">
        <v>23</v>
      </c>
      <c r="O952" s="4" t="s">
        <v>24</v>
      </c>
    </row>
    <row r="953" spans="1:15" x14ac:dyDescent="0.25">
      <c r="A953" s="4" t="s">
        <v>15</v>
      </c>
      <c r="B953" s="4" t="str">
        <f>"FES1162750198"</f>
        <v>FES1162750198</v>
      </c>
      <c r="C953" s="4" t="s">
        <v>845</v>
      </c>
      <c r="D953" s="4">
        <v>1</v>
      </c>
      <c r="E953" s="4" t="str">
        <f>"21707387109"</f>
        <v>21707387109</v>
      </c>
      <c r="F953" s="4" t="s">
        <v>17</v>
      </c>
      <c r="G953" s="4" t="s">
        <v>18</v>
      </c>
      <c r="H953" s="4" t="s">
        <v>25</v>
      </c>
      <c r="I953" s="4" t="s">
        <v>26</v>
      </c>
      <c r="J953" s="4" t="s">
        <v>1084</v>
      </c>
      <c r="K953" s="4" t="s">
        <v>1015</v>
      </c>
      <c r="L953" s="5">
        <v>0.77500000000000002</v>
      </c>
      <c r="M953" s="4" t="s">
        <v>1254</v>
      </c>
      <c r="N953" s="6" t="s">
        <v>23</v>
      </c>
      <c r="O953" s="4" t="s">
        <v>24</v>
      </c>
    </row>
    <row r="954" spans="1:15" x14ac:dyDescent="0.25">
      <c r="A954" s="4" t="s">
        <v>15</v>
      </c>
      <c r="B954" s="4" t="str">
        <f>"FES1162750330"</f>
        <v>FES1162750330</v>
      </c>
      <c r="C954" s="4" t="s">
        <v>845</v>
      </c>
      <c r="D954" s="4">
        <v>1</v>
      </c>
      <c r="E954" s="4" t="str">
        <f>"2170740572"</f>
        <v>2170740572</v>
      </c>
      <c r="F954" s="4" t="s">
        <v>17</v>
      </c>
      <c r="G954" s="4" t="s">
        <v>18</v>
      </c>
      <c r="H954" s="4" t="s">
        <v>178</v>
      </c>
      <c r="I954" s="4" t="s">
        <v>179</v>
      </c>
      <c r="J954" s="4" t="s">
        <v>107</v>
      </c>
      <c r="K954" s="4" t="s">
        <v>1015</v>
      </c>
      <c r="L954" s="5">
        <v>0.39583333333333331</v>
      </c>
      <c r="M954" s="4" t="s">
        <v>1003</v>
      </c>
      <c r="N954" s="4" t="s">
        <v>23</v>
      </c>
      <c r="O954" s="4" t="s">
        <v>24</v>
      </c>
    </row>
    <row r="955" spans="1:15" x14ac:dyDescent="0.25">
      <c r="A955" s="4" t="s">
        <v>15</v>
      </c>
      <c r="B955" s="4" t="str">
        <f>"FES1162750309"</f>
        <v>FES1162750309</v>
      </c>
      <c r="C955" s="4" t="s">
        <v>845</v>
      </c>
      <c r="D955" s="4">
        <v>1</v>
      </c>
      <c r="E955" s="4" t="str">
        <f>"2170740558"</f>
        <v>2170740558</v>
      </c>
      <c r="F955" s="4" t="s">
        <v>17</v>
      </c>
      <c r="G955" s="4" t="s">
        <v>18</v>
      </c>
      <c r="H955" s="4" t="s">
        <v>40</v>
      </c>
      <c r="I955" s="4" t="s">
        <v>41</v>
      </c>
      <c r="J955" s="4" t="s">
        <v>77</v>
      </c>
      <c r="K955" s="4" t="s">
        <v>1015</v>
      </c>
      <c r="L955" s="5">
        <v>0.55208333333333337</v>
      </c>
      <c r="M955" s="4" t="s">
        <v>1172</v>
      </c>
      <c r="N955" s="4" t="s">
        <v>23</v>
      </c>
      <c r="O955" s="4" t="s">
        <v>24</v>
      </c>
    </row>
    <row r="956" spans="1:15" x14ac:dyDescent="0.25">
      <c r="A956" s="4" t="s">
        <v>15</v>
      </c>
      <c r="B956" s="4" t="str">
        <f>"FES1162750293"</f>
        <v>FES1162750293</v>
      </c>
      <c r="C956" s="4" t="s">
        <v>845</v>
      </c>
      <c r="D956" s="4">
        <v>1</v>
      </c>
      <c r="E956" s="4" t="str">
        <f>"2170740541"</f>
        <v>2170740541</v>
      </c>
      <c r="F956" s="4" t="s">
        <v>17</v>
      </c>
      <c r="G956" s="4" t="s">
        <v>18</v>
      </c>
      <c r="H956" s="4" t="s">
        <v>40</v>
      </c>
      <c r="I956" s="4" t="s">
        <v>870</v>
      </c>
      <c r="J956" s="4" t="s">
        <v>1062</v>
      </c>
      <c r="K956" s="4" t="s">
        <v>1015</v>
      </c>
      <c r="L956" s="5">
        <v>0.52361111111111114</v>
      </c>
      <c r="M956" s="4" t="s">
        <v>1141</v>
      </c>
      <c r="N956" s="4" t="s">
        <v>23</v>
      </c>
      <c r="O956" s="4" t="s">
        <v>24</v>
      </c>
    </row>
    <row r="957" spans="1:15" x14ac:dyDescent="0.25">
      <c r="A957" s="4" t="s">
        <v>15</v>
      </c>
      <c r="B957" s="4" t="str">
        <f>"FES1162750302"</f>
        <v>FES1162750302</v>
      </c>
      <c r="C957" s="4" t="s">
        <v>845</v>
      </c>
      <c r="D957" s="4">
        <v>1</v>
      </c>
      <c r="E957" s="4" t="str">
        <f>"2170738050"</f>
        <v>2170738050</v>
      </c>
      <c r="F957" s="4" t="s">
        <v>17</v>
      </c>
      <c r="G957" s="4" t="s">
        <v>18</v>
      </c>
      <c r="H957" s="4" t="s">
        <v>25</v>
      </c>
      <c r="I957" s="4" t="s">
        <v>26</v>
      </c>
      <c r="J957" s="4" t="s">
        <v>1085</v>
      </c>
      <c r="K957" s="4" t="s">
        <v>1015</v>
      </c>
      <c r="L957" s="5">
        <v>0.52361111111111114</v>
      </c>
      <c r="M957" s="4" t="s">
        <v>1253</v>
      </c>
      <c r="N957" s="4" t="s">
        <v>23</v>
      </c>
      <c r="O957" s="4" t="s">
        <v>24</v>
      </c>
    </row>
    <row r="958" spans="1:15" x14ac:dyDescent="0.25">
      <c r="A958" s="4" t="s">
        <v>15</v>
      </c>
      <c r="B958" s="4" t="str">
        <f>"FES1162750322"</f>
        <v>FES1162750322</v>
      </c>
      <c r="C958" s="4" t="s">
        <v>845</v>
      </c>
      <c r="D958" s="4">
        <v>1</v>
      </c>
      <c r="E958" s="4" t="str">
        <f>"2170740559"</f>
        <v>2170740559</v>
      </c>
      <c r="F958" s="4" t="s">
        <v>17</v>
      </c>
      <c r="G958" s="4" t="s">
        <v>18</v>
      </c>
      <c r="H958" s="4" t="s">
        <v>85</v>
      </c>
      <c r="I958" s="4" t="s">
        <v>144</v>
      </c>
      <c r="J958" s="4" t="s">
        <v>808</v>
      </c>
      <c r="K958" s="4" t="s">
        <v>1015</v>
      </c>
      <c r="L958" s="5">
        <v>0.3611111111111111</v>
      </c>
      <c r="M958" s="4" t="s">
        <v>1086</v>
      </c>
      <c r="N958" s="6" t="s">
        <v>23</v>
      </c>
      <c r="O958" s="4" t="s">
        <v>24</v>
      </c>
    </row>
    <row r="959" spans="1:15" x14ac:dyDescent="0.25">
      <c r="A959" s="4" t="s">
        <v>15</v>
      </c>
      <c r="B959" s="4" t="str">
        <f>"FES1162750336"</f>
        <v>FES1162750336</v>
      </c>
      <c r="C959" s="4" t="s">
        <v>845</v>
      </c>
      <c r="D959" s="4">
        <v>1</v>
      </c>
      <c r="E959" s="4" t="str">
        <f>"2170739855"</f>
        <v>2170739855</v>
      </c>
      <c r="F959" s="4" t="s">
        <v>1162</v>
      </c>
      <c r="G959" s="4" t="s">
        <v>1163</v>
      </c>
      <c r="H959" s="4" t="s">
        <v>25</v>
      </c>
      <c r="I959" s="4" t="s">
        <v>26</v>
      </c>
      <c r="J959" s="4" t="s">
        <v>1087</v>
      </c>
      <c r="K959" s="4" t="s">
        <v>1015</v>
      </c>
      <c r="L959" s="5">
        <v>0.3611111111111111</v>
      </c>
      <c r="M959" s="4" t="s">
        <v>1252</v>
      </c>
      <c r="N959" s="6" t="s">
        <v>23</v>
      </c>
      <c r="O959" s="4" t="s">
        <v>24</v>
      </c>
    </row>
    <row r="960" spans="1:15" x14ac:dyDescent="0.25">
      <c r="A960" s="4" t="s">
        <v>15</v>
      </c>
      <c r="B960" s="4" t="str">
        <f>"FES1162750202"</f>
        <v>FES1162750202</v>
      </c>
      <c r="C960" s="4" t="s">
        <v>845</v>
      </c>
      <c r="D960" s="4">
        <v>1</v>
      </c>
      <c r="E960" s="4" t="str">
        <f>"2170740284"</f>
        <v>2170740284</v>
      </c>
      <c r="F960" s="4" t="s">
        <v>17</v>
      </c>
      <c r="G960" s="4" t="s">
        <v>18</v>
      </c>
      <c r="H960" s="4" t="s">
        <v>32</v>
      </c>
      <c r="I960" s="4" t="s">
        <v>33</v>
      </c>
      <c r="J960" s="4" t="s">
        <v>1088</v>
      </c>
      <c r="K960" s="4" t="s">
        <v>1015</v>
      </c>
      <c r="L960" s="5">
        <v>0.50555555555555554</v>
      </c>
      <c r="M960" s="4" t="s">
        <v>1173</v>
      </c>
      <c r="N960" s="6" t="s">
        <v>23</v>
      </c>
      <c r="O960" s="4" t="s">
        <v>24</v>
      </c>
    </row>
    <row r="961" spans="1:15" x14ac:dyDescent="0.25">
      <c r="A961" s="4" t="s">
        <v>15</v>
      </c>
      <c r="B961" s="4" t="str">
        <f>"FES1162750284"</f>
        <v>FES1162750284</v>
      </c>
      <c r="C961" s="4" t="s">
        <v>845</v>
      </c>
      <c r="D961" s="4">
        <v>1</v>
      </c>
      <c r="E961" s="4" t="str">
        <f>"2170740531"</f>
        <v>2170740531</v>
      </c>
      <c r="F961" s="4" t="s">
        <v>17</v>
      </c>
      <c r="G961" s="4" t="s">
        <v>18</v>
      </c>
      <c r="H961" s="4" t="s">
        <v>18</v>
      </c>
      <c r="I961" s="4" t="s">
        <v>183</v>
      </c>
      <c r="J961" s="4" t="s">
        <v>353</v>
      </c>
      <c r="K961" s="4" t="s">
        <v>1015</v>
      </c>
      <c r="L961" s="5">
        <v>0.35416666666666669</v>
      </c>
      <c r="M961" s="4" t="s">
        <v>1089</v>
      </c>
      <c r="N961" s="6" t="s">
        <v>23</v>
      </c>
      <c r="O961" s="4" t="s">
        <v>24</v>
      </c>
    </row>
    <row r="962" spans="1:15" x14ac:dyDescent="0.25">
      <c r="A962" s="4" t="s">
        <v>15</v>
      </c>
      <c r="B962" s="4" t="str">
        <f>"FES1162750300"</f>
        <v>FES1162750300</v>
      </c>
      <c r="C962" s="4" t="s">
        <v>845</v>
      </c>
      <c r="D962" s="4">
        <v>1</v>
      </c>
      <c r="E962" s="4" t="str">
        <f>"2170738819"</f>
        <v>2170738819</v>
      </c>
      <c r="F962" s="4" t="s">
        <v>17</v>
      </c>
      <c r="G962" s="4" t="s">
        <v>18</v>
      </c>
      <c r="H962" s="4" t="s">
        <v>18</v>
      </c>
      <c r="I962" s="4" t="s">
        <v>29</v>
      </c>
      <c r="J962" s="4" t="s">
        <v>1090</v>
      </c>
      <c r="K962" s="4" t="s">
        <v>1015</v>
      </c>
      <c r="L962" s="5">
        <v>0.36805555555555558</v>
      </c>
      <c r="M962" s="4" t="s">
        <v>1174</v>
      </c>
      <c r="N962" s="6" t="s">
        <v>23</v>
      </c>
      <c r="O962" s="4" t="s">
        <v>24</v>
      </c>
    </row>
    <row r="963" spans="1:15" x14ac:dyDescent="0.25">
      <c r="A963" s="4" t="s">
        <v>15</v>
      </c>
      <c r="B963" s="4" t="str">
        <f>"FES1162750308"</f>
        <v>FES1162750308</v>
      </c>
      <c r="C963" s="4" t="s">
        <v>845</v>
      </c>
      <c r="D963" s="4">
        <v>1</v>
      </c>
      <c r="E963" s="4" t="str">
        <f>"2170740557"</f>
        <v>2170740557</v>
      </c>
      <c r="F963" s="4" t="s">
        <v>17</v>
      </c>
      <c r="G963" s="4" t="s">
        <v>18</v>
      </c>
      <c r="H963" s="4" t="s">
        <v>18</v>
      </c>
      <c r="I963" s="4" t="s">
        <v>29</v>
      </c>
      <c r="J963" s="4" t="s">
        <v>638</v>
      </c>
      <c r="K963" s="4" t="s">
        <v>1015</v>
      </c>
      <c r="L963" s="5">
        <v>0.375</v>
      </c>
      <c r="M963" s="4" t="s">
        <v>65</v>
      </c>
      <c r="N963" s="6" t="s">
        <v>23</v>
      </c>
      <c r="O963" s="4" t="s">
        <v>24</v>
      </c>
    </row>
    <row r="964" spans="1:15" x14ac:dyDescent="0.25">
      <c r="A964" s="4" t="s">
        <v>15</v>
      </c>
      <c r="B964" s="4" t="str">
        <f>"FES1162750354"</f>
        <v>FES1162750354</v>
      </c>
      <c r="C964" s="4" t="s">
        <v>845</v>
      </c>
      <c r="D964" s="4">
        <v>1</v>
      </c>
      <c r="E964" s="4" t="str">
        <f>"2170738909"</f>
        <v>2170738909</v>
      </c>
      <c r="F964" s="4" t="s">
        <v>17</v>
      </c>
      <c r="G964" s="4" t="s">
        <v>18</v>
      </c>
      <c r="H964" s="4" t="s">
        <v>18</v>
      </c>
      <c r="I964" s="4" t="s">
        <v>19</v>
      </c>
      <c r="J964" s="4" t="s">
        <v>355</v>
      </c>
      <c r="K964" s="4" t="s">
        <v>1015</v>
      </c>
      <c r="L964" s="5">
        <v>0.375</v>
      </c>
      <c r="M964" s="4" t="s">
        <v>1175</v>
      </c>
      <c r="N964" s="6" t="s">
        <v>23</v>
      </c>
      <c r="O964" s="4" t="s">
        <v>24</v>
      </c>
    </row>
    <row r="965" spans="1:15" x14ac:dyDescent="0.25">
      <c r="A965" s="4" t="s">
        <v>15</v>
      </c>
      <c r="B965" s="4" t="str">
        <f>"FES1162750357"</f>
        <v>FES1162750357</v>
      </c>
      <c r="C965" s="4" t="s">
        <v>845</v>
      </c>
      <c r="D965" s="4">
        <v>1</v>
      </c>
      <c r="E965" s="4" t="str">
        <f>"217070740614"</f>
        <v>217070740614</v>
      </c>
      <c r="F965" s="4" t="s">
        <v>17</v>
      </c>
      <c r="G965" s="4" t="s">
        <v>18</v>
      </c>
      <c r="H965" s="4" t="s">
        <v>18</v>
      </c>
      <c r="I965" s="4" t="s">
        <v>29</v>
      </c>
      <c r="J965" s="4" t="s">
        <v>1091</v>
      </c>
      <c r="K965" s="4" t="s">
        <v>1015</v>
      </c>
      <c r="L965" s="5">
        <v>0.41666666666666669</v>
      </c>
      <c r="M965" s="4" t="s">
        <v>1176</v>
      </c>
      <c r="N965" s="6" t="s">
        <v>23</v>
      </c>
      <c r="O965" s="4" t="s">
        <v>24</v>
      </c>
    </row>
    <row r="966" spans="1:15" x14ac:dyDescent="0.25">
      <c r="A966" s="4" t="s">
        <v>15</v>
      </c>
      <c r="B966" s="4" t="str">
        <f>"FES1162750356"</f>
        <v>FES1162750356</v>
      </c>
      <c r="C966" s="4" t="s">
        <v>845</v>
      </c>
      <c r="D966" s="4">
        <v>1</v>
      </c>
      <c r="E966" s="4" t="str">
        <f>"2170740602"</f>
        <v>2170740602</v>
      </c>
      <c r="F966" s="4" t="s">
        <v>17</v>
      </c>
      <c r="G966" s="4" t="s">
        <v>18</v>
      </c>
      <c r="H966" s="4" t="s">
        <v>25</v>
      </c>
      <c r="I966" s="4" t="s">
        <v>26</v>
      </c>
      <c r="J966" s="4" t="s">
        <v>414</v>
      </c>
      <c r="K966" s="4" t="s">
        <v>1015</v>
      </c>
      <c r="L966" s="5">
        <v>0.77569444444444446</v>
      </c>
      <c r="M966" s="4" t="s">
        <v>1171</v>
      </c>
      <c r="N966" s="6" t="s">
        <v>23</v>
      </c>
      <c r="O966" s="4" t="s">
        <v>24</v>
      </c>
    </row>
    <row r="967" spans="1:15" x14ac:dyDescent="0.25">
      <c r="A967" s="4" t="s">
        <v>15</v>
      </c>
      <c r="B967" s="4" t="str">
        <f>"FES1162750342"</f>
        <v>FES1162750342</v>
      </c>
      <c r="C967" s="4" t="s">
        <v>845</v>
      </c>
      <c r="D967" s="4">
        <v>1</v>
      </c>
      <c r="E967" s="4" t="str">
        <f>"2170739797"</f>
        <v>2170739797</v>
      </c>
      <c r="F967" s="4" t="s">
        <v>17</v>
      </c>
      <c r="G967" s="4" t="s">
        <v>18</v>
      </c>
      <c r="H967" s="4" t="s">
        <v>85</v>
      </c>
      <c r="I967" s="4" t="s">
        <v>207</v>
      </c>
      <c r="J967" s="4" t="s">
        <v>619</v>
      </c>
      <c r="K967" s="4" t="s">
        <v>1015</v>
      </c>
      <c r="L967" s="5">
        <v>0.41388888888888892</v>
      </c>
      <c r="M967" s="4" t="s">
        <v>753</v>
      </c>
      <c r="N967" s="6" t="s">
        <v>23</v>
      </c>
      <c r="O967" s="4" t="s">
        <v>24</v>
      </c>
    </row>
    <row r="968" spans="1:15" x14ac:dyDescent="0.25">
      <c r="A968" s="4" t="s">
        <v>15</v>
      </c>
      <c r="B968" s="4" t="str">
        <f>"FES1162750358"</f>
        <v>FES1162750358</v>
      </c>
      <c r="C968" s="4" t="s">
        <v>845</v>
      </c>
      <c r="D968" s="4">
        <v>1</v>
      </c>
      <c r="E968" s="4" t="str">
        <f>"2170740616"</f>
        <v>2170740616</v>
      </c>
      <c r="F968" s="4" t="s">
        <v>17</v>
      </c>
      <c r="G968" s="4" t="s">
        <v>18</v>
      </c>
      <c r="H968" s="4" t="s">
        <v>18</v>
      </c>
      <c r="I968" s="4" t="s">
        <v>309</v>
      </c>
      <c r="J968" s="4" t="s">
        <v>1056</v>
      </c>
      <c r="K968" s="4" t="s">
        <v>1015</v>
      </c>
      <c r="L968" s="5">
        <v>0.33333333333333331</v>
      </c>
      <c r="M968" s="4" t="s">
        <v>1137</v>
      </c>
      <c r="N968" s="6" t="s">
        <v>23</v>
      </c>
      <c r="O968" s="4" t="s">
        <v>24</v>
      </c>
    </row>
    <row r="969" spans="1:15" x14ac:dyDescent="0.25">
      <c r="A969" s="4" t="s">
        <v>15</v>
      </c>
      <c r="B969" s="4" t="str">
        <f>"FES1162750344"</f>
        <v>FES1162750344</v>
      </c>
      <c r="C969" s="4" t="s">
        <v>845</v>
      </c>
      <c r="D969" s="4">
        <v>1</v>
      </c>
      <c r="E969" s="4" t="str">
        <f>"2170740605"</f>
        <v>2170740605</v>
      </c>
      <c r="F969" s="4" t="s">
        <v>17</v>
      </c>
      <c r="G969" s="4" t="s">
        <v>18</v>
      </c>
      <c r="H969" s="4" t="s">
        <v>25</v>
      </c>
      <c r="I969" s="4" t="s">
        <v>26</v>
      </c>
      <c r="J969" s="4" t="s">
        <v>1092</v>
      </c>
      <c r="K969" s="4" t="s">
        <v>1015</v>
      </c>
      <c r="L969" s="5">
        <v>0.33333333333333331</v>
      </c>
      <c r="M969" s="4" t="s">
        <v>1251</v>
      </c>
      <c r="N969" s="6" t="s">
        <v>23</v>
      </c>
      <c r="O969" s="4" t="s">
        <v>24</v>
      </c>
    </row>
    <row r="970" spans="1:15" x14ac:dyDescent="0.25">
      <c r="A970" s="4" t="s">
        <v>15</v>
      </c>
      <c r="B970" s="4" t="str">
        <f>"FES1162750331"</f>
        <v>FES1162750331</v>
      </c>
      <c r="C970" s="4" t="s">
        <v>845</v>
      </c>
      <c r="D970" s="4">
        <v>1</v>
      </c>
      <c r="E970" s="4" t="str">
        <f>"2170740581"</f>
        <v>2170740581</v>
      </c>
      <c r="F970" s="4" t="s">
        <v>17</v>
      </c>
      <c r="G970" s="4" t="s">
        <v>18</v>
      </c>
      <c r="H970" s="4" t="s">
        <v>18</v>
      </c>
      <c r="I970" s="4" t="s">
        <v>29</v>
      </c>
      <c r="J970" s="4" t="s">
        <v>30</v>
      </c>
      <c r="K970" s="4" t="s">
        <v>1015</v>
      </c>
      <c r="L970" s="5">
        <v>0.37152777777777773</v>
      </c>
      <c r="M970" s="4" t="s">
        <v>1177</v>
      </c>
      <c r="N970" s="6" t="s">
        <v>23</v>
      </c>
      <c r="O970" s="4" t="s">
        <v>24</v>
      </c>
    </row>
    <row r="971" spans="1:15" x14ac:dyDescent="0.25">
      <c r="A971" s="4" t="s">
        <v>15</v>
      </c>
      <c r="B971" s="4" t="str">
        <f>"FES1162750355"</f>
        <v>FES1162750355</v>
      </c>
      <c r="C971" s="4" t="s">
        <v>845</v>
      </c>
      <c r="D971" s="4">
        <v>1</v>
      </c>
      <c r="E971" s="4" t="str">
        <f>"2170740596"</f>
        <v>2170740596</v>
      </c>
      <c r="F971" s="4" t="s">
        <v>17</v>
      </c>
      <c r="G971" s="4" t="s">
        <v>18</v>
      </c>
      <c r="H971" s="4" t="s">
        <v>48</v>
      </c>
      <c r="I971" s="4" t="s">
        <v>49</v>
      </c>
      <c r="J971" s="4" t="s">
        <v>867</v>
      </c>
      <c r="K971" s="4" t="s">
        <v>1015</v>
      </c>
      <c r="L971" s="5">
        <v>0.41666666666666669</v>
      </c>
      <c r="M971" s="4" t="s">
        <v>1178</v>
      </c>
      <c r="N971" s="6" t="s">
        <v>23</v>
      </c>
      <c r="O971" s="4" t="s">
        <v>24</v>
      </c>
    </row>
    <row r="972" spans="1:15" x14ac:dyDescent="0.25">
      <c r="A972" s="4" t="s">
        <v>15</v>
      </c>
      <c r="B972" s="4" t="str">
        <f>"FES1162750250"</f>
        <v>FES1162750250</v>
      </c>
      <c r="C972" s="4" t="s">
        <v>845</v>
      </c>
      <c r="D972" s="4">
        <v>1</v>
      </c>
      <c r="E972" s="4" t="str">
        <f>"21707404780"</f>
        <v>21707404780</v>
      </c>
      <c r="F972" s="4" t="s">
        <v>17</v>
      </c>
      <c r="G972" s="4" t="s">
        <v>18</v>
      </c>
      <c r="H972" s="4" t="s">
        <v>48</v>
      </c>
      <c r="I972" s="4" t="s">
        <v>73</v>
      </c>
      <c r="J972" s="4" t="s">
        <v>574</v>
      </c>
      <c r="K972" s="4" t="s">
        <v>1015</v>
      </c>
      <c r="L972" s="5">
        <v>0.3298611111111111</v>
      </c>
      <c r="M972" s="4" t="s">
        <v>1093</v>
      </c>
      <c r="N972" s="6" t="s">
        <v>23</v>
      </c>
      <c r="O972" s="4" t="s">
        <v>24</v>
      </c>
    </row>
    <row r="973" spans="1:15" x14ac:dyDescent="0.25">
      <c r="A973" s="4" t="s">
        <v>15</v>
      </c>
      <c r="B973" s="4" t="str">
        <f>"FES1162750326"</f>
        <v>FES1162750326</v>
      </c>
      <c r="C973" s="4" t="s">
        <v>845</v>
      </c>
      <c r="D973" s="4">
        <v>1</v>
      </c>
      <c r="E973" s="4" t="str">
        <f>"2170740576"</f>
        <v>2170740576</v>
      </c>
      <c r="F973" s="4" t="s">
        <v>17</v>
      </c>
      <c r="G973" s="4" t="s">
        <v>18</v>
      </c>
      <c r="H973" s="4" t="s">
        <v>32</v>
      </c>
      <c r="I973" s="4" t="s">
        <v>33</v>
      </c>
      <c r="J973" s="4" t="s">
        <v>1094</v>
      </c>
      <c r="K973" s="4" t="s">
        <v>1015</v>
      </c>
      <c r="L973" s="5">
        <v>0.40625</v>
      </c>
      <c r="M973" s="4" t="s">
        <v>1179</v>
      </c>
      <c r="N973" s="6" t="s">
        <v>23</v>
      </c>
      <c r="O973" s="4" t="s">
        <v>24</v>
      </c>
    </row>
    <row r="974" spans="1:15" x14ac:dyDescent="0.25">
      <c r="A974" s="4" t="s">
        <v>15</v>
      </c>
      <c r="B974" s="4" t="str">
        <f>"FES1162750269"</f>
        <v>FES1162750269</v>
      </c>
      <c r="C974" s="4" t="s">
        <v>845</v>
      </c>
      <c r="D974" s="4">
        <v>1</v>
      </c>
      <c r="E974" s="4" t="str">
        <f>"2170740517"</f>
        <v>2170740517</v>
      </c>
      <c r="F974" s="4" t="s">
        <v>17</v>
      </c>
      <c r="G974" s="4" t="s">
        <v>18</v>
      </c>
      <c r="H974" s="4" t="s">
        <v>18</v>
      </c>
      <c r="I974" s="4" t="s">
        <v>307</v>
      </c>
      <c r="J974" s="4" t="s">
        <v>562</v>
      </c>
      <c r="K974" s="4" t="s">
        <v>1015</v>
      </c>
      <c r="L974" s="5">
        <v>0.43402777777777773</v>
      </c>
      <c r="M974" s="4" t="s">
        <v>1180</v>
      </c>
      <c r="N974" s="6" t="s">
        <v>23</v>
      </c>
      <c r="O974" s="4" t="s">
        <v>24</v>
      </c>
    </row>
    <row r="975" spans="1:15" x14ac:dyDescent="0.25">
      <c r="A975" s="4" t="s">
        <v>15</v>
      </c>
      <c r="B975" s="4" t="str">
        <f>"FES1162750369"</f>
        <v>FES1162750369</v>
      </c>
      <c r="C975" s="4" t="s">
        <v>845</v>
      </c>
      <c r="D975" s="4">
        <v>1</v>
      </c>
      <c r="E975" s="4" t="str">
        <f>"2170740624"</f>
        <v>2170740624</v>
      </c>
      <c r="F975" s="4" t="s">
        <v>17</v>
      </c>
      <c r="G975" s="4" t="s">
        <v>18</v>
      </c>
      <c r="H975" s="4" t="s">
        <v>18</v>
      </c>
      <c r="I975" s="4" t="s">
        <v>29</v>
      </c>
      <c r="J975" s="4" t="s">
        <v>1095</v>
      </c>
      <c r="K975" s="4" t="s">
        <v>1015</v>
      </c>
      <c r="L975" s="5">
        <v>0.3611111111111111</v>
      </c>
      <c r="M975" s="4" t="s">
        <v>1181</v>
      </c>
      <c r="N975" s="6" t="s">
        <v>23</v>
      </c>
      <c r="O975" s="4" t="s">
        <v>24</v>
      </c>
    </row>
    <row r="976" spans="1:15" x14ac:dyDescent="0.25">
      <c r="A976" s="4" t="s">
        <v>15</v>
      </c>
      <c r="B976" s="4" t="str">
        <f>"FES1162750311"</f>
        <v>FES1162750311</v>
      </c>
      <c r="C976" s="4" t="s">
        <v>845</v>
      </c>
      <c r="D976" s="4">
        <v>1</v>
      </c>
      <c r="E976" s="4" t="str">
        <f>"2170740562"</f>
        <v>2170740562</v>
      </c>
      <c r="F976" s="4" t="s">
        <v>17</v>
      </c>
      <c r="G976" s="4" t="s">
        <v>18</v>
      </c>
      <c r="H976" s="4" t="s">
        <v>18</v>
      </c>
      <c r="I976" s="4" t="s">
        <v>307</v>
      </c>
      <c r="J976" s="4" t="s">
        <v>308</v>
      </c>
      <c r="K976" s="4" t="s">
        <v>1015</v>
      </c>
      <c r="L976" s="5">
        <v>0.43055555555555558</v>
      </c>
      <c r="M976" s="4" t="s">
        <v>1182</v>
      </c>
      <c r="N976" s="6" t="s">
        <v>23</v>
      </c>
      <c r="O976" s="4" t="s">
        <v>24</v>
      </c>
    </row>
    <row r="977" spans="1:15" x14ac:dyDescent="0.25">
      <c r="A977" s="4" t="s">
        <v>15</v>
      </c>
      <c r="B977" s="4" t="str">
        <f>"FES1162750303"</f>
        <v>FES1162750303</v>
      </c>
      <c r="C977" s="4" t="s">
        <v>845</v>
      </c>
      <c r="D977" s="4">
        <v>1</v>
      </c>
      <c r="E977" s="4" t="str">
        <f>"2170740383"</f>
        <v>2170740383</v>
      </c>
      <c r="F977" s="4" t="s">
        <v>17</v>
      </c>
      <c r="G977" s="4" t="s">
        <v>18</v>
      </c>
      <c r="H977" s="4" t="s">
        <v>36</v>
      </c>
      <c r="I977" s="4" t="s">
        <v>842</v>
      </c>
      <c r="J977" s="4" t="s">
        <v>1078</v>
      </c>
      <c r="K977" s="4" t="s">
        <v>1015</v>
      </c>
      <c r="L977" s="5">
        <v>0.39027777777777778</v>
      </c>
      <c r="M977" s="4" t="s">
        <v>1164</v>
      </c>
      <c r="N977" s="6" t="s">
        <v>23</v>
      </c>
      <c r="O977" s="4" t="s">
        <v>24</v>
      </c>
    </row>
    <row r="978" spans="1:15" x14ac:dyDescent="0.25">
      <c r="A978" s="4" t="s">
        <v>15</v>
      </c>
      <c r="B978" s="4" t="str">
        <f>"FES1162750339"</f>
        <v>FES1162750339</v>
      </c>
      <c r="C978" s="4" t="s">
        <v>845</v>
      </c>
      <c r="D978" s="4">
        <v>1</v>
      </c>
      <c r="E978" s="4" t="str">
        <f>"2170740592"</f>
        <v>2170740592</v>
      </c>
      <c r="F978" s="4" t="s">
        <v>17</v>
      </c>
      <c r="G978" s="4" t="s">
        <v>18</v>
      </c>
      <c r="H978" s="4" t="s">
        <v>32</v>
      </c>
      <c r="I978" s="4" t="s">
        <v>33</v>
      </c>
      <c r="J978" s="4" t="s">
        <v>317</v>
      </c>
      <c r="K978" s="4" t="s">
        <v>1015</v>
      </c>
      <c r="L978" s="5">
        <v>0.41944444444444445</v>
      </c>
      <c r="M978" s="4" t="s">
        <v>956</v>
      </c>
      <c r="N978" s="6" t="s">
        <v>23</v>
      </c>
      <c r="O978" s="4" t="s">
        <v>24</v>
      </c>
    </row>
    <row r="979" spans="1:15" x14ac:dyDescent="0.25">
      <c r="A979" s="4" t="s">
        <v>15</v>
      </c>
      <c r="B979" s="4" t="str">
        <f>"FES1162750340"</f>
        <v>FES1162750340</v>
      </c>
      <c r="C979" s="4" t="s">
        <v>845</v>
      </c>
      <c r="D979" s="4">
        <v>1</v>
      </c>
      <c r="E979" s="4" t="str">
        <f>"2170739049"</f>
        <v>2170739049</v>
      </c>
      <c r="F979" s="4" t="s">
        <v>17</v>
      </c>
      <c r="G979" s="4" t="s">
        <v>18</v>
      </c>
      <c r="H979" s="4" t="s">
        <v>32</v>
      </c>
      <c r="I979" s="4" t="s">
        <v>33</v>
      </c>
      <c r="J979" s="4" t="s">
        <v>1096</v>
      </c>
      <c r="K979" s="4" t="s">
        <v>1015</v>
      </c>
      <c r="L979" s="5">
        <v>0.41875000000000001</v>
      </c>
      <c r="M979" s="4" t="s">
        <v>1183</v>
      </c>
      <c r="N979" s="6" t="s">
        <v>23</v>
      </c>
      <c r="O979" s="4" t="s">
        <v>24</v>
      </c>
    </row>
    <row r="980" spans="1:15" x14ac:dyDescent="0.25">
      <c r="A980" s="11" t="s">
        <v>15</v>
      </c>
      <c r="B980" s="11" t="str">
        <f>"FES1162750363"</f>
        <v>FES1162750363</v>
      </c>
      <c r="C980" s="11" t="s">
        <v>845</v>
      </c>
      <c r="D980" s="11">
        <v>1</v>
      </c>
      <c r="E980" s="11" t="str">
        <f>"21707435851"</f>
        <v>21707435851</v>
      </c>
      <c r="F980" s="11" t="s">
        <v>17</v>
      </c>
      <c r="G980" s="11" t="s">
        <v>18</v>
      </c>
      <c r="H980" s="11" t="s">
        <v>18</v>
      </c>
      <c r="I980" s="11" t="s">
        <v>292</v>
      </c>
      <c r="J980" s="11" t="s">
        <v>1097</v>
      </c>
      <c r="K980" s="11" t="s">
        <v>1015</v>
      </c>
      <c r="L980" s="12">
        <v>0.41875000000000001</v>
      </c>
      <c r="M980" s="11" t="s">
        <v>1426</v>
      </c>
      <c r="N980" s="13" t="s">
        <v>23</v>
      </c>
      <c r="O980" s="11" t="s">
        <v>24</v>
      </c>
    </row>
    <row r="981" spans="1:15" x14ac:dyDescent="0.25">
      <c r="A981" s="11" t="s">
        <v>15</v>
      </c>
      <c r="B981" s="11" t="str">
        <f>"FES1162750364"</f>
        <v>FES1162750364</v>
      </c>
      <c r="C981" s="11" t="s">
        <v>845</v>
      </c>
      <c r="D981" s="11">
        <v>1</v>
      </c>
      <c r="E981" s="11" t="str">
        <f>"2170735853"</f>
        <v>2170735853</v>
      </c>
      <c r="F981" s="11" t="s">
        <v>17</v>
      </c>
      <c r="G981" s="11" t="s">
        <v>18</v>
      </c>
      <c r="H981" s="11" t="s">
        <v>18</v>
      </c>
      <c r="I981" s="11" t="s">
        <v>292</v>
      </c>
      <c r="J981" s="11" t="s">
        <v>1097</v>
      </c>
      <c r="K981" s="11" t="s">
        <v>1015</v>
      </c>
      <c r="L981" s="12">
        <v>0.41875000000000001</v>
      </c>
      <c r="M981" s="11" t="s">
        <v>1426</v>
      </c>
      <c r="N981" s="13" t="s">
        <v>23</v>
      </c>
      <c r="O981" s="11" t="s">
        <v>24</v>
      </c>
    </row>
    <row r="982" spans="1:15" x14ac:dyDescent="0.25">
      <c r="A982" s="4" t="s">
        <v>15</v>
      </c>
      <c r="B982" s="4" t="str">
        <f>"FES1162750371"</f>
        <v>FES1162750371</v>
      </c>
      <c r="C982" s="4" t="s">
        <v>845</v>
      </c>
      <c r="D982" s="4">
        <v>1</v>
      </c>
      <c r="E982" s="4" t="str">
        <f>"2170740329"</f>
        <v>2170740329</v>
      </c>
      <c r="F982" s="4" t="s">
        <v>17</v>
      </c>
      <c r="G982" s="4" t="s">
        <v>18</v>
      </c>
      <c r="H982" s="4" t="s">
        <v>18</v>
      </c>
      <c r="I982" s="4" t="s">
        <v>1098</v>
      </c>
      <c r="J982" s="4" t="s">
        <v>1099</v>
      </c>
      <c r="K982" s="4" t="s">
        <v>1015</v>
      </c>
      <c r="L982" s="5">
        <v>0.375</v>
      </c>
      <c r="M982" s="4" t="s">
        <v>1184</v>
      </c>
      <c r="N982" s="6" t="s">
        <v>23</v>
      </c>
      <c r="O982" s="4" t="s">
        <v>24</v>
      </c>
    </row>
    <row r="983" spans="1:15" x14ac:dyDescent="0.25">
      <c r="A983" s="11" t="s">
        <v>15</v>
      </c>
      <c r="B983" s="11" t="str">
        <f>"FES1162750375"</f>
        <v>FES1162750375</v>
      </c>
      <c r="C983" s="11" t="s">
        <v>845</v>
      </c>
      <c r="D983" s="11">
        <v>1</v>
      </c>
      <c r="E983" s="11" t="str">
        <f>"2170740629"</f>
        <v>2170740629</v>
      </c>
      <c r="F983" s="11" t="s">
        <v>17</v>
      </c>
      <c r="G983" s="11" t="s">
        <v>18</v>
      </c>
      <c r="H983" s="11" t="s">
        <v>18</v>
      </c>
      <c r="I983" s="11" t="s">
        <v>29</v>
      </c>
      <c r="J983" s="11" t="s">
        <v>30</v>
      </c>
      <c r="K983" s="11" t="s">
        <v>1015</v>
      </c>
      <c r="L983" s="12">
        <v>0.37152777777777773</v>
      </c>
      <c r="M983" s="11" t="s">
        <v>1177</v>
      </c>
      <c r="N983" s="13" t="s">
        <v>23</v>
      </c>
      <c r="O983" s="11" t="s">
        <v>24</v>
      </c>
    </row>
    <row r="984" spans="1:15" x14ac:dyDescent="0.25">
      <c r="A984" s="11" t="s">
        <v>15</v>
      </c>
      <c r="B984" s="11" t="str">
        <f>"FES1162750365"</f>
        <v>FES1162750365</v>
      </c>
      <c r="C984" s="11" t="s">
        <v>845</v>
      </c>
      <c r="D984" s="11">
        <v>1</v>
      </c>
      <c r="E984" s="11" t="str">
        <f>"2170735854"</f>
        <v>2170735854</v>
      </c>
      <c r="F984" s="11" t="s">
        <v>17</v>
      </c>
      <c r="G984" s="11" t="s">
        <v>18</v>
      </c>
      <c r="H984" s="11" t="s">
        <v>18</v>
      </c>
      <c r="I984" s="11" t="s">
        <v>292</v>
      </c>
      <c r="J984" s="11" t="s">
        <v>1097</v>
      </c>
      <c r="K984" s="11" t="s">
        <v>1015</v>
      </c>
      <c r="L984" s="12">
        <v>0.37152777777777773</v>
      </c>
      <c r="M984" s="11" t="s">
        <v>1426</v>
      </c>
      <c r="N984" s="13" t="s">
        <v>23</v>
      </c>
      <c r="O984" s="11" t="s">
        <v>24</v>
      </c>
    </row>
    <row r="985" spans="1:15" x14ac:dyDescent="0.25">
      <c r="A985" s="11" t="s">
        <v>15</v>
      </c>
      <c r="B985" s="11" t="str">
        <f>"FES1162750366"</f>
        <v>FES1162750366</v>
      </c>
      <c r="C985" s="11" t="s">
        <v>845</v>
      </c>
      <c r="D985" s="11">
        <v>1</v>
      </c>
      <c r="E985" s="11" t="str">
        <f>"2170740620"</f>
        <v>2170740620</v>
      </c>
      <c r="F985" s="11" t="s">
        <v>17</v>
      </c>
      <c r="G985" s="11" t="s">
        <v>18</v>
      </c>
      <c r="H985" s="11" t="s">
        <v>18</v>
      </c>
      <c r="I985" s="11" t="s">
        <v>19</v>
      </c>
      <c r="J985" s="11" t="s">
        <v>1100</v>
      </c>
      <c r="K985" s="11" t="s">
        <v>1015</v>
      </c>
      <c r="L985" s="12">
        <v>0.35694444444444445</v>
      </c>
      <c r="M985" s="11" t="s">
        <v>1185</v>
      </c>
      <c r="N985" s="13" t="s">
        <v>23</v>
      </c>
      <c r="O985" s="11" t="s">
        <v>24</v>
      </c>
    </row>
    <row r="986" spans="1:15" x14ac:dyDescent="0.25">
      <c r="A986" s="11" t="s">
        <v>15</v>
      </c>
      <c r="B986" s="11" t="str">
        <f>"FES1162750362"</f>
        <v>FES1162750362</v>
      </c>
      <c r="C986" s="11" t="s">
        <v>845</v>
      </c>
      <c r="D986" s="11">
        <v>1</v>
      </c>
      <c r="E986" s="11" t="str">
        <f>"2170735850"</f>
        <v>2170735850</v>
      </c>
      <c r="F986" s="11" t="s">
        <v>17</v>
      </c>
      <c r="G986" s="11" t="s">
        <v>18</v>
      </c>
      <c r="H986" s="11" t="s">
        <v>18</v>
      </c>
      <c r="I986" s="11" t="s">
        <v>292</v>
      </c>
      <c r="J986" s="11" t="s">
        <v>1097</v>
      </c>
      <c r="K986" s="11" t="s">
        <v>1015</v>
      </c>
      <c r="L986" s="12">
        <v>0.35694444444444445</v>
      </c>
      <c r="M986" s="11" t="s">
        <v>1426</v>
      </c>
      <c r="N986" s="13" t="s">
        <v>23</v>
      </c>
      <c r="O986" s="11" t="s">
        <v>24</v>
      </c>
    </row>
    <row r="987" spans="1:15" x14ac:dyDescent="0.25">
      <c r="A987" s="4" t="s">
        <v>15</v>
      </c>
      <c r="B987" s="4" t="str">
        <f>"FES1162750368"</f>
        <v>FES1162750368</v>
      </c>
      <c r="C987" s="4" t="s">
        <v>845</v>
      </c>
      <c r="D987" s="4">
        <v>1</v>
      </c>
      <c r="E987" s="4" t="str">
        <f>"2170740622"</f>
        <v>2170740622</v>
      </c>
      <c r="F987" s="4" t="s">
        <v>17</v>
      </c>
      <c r="G987" s="4" t="s">
        <v>18</v>
      </c>
      <c r="H987" s="4" t="s">
        <v>18</v>
      </c>
      <c r="I987" s="4" t="s">
        <v>89</v>
      </c>
      <c r="J987" s="4" t="s">
        <v>373</v>
      </c>
      <c r="K987" s="4" t="s">
        <v>1015</v>
      </c>
      <c r="L987" s="5">
        <v>0.375</v>
      </c>
      <c r="M987" s="4" t="s">
        <v>1186</v>
      </c>
      <c r="N987" s="6" t="s">
        <v>23</v>
      </c>
      <c r="O987" s="4" t="s">
        <v>24</v>
      </c>
    </row>
    <row r="988" spans="1:15" x14ac:dyDescent="0.25">
      <c r="A988" s="11" t="s">
        <v>15</v>
      </c>
      <c r="B988" s="11" t="str">
        <f>"FES1162750361"</f>
        <v>FES1162750361</v>
      </c>
      <c r="C988" s="11" t="s">
        <v>845</v>
      </c>
      <c r="D988" s="11">
        <v>1</v>
      </c>
      <c r="E988" s="11" t="str">
        <f>"2170735084"</f>
        <v>2170735084</v>
      </c>
      <c r="F988" s="11" t="s">
        <v>17</v>
      </c>
      <c r="G988" s="11" t="s">
        <v>18</v>
      </c>
      <c r="H988" s="11" t="s">
        <v>18</v>
      </c>
      <c r="I988" s="11" t="s">
        <v>292</v>
      </c>
      <c r="J988" s="11" t="s">
        <v>1097</v>
      </c>
      <c r="K988" s="11" t="s">
        <v>1015</v>
      </c>
      <c r="L988" s="12">
        <v>0.375</v>
      </c>
      <c r="M988" s="11" t="s">
        <v>1426</v>
      </c>
      <c r="N988" s="13" t="s">
        <v>23</v>
      </c>
      <c r="O988" s="11" t="s">
        <v>24</v>
      </c>
    </row>
    <row r="989" spans="1:15" x14ac:dyDescent="0.25">
      <c r="A989" s="10" t="s">
        <v>15</v>
      </c>
      <c r="B989" s="10" t="str">
        <f>"009935712358"</f>
        <v>009935712358</v>
      </c>
      <c r="C989" s="10" t="s">
        <v>845</v>
      </c>
      <c r="D989" s="10">
        <v>2</v>
      </c>
      <c r="E989" s="10" t="str">
        <f>"1162726108"</f>
        <v>1162726108</v>
      </c>
      <c r="F989" s="10" t="s">
        <v>17</v>
      </c>
      <c r="G989" s="10" t="s">
        <v>18</v>
      </c>
      <c r="H989" s="10" t="s">
        <v>18</v>
      </c>
      <c r="I989" s="10" t="s">
        <v>147</v>
      </c>
      <c r="J989" s="10" t="s">
        <v>1101</v>
      </c>
      <c r="K989" s="10" t="s">
        <v>43</v>
      </c>
      <c r="L989" s="10"/>
      <c r="M989" s="10" t="s">
        <v>44</v>
      </c>
      <c r="N989" s="10" t="s">
        <v>1250</v>
      </c>
      <c r="O989" s="10" t="s">
        <v>801</v>
      </c>
    </row>
    <row r="990" spans="1:15" x14ac:dyDescent="0.25">
      <c r="A990" s="4" t="s">
        <v>15</v>
      </c>
      <c r="B990" s="4" t="str">
        <f>"FES1162750296"</f>
        <v>FES1162750296</v>
      </c>
      <c r="C990" s="4" t="s">
        <v>845</v>
      </c>
      <c r="D990" s="4">
        <v>1</v>
      </c>
      <c r="E990" s="4" t="str">
        <f>"2170740545"</f>
        <v>2170740545</v>
      </c>
      <c r="F990" s="4" t="s">
        <v>17</v>
      </c>
      <c r="G990" s="4" t="s">
        <v>18</v>
      </c>
      <c r="H990" s="4" t="s">
        <v>32</v>
      </c>
      <c r="I990" s="4" t="s">
        <v>33</v>
      </c>
      <c r="J990" s="4" t="s">
        <v>317</v>
      </c>
      <c r="K990" s="4" t="s">
        <v>1015</v>
      </c>
      <c r="L990" s="5">
        <v>0.41944444444444445</v>
      </c>
      <c r="M990" s="4" t="s">
        <v>956</v>
      </c>
      <c r="N990" s="6" t="s">
        <v>23</v>
      </c>
      <c r="O990" s="4" t="s">
        <v>24</v>
      </c>
    </row>
    <row r="991" spans="1:15" x14ac:dyDescent="0.25">
      <c r="A991" s="4" t="s">
        <v>15</v>
      </c>
      <c r="B991" s="4" t="str">
        <f>"009935712359"</f>
        <v>009935712359</v>
      </c>
      <c r="C991" s="4" t="s">
        <v>845</v>
      </c>
      <c r="D991" s="4">
        <v>1</v>
      </c>
      <c r="E991" s="4" t="str">
        <f>"1162745920"</f>
        <v>1162745920</v>
      </c>
      <c r="F991" s="4" t="s">
        <v>17</v>
      </c>
      <c r="G991" s="4" t="s">
        <v>18</v>
      </c>
      <c r="H991" s="4" t="s">
        <v>32</v>
      </c>
      <c r="I991" s="4" t="s">
        <v>33</v>
      </c>
      <c r="J991" s="4" t="s">
        <v>34</v>
      </c>
      <c r="K991" s="4" t="s">
        <v>1015</v>
      </c>
      <c r="L991" s="5">
        <v>0.3888888888888889</v>
      </c>
      <c r="M991" s="4" t="s">
        <v>1187</v>
      </c>
      <c r="N991" s="6" t="s">
        <v>23</v>
      </c>
      <c r="O991" s="4" t="s">
        <v>801</v>
      </c>
    </row>
    <row r="992" spans="1:15" x14ac:dyDescent="0.25">
      <c r="A992" s="4" t="s">
        <v>15</v>
      </c>
      <c r="B992" s="4" t="str">
        <f>"FES1162750378"</f>
        <v>FES1162750378</v>
      </c>
      <c r="C992" s="4" t="s">
        <v>845</v>
      </c>
      <c r="D992" s="4">
        <v>1</v>
      </c>
      <c r="E992" s="4" t="str">
        <f>"2170738752"</f>
        <v>2170738752</v>
      </c>
      <c r="F992" s="4" t="s">
        <v>17</v>
      </c>
      <c r="G992" s="4" t="s">
        <v>18</v>
      </c>
      <c r="H992" s="4" t="s">
        <v>25</v>
      </c>
      <c r="I992" s="4" t="s">
        <v>92</v>
      </c>
      <c r="J992" s="4" t="s">
        <v>555</v>
      </c>
      <c r="K992" s="4" t="s">
        <v>1015</v>
      </c>
      <c r="L992" s="5">
        <v>0.3888888888888889</v>
      </c>
      <c r="M992" s="4" t="s">
        <v>1249</v>
      </c>
      <c r="N992" s="6" t="s">
        <v>23</v>
      </c>
      <c r="O992" s="4" t="s">
        <v>24</v>
      </c>
    </row>
    <row r="993" spans="1:15" ht="15.75" thickBot="1" x14ac:dyDescent="0.3">
      <c r="A993" s="7" t="s">
        <v>15</v>
      </c>
      <c r="B993" s="7" t="str">
        <f>"FES1162750110"</f>
        <v>FES1162750110</v>
      </c>
      <c r="C993" s="7" t="s">
        <v>845</v>
      </c>
      <c r="D993" s="7">
        <v>1</v>
      </c>
      <c r="E993" s="7" t="str">
        <f>"2170739413"</f>
        <v>2170739413</v>
      </c>
      <c r="F993" s="7" t="s">
        <v>17</v>
      </c>
      <c r="G993" s="7" t="s">
        <v>18</v>
      </c>
      <c r="H993" s="7" t="s">
        <v>85</v>
      </c>
      <c r="I993" s="7" t="s">
        <v>144</v>
      </c>
      <c r="J993" s="7" t="s">
        <v>407</v>
      </c>
      <c r="K993" s="7" t="s">
        <v>1015</v>
      </c>
      <c r="L993" s="8">
        <v>0.39305555555555555</v>
      </c>
      <c r="M993" s="7" t="s">
        <v>1188</v>
      </c>
      <c r="N993" s="7" t="s">
        <v>23</v>
      </c>
      <c r="O993" s="7" t="s">
        <v>24</v>
      </c>
    </row>
    <row r="994" spans="1:15" x14ac:dyDescent="0.25">
      <c r="A994" s="1" t="s">
        <v>15</v>
      </c>
      <c r="B994" s="1" t="str">
        <f>"FES1162750582"</f>
        <v>FES1162750582</v>
      </c>
      <c r="C994" s="1" t="s">
        <v>1015</v>
      </c>
      <c r="D994" s="1">
        <v>1</v>
      </c>
      <c r="E994" s="1" t="str">
        <f>"2170739840"</f>
        <v>2170739840</v>
      </c>
      <c r="F994" s="1" t="s">
        <v>17</v>
      </c>
      <c r="G994" s="1" t="s">
        <v>18</v>
      </c>
      <c r="H994" s="1" t="s">
        <v>48</v>
      </c>
      <c r="I994" s="1" t="s">
        <v>49</v>
      </c>
      <c r="J994" s="1" t="s">
        <v>566</v>
      </c>
      <c r="K994" s="1" t="s">
        <v>1189</v>
      </c>
      <c r="L994" s="2">
        <v>0.45347222222222222</v>
      </c>
      <c r="M994" s="1" t="s">
        <v>1261</v>
      </c>
      <c r="N994" s="3" t="s">
        <v>23</v>
      </c>
      <c r="O994" s="1" t="s">
        <v>24</v>
      </c>
    </row>
    <row r="995" spans="1:15" x14ac:dyDescent="0.25">
      <c r="A995" s="4" t="s">
        <v>15</v>
      </c>
      <c r="B995" s="4" t="str">
        <f>"FES1162750445"</f>
        <v>FES1162750445</v>
      </c>
      <c r="C995" s="4" t="s">
        <v>1015</v>
      </c>
      <c r="D995" s="4">
        <v>1</v>
      </c>
      <c r="E995" s="4" t="str">
        <f>"2170740674"</f>
        <v>2170740674</v>
      </c>
      <c r="F995" s="4" t="s">
        <v>17</v>
      </c>
      <c r="G995" s="4" t="s">
        <v>18</v>
      </c>
      <c r="H995" s="4" t="s">
        <v>48</v>
      </c>
      <c r="I995" s="4" t="s">
        <v>49</v>
      </c>
      <c r="J995" s="4" t="s">
        <v>898</v>
      </c>
      <c r="K995" s="4" t="s">
        <v>1189</v>
      </c>
      <c r="L995" s="5">
        <v>0.36388888888888887</v>
      </c>
      <c r="M995" s="4" t="s">
        <v>897</v>
      </c>
      <c r="N995" s="6" t="s">
        <v>23</v>
      </c>
      <c r="O995" s="4" t="s">
        <v>24</v>
      </c>
    </row>
    <row r="996" spans="1:15" x14ac:dyDescent="0.25">
      <c r="A996" s="4" t="s">
        <v>15</v>
      </c>
      <c r="B996" s="4" t="str">
        <f>"FES1162750451"</f>
        <v>FES1162750451</v>
      </c>
      <c r="C996" s="4" t="s">
        <v>1015</v>
      </c>
      <c r="D996" s="4">
        <v>1</v>
      </c>
      <c r="E996" s="4" t="str">
        <f>"2170737540"</f>
        <v>2170737540</v>
      </c>
      <c r="F996" s="4" t="s">
        <v>17</v>
      </c>
      <c r="G996" s="4" t="s">
        <v>18</v>
      </c>
      <c r="H996" s="4" t="s">
        <v>18</v>
      </c>
      <c r="I996" s="4" t="s">
        <v>147</v>
      </c>
      <c r="J996" s="4" t="s">
        <v>848</v>
      </c>
      <c r="K996" s="4" t="s">
        <v>1189</v>
      </c>
      <c r="L996" s="5">
        <v>0.3347222222222222</v>
      </c>
      <c r="M996" s="4" t="s">
        <v>1262</v>
      </c>
      <c r="N996" s="6" t="s">
        <v>23</v>
      </c>
      <c r="O996" s="4" t="s">
        <v>24</v>
      </c>
    </row>
    <row r="997" spans="1:15" x14ac:dyDescent="0.25">
      <c r="A997" s="4" t="s">
        <v>15</v>
      </c>
      <c r="B997" s="4" t="str">
        <f>"FES1162750393"</f>
        <v>FES1162750393</v>
      </c>
      <c r="C997" s="4" t="s">
        <v>1015</v>
      </c>
      <c r="D997" s="4">
        <v>1</v>
      </c>
      <c r="E997" s="4" t="str">
        <f>"2170739148"</f>
        <v>2170739148</v>
      </c>
      <c r="F997" s="4" t="s">
        <v>17</v>
      </c>
      <c r="G997" s="4" t="s">
        <v>18</v>
      </c>
      <c r="H997" s="4" t="s">
        <v>18</v>
      </c>
      <c r="I997" s="4" t="s">
        <v>97</v>
      </c>
      <c r="J997" s="4" t="s">
        <v>859</v>
      </c>
      <c r="K997" s="4" t="s">
        <v>1189</v>
      </c>
      <c r="L997" s="5">
        <v>0.3430555555555555</v>
      </c>
      <c r="M997" s="4" t="s">
        <v>1022</v>
      </c>
      <c r="N997" s="6" t="s">
        <v>23</v>
      </c>
      <c r="O997" s="4" t="s">
        <v>24</v>
      </c>
    </row>
    <row r="998" spans="1:15" x14ac:dyDescent="0.25">
      <c r="A998" s="4" t="s">
        <v>15</v>
      </c>
      <c r="B998" s="4" t="str">
        <f>"FES1162750578"</f>
        <v>FES1162750578</v>
      </c>
      <c r="C998" s="4" t="s">
        <v>1015</v>
      </c>
      <c r="D998" s="4">
        <v>1</v>
      </c>
      <c r="E998" s="4" t="str">
        <f>"2170739653"</f>
        <v>2170739653</v>
      </c>
      <c r="F998" s="4" t="s">
        <v>17</v>
      </c>
      <c r="G998" s="4" t="s">
        <v>18</v>
      </c>
      <c r="H998" s="4" t="s">
        <v>48</v>
      </c>
      <c r="I998" s="4" t="s">
        <v>110</v>
      </c>
      <c r="J998" s="4" t="s">
        <v>111</v>
      </c>
      <c r="K998" s="4" t="s">
        <v>1189</v>
      </c>
      <c r="L998" s="5">
        <v>0.3430555555555555</v>
      </c>
      <c r="M998" s="4" t="s">
        <v>1425</v>
      </c>
      <c r="N998" s="6" t="s">
        <v>23</v>
      </c>
      <c r="O998" s="4" t="s">
        <v>24</v>
      </c>
    </row>
    <row r="999" spans="1:15" x14ac:dyDescent="0.25">
      <c r="A999" s="4" t="s">
        <v>15</v>
      </c>
      <c r="B999" s="4" t="str">
        <f>"FES1162750581"</f>
        <v>FES1162750581</v>
      </c>
      <c r="C999" s="4" t="s">
        <v>1015</v>
      </c>
      <c r="D999" s="4">
        <v>1</v>
      </c>
      <c r="E999" s="4" t="str">
        <f>"2170739811"</f>
        <v>2170739811</v>
      </c>
      <c r="F999" s="4" t="s">
        <v>17</v>
      </c>
      <c r="G999" s="4" t="s">
        <v>18</v>
      </c>
      <c r="H999" s="4" t="s">
        <v>48</v>
      </c>
      <c r="I999" s="4" t="s">
        <v>108</v>
      </c>
      <c r="J999" s="4" t="s">
        <v>109</v>
      </c>
      <c r="K999" s="4" t="s">
        <v>1189</v>
      </c>
      <c r="L999" s="5">
        <v>0.53125</v>
      </c>
      <c r="M999" s="4" t="s">
        <v>1263</v>
      </c>
      <c r="N999" s="6" t="s">
        <v>23</v>
      </c>
      <c r="O999" s="4" t="s">
        <v>24</v>
      </c>
    </row>
    <row r="1000" spans="1:15" x14ac:dyDescent="0.25">
      <c r="A1000" s="4" t="s">
        <v>15</v>
      </c>
      <c r="B1000" s="4" t="str">
        <f>"FES1162750381"</f>
        <v>FES1162750381</v>
      </c>
      <c r="C1000" s="4" t="s">
        <v>1015</v>
      </c>
      <c r="D1000" s="4">
        <v>2</v>
      </c>
      <c r="E1000" s="4" t="str">
        <f>"2170740361"</f>
        <v>2170740361</v>
      </c>
      <c r="F1000" s="4" t="s">
        <v>17</v>
      </c>
      <c r="G1000" s="4" t="s">
        <v>18</v>
      </c>
      <c r="H1000" s="4" t="s">
        <v>18</v>
      </c>
      <c r="I1000" s="4" t="s">
        <v>29</v>
      </c>
      <c r="J1000" s="4" t="s">
        <v>788</v>
      </c>
      <c r="K1000" s="4" t="s">
        <v>1189</v>
      </c>
      <c r="L1000" s="5">
        <v>0.31805555555555554</v>
      </c>
      <c r="M1000" s="4" t="s">
        <v>1190</v>
      </c>
      <c r="N1000" s="6" t="s">
        <v>23</v>
      </c>
      <c r="O1000" s="4" t="s">
        <v>24</v>
      </c>
    </row>
    <row r="1001" spans="1:15" x14ac:dyDescent="0.25">
      <c r="A1001" s="4" t="s">
        <v>15</v>
      </c>
      <c r="B1001" s="4" t="str">
        <f>"FES1162750399"</f>
        <v>FES1162750399</v>
      </c>
      <c r="C1001" s="4" t="s">
        <v>1015</v>
      </c>
      <c r="D1001" s="4">
        <v>1</v>
      </c>
      <c r="E1001" s="4" t="str">
        <f>"2170739593"</f>
        <v>2170739593</v>
      </c>
      <c r="F1001" s="4" t="s">
        <v>17</v>
      </c>
      <c r="G1001" s="4" t="s">
        <v>18</v>
      </c>
      <c r="H1001" s="4" t="s">
        <v>48</v>
      </c>
      <c r="I1001" s="4" t="s">
        <v>49</v>
      </c>
      <c r="J1001" s="4" t="s">
        <v>580</v>
      </c>
      <c r="K1001" s="4" t="s">
        <v>1189</v>
      </c>
      <c r="L1001" s="5">
        <v>0.41666666666666669</v>
      </c>
      <c r="M1001" s="4" t="s">
        <v>1264</v>
      </c>
      <c r="N1001" s="6" t="s">
        <v>23</v>
      </c>
      <c r="O1001" s="4" t="s">
        <v>24</v>
      </c>
    </row>
    <row r="1002" spans="1:15" x14ac:dyDescent="0.25">
      <c r="A1002" s="4" t="s">
        <v>15</v>
      </c>
      <c r="B1002" s="4" t="str">
        <f>"FES1162750462"</f>
        <v>FES1162750462</v>
      </c>
      <c r="C1002" s="4" t="s">
        <v>1015</v>
      </c>
      <c r="D1002" s="4">
        <v>1</v>
      </c>
      <c r="E1002" s="4" t="str">
        <f>"2170737652"</f>
        <v>2170737652</v>
      </c>
      <c r="F1002" s="4" t="s">
        <v>17</v>
      </c>
      <c r="G1002" s="4" t="s">
        <v>18</v>
      </c>
      <c r="H1002" s="4" t="s">
        <v>48</v>
      </c>
      <c r="I1002" s="4" t="s">
        <v>49</v>
      </c>
      <c r="J1002" s="4" t="s">
        <v>142</v>
      </c>
      <c r="K1002" s="4" t="s">
        <v>1189</v>
      </c>
      <c r="L1002" s="5">
        <v>0.42708333333333331</v>
      </c>
      <c r="M1002" s="4" t="s">
        <v>442</v>
      </c>
      <c r="N1002" s="6" t="s">
        <v>23</v>
      </c>
      <c r="O1002" s="4" t="s">
        <v>24</v>
      </c>
    </row>
    <row r="1003" spans="1:15" x14ac:dyDescent="0.25">
      <c r="A1003" s="4" t="s">
        <v>15</v>
      </c>
      <c r="B1003" s="4" t="str">
        <f>"FES1162750409"</f>
        <v>FES1162750409</v>
      </c>
      <c r="C1003" s="4" t="s">
        <v>1015</v>
      </c>
      <c r="D1003" s="4">
        <v>1</v>
      </c>
      <c r="E1003" s="4" t="str">
        <f>"2170740166"</f>
        <v>2170740166</v>
      </c>
      <c r="F1003" s="4" t="s">
        <v>17</v>
      </c>
      <c r="G1003" s="4" t="s">
        <v>18</v>
      </c>
      <c r="H1003" s="4" t="s">
        <v>48</v>
      </c>
      <c r="I1003" s="4" t="s">
        <v>49</v>
      </c>
      <c r="J1003" s="4" t="s">
        <v>275</v>
      </c>
      <c r="K1003" s="4" t="s">
        <v>1189</v>
      </c>
      <c r="L1003" s="5">
        <v>0.32777777777777778</v>
      </c>
      <c r="M1003" s="4" t="s">
        <v>191</v>
      </c>
      <c r="N1003" s="6" t="s">
        <v>23</v>
      </c>
      <c r="O1003" s="4" t="s">
        <v>24</v>
      </c>
    </row>
    <row r="1004" spans="1:15" x14ac:dyDescent="0.25">
      <c r="A1004" s="4" t="s">
        <v>15</v>
      </c>
      <c r="B1004" s="4" t="str">
        <f>"FES1162750585"</f>
        <v>FES1162750585</v>
      </c>
      <c r="C1004" s="4" t="s">
        <v>1015</v>
      </c>
      <c r="D1004" s="4">
        <v>1</v>
      </c>
      <c r="E1004" s="4" t="str">
        <f>"2170739989"</f>
        <v>2170739989</v>
      </c>
      <c r="F1004" s="4" t="s">
        <v>17</v>
      </c>
      <c r="G1004" s="4" t="s">
        <v>18</v>
      </c>
      <c r="H1004" s="4" t="s">
        <v>18</v>
      </c>
      <c r="I1004" s="4" t="s">
        <v>29</v>
      </c>
      <c r="J1004" s="4" t="s">
        <v>30</v>
      </c>
      <c r="K1004" s="4" t="s">
        <v>1189</v>
      </c>
      <c r="L1004" s="5">
        <v>0.36458333333333331</v>
      </c>
      <c r="M1004" s="4" t="s">
        <v>1265</v>
      </c>
      <c r="N1004" s="6" t="s">
        <v>23</v>
      </c>
      <c r="O1004" s="4" t="s">
        <v>24</v>
      </c>
    </row>
    <row r="1005" spans="1:15" x14ac:dyDescent="0.25">
      <c r="A1005" s="4" t="s">
        <v>15</v>
      </c>
      <c r="B1005" s="4" t="str">
        <f>"FES1162750382"</f>
        <v>FES1162750382</v>
      </c>
      <c r="C1005" s="4" t="s">
        <v>1015</v>
      </c>
      <c r="D1005" s="4">
        <v>1</v>
      </c>
      <c r="E1005" s="4" t="str">
        <f>"2170736795"</f>
        <v>2170736795</v>
      </c>
      <c r="F1005" s="4" t="s">
        <v>17</v>
      </c>
      <c r="G1005" s="4" t="s">
        <v>18</v>
      </c>
      <c r="H1005" s="4" t="s">
        <v>18</v>
      </c>
      <c r="I1005" s="4" t="s">
        <v>97</v>
      </c>
      <c r="J1005" s="4" t="s">
        <v>846</v>
      </c>
      <c r="K1005" s="4" t="s">
        <v>1189</v>
      </c>
      <c r="L1005" s="5">
        <v>0.27361111111111108</v>
      </c>
      <c r="M1005" s="4" t="s">
        <v>1266</v>
      </c>
      <c r="N1005" s="6" t="s">
        <v>23</v>
      </c>
      <c r="O1005" s="4" t="s">
        <v>24</v>
      </c>
    </row>
    <row r="1006" spans="1:15" x14ac:dyDescent="0.25">
      <c r="A1006" s="4" t="s">
        <v>15</v>
      </c>
      <c r="B1006" s="4" t="str">
        <f>"FES1162750587"</f>
        <v>FES1162750587</v>
      </c>
      <c r="C1006" s="4" t="s">
        <v>1015</v>
      </c>
      <c r="D1006" s="4">
        <v>1</v>
      </c>
      <c r="E1006" s="4" t="str">
        <f>"2170740213"</f>
        <v>2170740213</v>
      </c>
      <c r="F1006" s="4" t="s">
        <v>17</v>
      </c>
      <c r="G1006" s="4" t="s">
        <v>18</v>
      </c>
      <c r="H1006" s="4" t="s">
        <v>25</v>
      </c>
      <c r="I1006" s="4" t="s">
        <v>26</v>
      </c>
      <c r="J1006" s="4" t="s">
        <v>770</v>
      </c>
      <c r="K1006" s="4" t="s">
        <v>1189</v>
      </c>
      <c r="L1006" s="5">
        <v>0.42499999999999999</v>
      </c>
      <c r="M1006" s="4" t="s">
        <v>1267</v>
      </c>
      <c r="N1006" s="6" t="s">
        <v>23</v>
      </c>
      <c r="O1006" s="4" t="s">
        <v>24</v>
      </c>
    </row>
    <row r="1007" spans="1:15" x14ac:dyDescent="0.25">
      <c r="A1007" s="4" t="s">
        <v>15</v>
      </c>
      <c r="B1007" s="4" t="str">
        <f>"FES1162750597"</f>
        <v>FES1162750597</v>
      </c>
      <c r="C1007" s="4" t="s">
        <v>1015</v>
      </c>
      <c r="D1007" s="4">
        <v>1</v>
      </c>
      <c r="E1007" s="4" t="str">
        <f>"2170740726"</f>
        <v>2170740726</v>
      </c>
      <c r="F1007" s="4" t="s">
        <v>17</v>
      </c>
      <c r="G1007" s="4" t="s">
        <v>18</v>
      </c>
      <c r="H1007" s="4" t="s">
        <v>85</v>
      </c>
      <c r="I1007" s="4" t="s">
        <v>408</v>
      </c>
      <c r="J1007" s="4" t="s">
        <v>1191</v>
      </c>
      <c r="K1007" s="4" t="s">
        <v>1189</v>
      </c>
      <c r="L1007" s="5">
        <v>0.60347222222222219</v>
      </c>
      <c r="M1007" s="4" t="s">
        <v>1268</v>
      </c>
      <c r="N1007" s="6" t="s">
        <v>23</v>
      </c>
      <c r="O1007" s="4" t="s">
        <v>24</v>
      </c>
    </row>
    <row r="1008" spans="1:15" x14ac:dyDescent="0.25">
      <c r="A1008" s="4" t="s">
        <v>15</v>
      </c>
      <c r="B1008" s="4" t="str">
        <f>"FES1162750466"</f>
        <v>FES1162750466</v>
      </c>
      <c r="C1008" s="4" t="s">
        <v>1015</v>
      </c>
      <c r="D1008" s="4">
        <v>1</v>
      </c>
      <c r="E1008" s="4" t="str">
        <f>"2170737710"</f>
        <v>2170737710</v>
      </c>
      <c r="F1008" s="4" t="s">
        <v>17</v>
      </c>
      <c r="G1008" s="4" t="s">
        <v>18</v>
      </c>
      <c r="H1008" s="4" t="s">
        <v>85</v>
      </c>
      <c r="I1008" s="4" t="s">
        <v>144</v>
      </c>
      <c r="J1008" s="4" t="s">
        <v>360</v>
      </c>
      <c r="K1008" s="4" t="s">
        <v>1189</v>
      </c>
      <c r="L1008" s="5">
        <v>0.55486111111111114</v>
      </c>
      <c r="M1008" s="4" t="s">
        <v>1269</v>
      </c>
      <c r="N1008" s="6" t="s">
        <v>23</v>
      </c>
      <c r="O1008" s="4" t="s">
        <v>24</v>
      </c>
    </row>
    <row r="1009" spans="1:15" x14ac:dyDescent="0.25">
      <c r="A1009" s="4" t="s">
        <v>15</v>
      </c>
      <c r="B1009" s="4" t="str">
        <f>"FES1162750613"</f>
        <v>FES1162750613</v>
      </c>
      <c r="C1009" s="4" t="s">
        <v>1015</v>
      </c>
      <c r="D1009" s="4">
        <v>2</v>
      </c>
      <c r="E1009" s="4" t="str">
        <f>"2170731857"</f>
        <v>2170731857</v>
      </c>
      <c r="F1009" s="4" t="s">
        <v>17</v>
      </c>
      <c r="G1009" s="4" t="s">
        <v>18</v>
      </c>
      <c r="H1009" s="4" t="s">
        <v>25</v>
      </c>
      <c r="I1009" s="4" t="s">
        <v>26</v>
      </c>
      <c r="J1009" s="4" t="s">
        <v>1192</v>
      </c>
      <c r="K1009" s="4" t="s">
        <v>1189</v>
      </c>
      <c r="L1009" s="5">
        <v>0.36319444444444443</v>
      </c>
      <c r="M1009" s="4" t="s">
        <v>1270</v>
      </c>
      <c r="N1009" s="6" t="s">
        <v>23</v>
      </c>
      <c r="O1009" s="4" t="s">
        <v>24</v>
      </c>
    </row>
    <row r="1010" spans="1:15" x14ac:dyDescent="0.25">
      <c r="A1010" s="4" t="s">
        <v>15</v>
      </c>
      <c r="B1010" s="4" t="str">
        <f>"FES1162750491"</f>
        <v>FES1162750491</v>
      </c>
      <c r="C1010" s="4" t="s">
        <v>1015</v>
      </c>
      <c r="D1010" s="4">
        <v>1</v>
      </c>
      <c r="E1010" s="4" t="str">
        <f>"2170738876"</f>
        <v>2170738876</v>
      </c>
      <c r="F1010" s="4" t="s">
        <v>17</v>
      </c>
      <c r="G1010" s="4" t="s">
        <v>18</v>
      </c>
      <c r="H1010" s="4" t="s">
        <v>48</v>
      </c>
      <c r="I1010" s="4" t="s">
        <v>199</v>
      </c>
      <c r="J1010" s="4" t="s">
        <v>560</v>
      </c>
      <c r="K1010" s="4" t="s">
        <v>1189</v>
      </c>
      <c r="L1010" s="5">
        <v>0.41666666666666669</v>
      </c>
      <c r="M1010" s="4" t="s">
        <v>667</v>
      </c>
      <c r="N1010" s="6" t="s">
        <v>23</v>
      </c>
      <c r="O1010" s="4" t="s">
        <v>24</v>
      </c>
    </row>
    <row r="1011" spans="1:15" x14ac:dyDescent="0.25">
      <c r="A1011" s="4" t="s">
        <v>15</v>
      </c>
      <c r="B1011" s="4" t="str">
        <f>"FES1162750524"</f>
        <v>FES1162750524</v>
      </c>
      <c r="C1011" s="4" t="s">
        <v>1015</v>
      </c>
      <c r="D1011" s="4">
        <v>1</v>
      </c>
      <c r="E1011" s="4" t="str">
        <f>"2170739215"</f>
        <v>2170739215</v>
      </c>
      <c r="F1011" s="4" t="s">
        <v>17</v>
      </c>
      <c r="G1011" s="4" t="s">
        <v>18</v>
      </c>
      <c r="H1011" s="4" t="s">
        <v>48</v>
      </c>
      <c r="I1011" s="4" t="s">
        <v>49</v>
      </c>
      <c r="J1011" s="4" t="s">
        <v>602</v>
      </c>
      <c r="K1011" s="4" t="s">
        <v>1189</v>
      </c>
      <c r="L1011" s="5">
        <v>0.41666666666666669</v>
      </c>
      <c r="M1011" s="4" t="s">
        <v>1271</v>
      </c>
      <c r="N1011" s="6" t="s">
        <v>23</v>
      </c>
      <c r="O1011" s="4" t="s">
        <v>24</v>
      </c>
    </row>
    <row r="1012" spans="1:15" x14ac:dyDescent="0.25">
      <c r="A1012" s="4" t="s">
        <v>15</v>
      </c>
      <c r="B1012" s="4" t="str">
        <f>"009935712361"</f>
        <v>009935712361</v>
      </c>
      <c r="C1012" s="4" t="s">
        <v>1015</v>
      </c>
      <c r="D1012" s="4">
        <v>1</v>
      </c>
      <c r="E1012" s="4" t="str">
        <f>"1162748565"</f>
        <v>1162748565</v>
      </c>
      <c r="F1012" s="4" t="s">
        <v>17</v>
      </c>
      <c r="G1012" s="4" t="s">
        <v>18</v>
      </c>
      <c r="H1012" s="4" t="s">
        <v>25</v>
      </c>
      <c r="I1012" s="4" t="s">
        <v>26</v>
      </c>
      <c r="J1012" s="4" t="s">
        <v>156</v>
      </c>
      <c r="K1012" s="4" t="s">
        <v>1189</v>
      </c>
      <c r="L1012" s="5">
        <v>0.38541666666666669</v>
      </c>
      <c r="M1012" s="4" t="s">
        <v>157</v>
      </c>
      <c r="N1012" s="6" t="s">
        <v>23</v>
      </c>
      <c r="O1012" s="4" t="s">
        <v>1193</v>
      </c>
    </row>
    <row r="1013" spans="1:15" x14ac:dyDescent="0.25">
      <c r="A1013" s="4" t="s">
        <v>15</v>
      </c>
      <c r="B1013" s="4" t="str">
        <f>"FES1162750551"</f>
        <v>FES1162750551</v>
      </c>
      <c r="C1013" s="4" t="s">
        <v>1015</v>
      </c>
      <c r="D1013" s="4">
        <v>1</v>
      </c>
      <c r="E1013" s="4" t="str">
        <f>"2170739454"</f>
        <v>2170739454</v>
      </c>
      <c r="F1013" s="4" t="s">
        <v>17</v>
      </c>
      <c r="G1013" s="4" t="s">
        <v>18</v>
      </c>
      <c r="H1013" s="4" t="s">
        <v>18</v>
      </c>
      <c r="I1013" s="4" t="s">
        <v>19</v>
      </c>
      <c r="J1013" s="4" t="s">
        <v>270</v>
      </c>
      <c r="K1013" s="4" t="s">
        <v>1189</v>
      </c>
      <c r="L1013" s="5">
        <v>0.38541666666666669</v>
      </c>
      <c r="M1013" s="4" t="s">
        <v>932</v>
      </c>
      <c r="N1013" s="6" t="s">
        <v>23</v>
      </c>
      <c r="O1013" s="4" t="s">
        <v>24</v>
      </c>
    </row>
    <row r="1014" spans="1:15" x14ac:dyDescent="0.25">
      <c r="A1014" s="4" t="s">
        <v>15</v>
      </c>
      <c r="B1014" s="4" t="str">
        <f>"FES1162750415"</f>
        <v>FES1162750415</v>
      </c>
      <c r="C1014" s="4" t="s">
        <v>1015</v>
      </c>
      <c r="D1014" s="4">
        <v>1</v>
      </c>
      <c r="E1014" s="4" t="str">
        <f>"2170740544"</f>
        <v>2170740544</v>
      </c>
      <c r="F1014" s="4" t="s">
        <v>17</v>
      </c>
      <c r="G1014" s="4" t="s">
        <v>18</v>
      </c>
      <c r="H1014" s="4" t="s">
        <v>48</v>
      </c>
      <c r="I1014" s="4" t="s">
        <v>110</v>
      </c>
      <c r="J1014" s="4" t="s">
        <v>111</v>
      </c>
      <c r="K1014" s="4" t="s">
        <v>1189</v>
      </c>
      <c r="L1014" s="5">
        <v>0.38541666666666669</v>
      </c>
      <c r="M1014" s="4" t="s">
        <v>1420</v>
      </c>
      <c r="N1014" s="6" t="s">
        <v>23</v>
      </c>
      <c r="O1014" s="4" t="s">
        <v>24</v>
      </c>
    </row>
    <row r="1015" spans="1:15" x14ac:dyDescent="0.25">
      <c r="A1015" s="4" t="s">
        <v>15</v>
      </c>
      <c r="B1015" s="4" t="str">
        <f>"FES1162750510"</f>
        <v>FES1162750510</v>
      </c>
      <c r="C1015" s="4" t="s">
        <v>1015</v>
      </c>
      <c r="D1015" s="4">
        <v>1</v>
      </c>
      <c r="E1015" s="4" t="str">
        <f>"2170739218"</f>
        <v>2170739218</v>
      </c>
      <c r="F1015" s="4" t="s">
        <v>17</v>
      </c>
      <c r="G1015" s="4" t="s">
        <v>18</v>
      </c>
      <c r="H1015" s="4" t="s">
        <v>18</v>
      </c>
      <c r="I1015" s="4" t="s">
        <v>89</v>
      </c>
      <c r="J1015" s="4" t="s">
        <v>1194</v>
      </c>
      <c r="K1015" s="4" t="s">
        <v>1189</v>
      </c>
      <c r="L1015" s="5">
        <v>0.375</v>
      </c>
      <c r="M1015" s="4" t="s">
        <v>65</v>
      </c>
      <c r="N1015" s="6" t="s">
        <v>23</v>
      </c>
      <c r="O1015" s="4" t="s">
        <v>24</v>
      </c>
    </row>
    <row r="1016" spans="1:15" x14ac:dyDescent="0.25">
      <c r="A1016" s="4" t="s">
        <v>15</v>
      </c>
      <c r="B1016" s="4" t="str">
        <f>"FES1162750577"</f>
        <v>FES1162750577</v>
      </c>
      <c r="C1016" s="4" t="s">
        <v>1015</v>
      </c>
      <c r="D1016" s="4">
        <v>1</v>
      </c>
      <c r="E1016" s="4" t="str">
        <f>"2170739636"</f>
        <v>2170739636</v>
      </c>
      <c r="F1016" s="4" t="s">
        <v>17</v>
      </c>
      <c r="G1016" s="4" t="s">
        <v>18</v>
      </c>
      <c r="H1016" s="4" t="s">
        <v>18</v>
      </c>
      <c r="I1016" s="4" t="s">
        <v>29</v>
      </c>
      <c r="J1016" s="4" t="s">
        <v>64</v>
      </c>
      <c r="K1016" s="4" t="s">
        <v>1189</v>
      </c>
      <c r="L1016" s="5">
        <v>0.33333333333333331</v>
      </c>
      <c r="M1016" s="4" t="s">
        <v>1272</v>
      </c>
      <c r="N1016" s="6" t="s">
        <v>23</v>
      </c>
      <c r="O1016" s="4" t="s">
        <v>24</v>
      </c>
    </row>
    <row r="1017" spans="1:15" x14ac:dyDescent="0.25">
      <c r="A1017" s="4" t="s">
        <v>15</v>
      </c>
      <c r="B1017" s="4" t="str">
        <f>"FES1162750538"</f>
        <v>FES1162750538</v>
      </c>
      <c r="C1017" s="4" t="s">
        <v>1015</v>
      </c>
      <c r="D1017" s="4">
        <v>1</v>
      </c>
      <c r="E1017" s="4" t="str">
        <f>"2170739375"</f>
        <v>2170739375</v>
      </c>
      <c r="F1017" s="4" t="s">
        <v>17</v>
      </c>
      <c r="G1017" s="4" t="s">
        <v>18</v>
      </c>
      <c r="H1017" s="4" t="s">
        <v>18</v>
      </c>
      <c r="I1017" s="4" t="s">
        <v>19</v>
      </c>
      <c r="J1017" s="4" t="s">
        <v>1195</v>
      </c>
      <c r="K1017" s="4" t="s">
        <v>1189</v>
      </c>
      <c r="L1017" s="5">
        <v>0.33333333333333331</v>
      </c>
      <c r="M1017" s="4" t="s">
        <v>1273</v>
      </c>
      <c r="N1017" s="6" t="s">
        <v>23</v>
      </c>
      <c r="O1017" s="4" t="s">
        <v>24</v>
      </c>
    </row>
    <row r="1018" spans="1:15" x14ac:dyDescent="0.25">
      <c r="A1018" s="4" t="s">
        <v>15</v>
      </c>
      <c r="B1018" s="4" t="str">
        <f>"FES1162750527"</f>
        <v>FES1162750527</v>
      </c>
      <c r="C1018" s="4" t="s">
        <v>1015</v>
      </c>
      <c r="D1018" s="4">
        <v>1</v>
      </c>
      <c r="E1018" s="4" t="str">
        <f>"2170739259"</f>
        <v>2170739259</v>
      </c>
      <c r="F1018" s="4" t="s">
        <v>17</v>
      </c>
      <c r="G1018" s="4" t="s">
        <v>18</v>
      </c>
      <c r="H1018" s="4" t="s">
        <v>18</v>
      </c>
      <c r="I1018" s="4" t="s">
        <v>29</v>
      </c>
      <c r="J1018" s="4" t="s">
        <v>30</v>
      </c>
      <c r="K1018" s="4" t="s">
        <v>1189</v>
      </c>
      <c r="L1018" s="5">
        <v>0.36458333333333331</v>
      </c>
      <c r="M1018" s="4" t="s">
        <v>1265</v>
      </c>
      <c r="N1018" s="6" t="s">
        <v>23</v>
      </c>
      <c r="O1018" s="4" t="s">
        <v>24</v>
      </c>
    </row>
    <row r="1019" spans="1:15" x14ac:dyDescent="0.25">
      <c r="A1019" s="4" t="s">
        <v>15</v>
      </c>
      <c r="B1019" s="4" t="str">
        <f>"FES1162750395"</f>
        <v>FES1162750395</v>
      </c>
      <c r="C1019" s="4" t="s">
        <v>1015</v>
      </c>
      <c r="D1019" s="4">
        <v>1</v>
      </c>
      <c r="E1019" s="4" t="str">
        <f>"2170739494"</f>
        <v>2170739494</v>
      </c>
      <c r="F1019" s="4" t="s">
        <v>17</v>
      </c>
      <c r="G1019" s="4" t="s">
        <v>18</v>
      </c>
      <c r="H1019" s="4" t="s">
        <v>18</v>
      </c>
      <c r="I1019" s="4" t="s">
        <v>19</v>
      </c>
      <c r="J1019" s="4" t="s">
        <v>554</v>
      </c>
      <c r="K1019" s="4" t="s">
        <v>1189</v>
      </c>
      <c r="L1019" s="5">
        <v>0.375</v>
      </c>
      <c r="M1019" s="4" t="s">
        <v>1274</v>
      </c>
      <c r="N1019" s="6" t="s">
        <v>23</v>
      </c>
      <c r="O1019" s="4" t="s">
        <v>24</v>
      </c>
    </row>
    <row r="1020" spans="1:15" x14ac:dyDescent="0.25">
      <c r="A1020" s="4" t="s">
        <v>15</v>
      </c>
      <c r="B1020" s="4" t="str">
        <f>"FES1162750616"</f>
        <v>FES1162750616</v>
      </c>
      <c r="C1020" s="4" t="s">
        <v>1015</v>
      </c>
      <c r="D1020" s="4">
        <v>1</v>
      </c>
      <c r="E1020" s="4" t="str">
        <f>"2170733852"</f>
        <v>2170733852</v>
      </c>
      <c r="F1020" s="4" t="s">
        <v>17</v>
      </c>
      <c r="G1020" s="4" t="s">
        <v>18</v>
      </c>
      <c r="H1020" s="4" t="s">
        <v>25</v>
      </c>
      <c r="I1020" s="4" t="s">
        <v>26</v>
      </c>
      <c r="J1020" s="4" t="s">
        <v>1192</v>
      </c>
      <c r="K1020" s="4" t="s">
        <v>1189</v>
      </c>
      <c r="L1020" s="5">
        <v>0.37847222222222227</v>
      </c>
      <c r="M1020" s="4" t="s">
        <v>1270</v>
      </c>
      <c r="N1020" s="6" t="s">
        <v>23</v>
      </c>
      <c r="O1020" s="4" t="s">
        <v>24</v>
      </c>
    </row>
    <row r="1021" spans="1:15" x14ac:dyDescent="0.25">
      <c r="A1021" s="4" t="s">
        <v>15</v>
      </c>
      <c r="B1021" s="4" t="str">
        <f>"FES1162750609"</f>
        <v>FES1162750609</v>
      </c>
      <c r="C1021" s="4" t="s">
        <v>1015</v>
      </c>
      <c r="D1021" s="4">
        <v>1</v>
      </c>
      <c r="E1021" s="4" t="str">
        <f>"2170740738"</f>
        <v>2170740738</v>
      </c>
      <c r="F1021" s="4" t="s">
        <v>17</v>
      </c>
      <c r="G1021" s="4" t="s">
        <v>18</v>
      </c>
      <c r="H1021" s="4" t="s">
        <v>85</v>
      </c>
      <c r="I1021" s="4" t="s">
        <v>362</v>
      </c>
      <c r="J1021" s="4" t="s">
        <v>363</v>
      </c>
      <c r="K1021" s="4" t="s">
        <v>1189</v>
      </c>
      <c r="L1021" s="5">
        <v>0.47638888888888892</v>
      </c>
      <c r="M1021" s="4" t="s">
        <v>1275</v>
      </c>
      <c r="N1021" s="6" t="s">
        <v>23</v>
      </c>
      <c r="O1021" s="4" t="s">
        <v>24</v>
      </c>
    </row>
    <row r="1022" spans="1:15" x14ac:dyDescent="0.25">
      <c r="A1022" s="4" t="s">
        <v>15</v>
      </c>
      <c r="B1022" s="4" t="str">
        <f>"FES1162750400"</f>
        <v>FES1162750400</v>
      </c>
      <c r="C1022" s="4" t="s">
        <v>1015</v>
      </c>
      <c r="D1022" s="4">
        <v>1</v>
      </c>
      <c r="E1022" s="4" t="str">
        <f>"2170739697"</f>
        <v>2170739697</v>
      </c>
      <c r="F1022" s="4" t="s">
        <v>17</v>
      </c>
      <c r="G1022" s="4" t="s">
        <v>18</v>
      </c>
      <c r="H1022" s="4" t="s">
        <v>40</v>
      </c>
      <c r="I1022" s="4" t="s">
        <v>41</v>
      </c>
      <c r="J1022" s="4" t="s">
        <v>1196</v>
      </c>
      <c r="K1022" s="4" t="s">
        <v>1189</v>
      </c>
      <c r="L1022" s="5">
        <v>0.47638888888888892</v>
      </c>
      <c r="M1022" s="4" t="s">
        <v>1416</v>
      </c>
      <c r="N1022" s="6" t="s">
        <v>23</v>
      </c>
      <c r="O1022" s="4" t="s">
        <v>24</v>
      </c>
    </row>
    <row r="1023" spans="1:15" x14ac:dyDescent="0.25">
      <c r="A1023" s="4" t="s">
        <v>15</v>
      </c>
      <c r="B1023" s="4" t="str">
        <f>"FES1162750600"</f>
        <v>FES1162750600</v>
      </c>
      <c r="C1023" s="4" t="s">
        <v>1015</v>
      </c>
      <c r="D1023" s="4">
        <v>1</v>
      </c>
      <c r="E1023" s="4" t="str">
        <f>"2170740715"</f>
        <v>2170740715</v>
      </c>
      <c r="F1023" s="4" t="s">
        <v>17</v>
      </c>
      <c r="G1023" s="4" t="s">
        <v>18</v>
      </c>
      <c r="H1023" s="4" t="s">
        <v>85</v>
      </c>
      <c r="I1023" s="4" t="s">
        <v>408</v>
      </c>
      <c r="J1023" s="4" t="s">
        <v>1191</v>
      </c>
      <c r="K1023" s="4" t="s">
        <v>1189</v>
      </c>
      <c r="L1023" s="5">
        <v>0.60347222222222219</v>
      </c>
      <c r="M1023" s="4" t="s">
        <v>1268</v>
      </c>
      <c r="N1023" s="6" t="s">
        <v>23</v>
      </c>
      <c r="O1023" s="4" t="s">
        <v>24</v>
      </c>
    </row>
    <row r="1024" spans="1:15" x14ac:dyDescent="0.25">
      <c r="A1024" s="4" t="s">
        <v>15</v>
      </c>
      <c r="B1024" s="4" t="str">
        <f>"FES1162750384"</f>
        <v>FES1162750384</v>
      </c>
      <c r="C1024" s="4" t="s">
        <v>1015</v>
      </c>
      <c r="D1024" s="4">
        <v>1</v>
      </c>
      <c r="E1024" s="4" t="str">
        <f>"2170737295"</f>
        <v>2170737295</v>
      </c>
      <c r="F1024" s="4" t="s">
        <v>17</v>
      </c>
      <c r="G1024" s="4" t="s">
        <v>18</v>
      </c>
      <c r="H1024" s="4" t="s">
        <v>18</v>
      </c>
      <c r="I1024" s="4" t="s">
        <v>307</v>
      </c>
      <c r="J1024" s="4" t="s">
        <v>308</v>
      </c>
      <c r="K1024" s="4" t="s">
        <v>1189</v>
      </c>
      <c r="L1024" s="5">
        <v>0.41666666666666669</v>
      </c>
      <c r="M1024" s="4" t="s">
        <v>1276</v>
      </c>
      <c r="N1024" s="6" t="s">
        <v>23</v>
      </c>
      <c r="O1024" s="4" t="s">
        <v>24</v>
      </c>
    </row>
    <row r="1025" spans="1:15" x14ac:dyDescent="0.25">
      <c r="A1025" s="4" t="s">
        <v>15</v>
      </c>
      <c r="B1025" s="4" t="str">
        <f>"FES1162750067"</f>
        <v>FES1162750067</v>
      </c>
      <c r="C1025" s="4" t="s">
        <v>1015</v>
      </c>
      <c r="D1025" s="4">
        <v>1</v>
      </c>
      <c r="E1025" s="4" t="str">
        <f>"2170738544"</f>
        <v>2170738544</v>
      </c>
      <c r="F1025" s="4" t="s">
        <v>17</v>
      </c>
      <c r="G1025" s="4" t="s">
        <v>18</v>
      </c>
      <c r="H1025" s="4" t="s">
        <v>18</v>
      </c>
      <c r="I1025" s="4" t="s">
        <v>292</v>
      </c>
      <c r="J1025" s="4" t="s">
        <v>293</v>
      </c>
      <c r="K1025" s="4" t="s">
        <v>1189</v>
      </c>
      <c r="L1025" s="5">
        <v>0.41666666666666669</v>
      </c>
      <c r="M1025" s="4" t="s">
        <v>1277</v>
      </c>
      <c r="N1025" s="6" t="s">
        <v>23</v>
      </c>
      <c r="O1025" s="4" t="s">
        <v>24</v>
      </c>
    </row>
    <row r="1026" spans="1:15" x14ac:dyDescent="0.25">
      <c r="A1026" s="4" t="s">
        <v>15</v>
      </c>
      <c r="B1026" s="4" t="str">
        <f>"FES1162750594"</f>
        <v>FES1162750594</v>
      </c>
      <c r="C1026" s="4" t="s">
        <v>1015</v>
      </c>
      <c r="D1026" s="4">
        <v>1</v>
      </c>
      <c r="E1026" s="4" t="str">
        <f>"2170740722"</f>
        <v>2170740722</v>
      </c>
      <c r="F1026" s="4" t="s">
        <v>17</v>
      </c>
      <c r="G1026" s="4" t="s">
        <v>18</v>
      </c>
      <c r="H1026" s="4" t="s">
        <v>85</v>
      </c>
      <c r="I1026" s="4" t="s">
        <v>854</v>
      </c>
      <c r="J1026" s="4" t="s">
        <v>853</v>
      </c>
      <c r="K1026" s="4" t="s">
        <v>1189</v>
      </c>
      <c r="L1026" s="5">
        <v>0.59791666666666665</v>
      </c>
      <c r="M1026" s="4" t="s">
        <v>853</v>
      </c>
      <c r="N1026" s="6" t="s">
        <v>23</v>
      </c>
      <c r="O1026" s="4" t="s">
        <v>24</v>
      </c>
    </row>
    <row r="1027" spans="1:15" x14ac:dyDescent="0.25">
      <c r="A1027" s="4" t="s">
        <v>15</v>
      </c>
      <c r="B1027" s="4" t="str">
        <f>"FES1162750607"</f>
        <v>FES1162750607</v>
      </c>
      <c r="C1027" s="4" t="s">
        <v>1015</v>
      </c>
      <c r="D1027" s="4">
        <v>1</v>
      </c>
      <c r="E1027" s="4" t="str">
        <f>"2170740734"</f>
        <v>2170740734</v>
      </c>
      <c r="F1027" s="4" t="s">
        <v>17</v>
      </c>
      <c r="G1027" s="4" t="s">
        <v>18</v>
      </c>
      <c r="H1027" s="4" t="s">
        <v>85</v>
      </c>
      <c r="I1027" s="4" t="s">
        <v>362</v>
      </c>
      <c r="J1027" s="4" t="s">
        <v>363</v>
      </c>
      <c r="K1027" s="4" t="s">
        <v>1189</v>
      </c>
      <c r="L1027" s="5">
        <v>0.47638888888888892</v>
      </c>
      <c r="M1027" s="4" t="s">
        <v>1275</v>
      </c>
      <c r="N1027" s="6" t="s">
        <v>23</v>
      </c>
      <c r="O1027" s="4" t="s">
        <v>24</v>
      </c>
    </row>
    <row r="1028" spans="1:15" x14ac:dyDescent="0.25">
      <c r="A1028" s="4" t="s">
        <v>15</v>
      </c>
      <c r="B1028" s="4" t="str">
        <f>"FES1162750428"</f>
        <v>FES1162750428</v>
      </c>
      <c r="C1028" s="4" t="s">
        <v>1015</v>
      </c>
      <c r="D1028" s="4">
        <v>1</v>
      </c>
      <c r="E1028" s="4" t="str">
        <f>"2170740645"</f>
        <v>2170740645</v>
      </c>
      <c r="F1028" s="4" t="s">
        <v>17</v>
      </c>
      <c r="G1028" s="4" t="s">
        <v>18</v>
      </c>
      <c r="H1028" s="4" t="s">
        <v>36</v>
      </c>
      <c r="I1028" s="4" t="s">
        <v>842</v>
      </c>
      <c r="J1028" s="4" t="s">
        <v>1197</v>
      </c>
      <c r="K1028" s="4" t="s">
        <v>1189</v>
      </c>
      <c r="L1028" s="5">
        <v>0.41805555555555557</v>
      </c>
      <c r="M1028" s="4" t="s">
        <v>1033</v>
      </c>
      <c r="N1028" s="6" t="s">
        <v>23</v>
      </c>
      <c r="O1028" s="4" t="s">
        <v>24</v>
      </c>
    </row>
    <row r="1029" spans="1:15" x14ac:dyDescent="0.25">
      <c r="A1029" s="4" t="s">
        <v>15</v>
      </c>
      <c r="B1029" s="4" t="str">
        <f>"FES1162750557"</f>
        <v>FES1162750557</v>
      </c>
      <c r="C1029" s="4" t="s">
        <v>1015</v>
      </c>
      <c r="D1029" s="4">
        <v>1</v>
      </c>
      <c r="E1029" s="4" t="str">
        <f>"2170739494"</f>
        <v>2170739494</v>
      </c>
      <c r="F1029" s="4" t="s">
        <v>17</v>
      </c>
      <c r="G1029" s="4" t="s">
        <v>18</v>
      </c>
      <c r="H1029" s="4" t="s">
        <v>18</v>
      </c>
      <c r="I1029" s="4" t="s">
        <v>19</v>
      </c>
      <c r="J1029" s="4" t="s">
        <v>554</v>
      </c>
      <c r="K1029" s="4" t="s">
        <v>1189</v>
      </c>
      <c r="L1029" s="5">
        <v>0.375</v>
      </c>
      <c r="M1029" s="4" t="s">
        <v>1274</v>
      </c>
      <c r="N1029" s="6" t="s">
        <v>23</v>
      </c>
      <c r="O1029" s="4" t="s">
        <v>24</v>
      </c>
    </row>
    <row r="1030" spans="1:15" x14ac:dyDescent="0.25">
      <c r="A1030" s="4" t="s">
        <v>15</v>
      </c>
      <c r="B1030" s="4" t="str">
        <f>"FES1162750443"</f>
        <v>FES1162750443</v>
      </c>
      <c r="C1030" s="4" t="s">
        <v>1015</v>
      </c>
      <c r="D1030" s="4">
        <v>1</v>
      </c>
      <c r="E1030" s="4" t="str">
        <f>"2170740681"</f>
        <v>2170740681</v>
      </c>
      <c r="F1030" s="4" t="s">
        <v>17</v>
      </c>
      <c r="G1030" s="4" t="s">
        <v>18</v>
      </c>
      <c r="H1030" s="4" t="s">
        <v>32</v>
      </c>
      <c r="I1030" s="4" t="s">
        <v>33</v>
      </c>
      <c r="J1030" s="4" t="s">
        <v>300</v>
      </c>
      <c r="K1030" s="4" t="s">
        <v>1189</v>
      </c>
      <c r="L1030" s="5">
        <v>0.49305555555555558</v>
      </c>
      <c r="M1030" s="4" t="s">
        <v>269</v>
      </c>
      <c r="N1030" s="6" t="s">
        <v>23</v>
      </c>
      <c r="O1030" s="4" t="s">
        <v>24</v>
      </c>
    </row>
    <row r="1031" spans="1:15" x14ac:dyDescent="0.25">
      <c r="A1031" s="4" t="s">
        <v>15</v>
      </c>
      <c r="B1031" s="4" t="str">
        <f>"FES1162750426"</f>
        <v>FES1162750426</v>
      </c>
      <c r="C1031" s="4" t="s">
        <v>1015</v>
      </c>
      <c r="D1031" s="4">
        <v>1</v>
      </c>
      <c r="E1031" s="4" t="str">
        <f>"2170740643"</f>
        <v>2170740643</v>
      </c>
      <c r="F1031" s="4" t="s">
        <v>17</v>
      </c>
      <c r="G1031" s="4" t="s">
        <v>18</v>
      </c>
      <c r="H1031" s="4" t="s">
        <v>36</v>
      </c>
      <c r="I1031" s="4" t="s">
        <v>842</v>
      </c>
      <c r="J1031" s="4" t="s">
        <v>1197</v>
      </c>
      <c r="K1031" s="4" t="s">
        <v>1189</v>
      </c>
      <c r="L1031" s="5">
        <v>0.39027777777777778</v>
      </c>
      <c r="M1031" s="4" t="s">
        <v>1033</v>
      </c>
      <c r="N1031" s="6" t="s">
        <v>23</v>
      </c>
      <c r="O1031" s="4" t="s">
        <v>24</v>
      </c>
    </row>
    <row r="1032" spans="1:15" x14ac:dyDescent="0.25">
      <c r="A1032" s="4" t="s">
        <v>15</v>
      </c>
      <c r="B1032" s="4" t="str">
        <f>"FES1162750460"</f>
        <v>FES1162750460</v>
      </c>
      <c r="C1032" s="4" t="s">
        <v>1015</v>
      </c>
      <c r="D1032" s="4">
        <v>1</v>
      </c>
      <c r="E1032" s="4" t="str">
        <f>"2170737586"</f>
        <v>2170737586</v>
      </c>
      <c r="F1032" s="4" t="s">
        <v>17</v>
      </c>
      <c r="G1032" s="4" t="s">
        <v>18</v>
      </c>
      <c r="H1032" s="4" t="s">
        <v>18</v>
      </c>
      <c r="I1032" s="4" t="s">
        <v>219</v>
      </c>
      <c r="J1032" s="4" t="s">
        <v>901</v>
      </c>
      <c r="K1032" s="4" t="s">
        <v>1189</v>
      </c>
      <c r="L1032" s="5">
        <v>0.375</v>
      </c>
      <c r="M1032" s="4" t="s">
        <v>975</v>
      </c>
      <c r="N1032" s="6" t="s">
        <v>23</v>
      </c>
      <c r="O1032" s="4" t="s">
        <v>24</v>
      </c>
    </row>
    <row r="1033" spans="1:15" x14ac:dyDescent="0.25">
      <c r="A1033" s="4" t="s">
        <v>15</v>
      </c>
      <c r="B1033" s="4" t="str">
        <f>"FES1162750471"</f>
        <v>FES1162750471</v>
      </c>
      <c r="C1033" s="4" t="s">
        <v>1015</v>
      </c>
      <c r="D1033" s="4">
        <v>1</v>
      </c>
      <c r="E1033" s="4" t="str">
        <f>"2170739391"</f>
        <v>2170739391</v>
      </c>
      <c r="F1033" s="4" t="s">
        <v>17</v>
      </c>
      <c r="G1033" s="4" t="s">
        <v>18</v>
      </c>
      <c r="H1033" s="4" t="s">
        <v>18</v>
      </c>
      <c r="I1033" s="4" t="s">
        <v>19</v>
      </c>
      <c r="J1033" s="4" t="s">
        <v>1198</v>
      </c>
      <c r="K1033" s="4" t="s">
        <v>1189</v>
      </c>
      <c r="L1033" s="5">
        <v>0.42291666666666666</v>
      </c>
      <c r="M1033" s="4" t="s">
        <v>1278</v>
      </c>
      <c r="N1033" s="6" t="s">
        <v>23</v>
      </c>
      <c r="O1033" s="4" t="s">
        <v>24</v>
      </c>
    </row>
    <row r="1034" spans="1:15" x14ac:dyDescent="0.25">
      <c r="A1034" s="4" t="s">
        <v>15</v>
      </c>
      <c r="B1034" s="4" t="str">
        <f>"FES1162750579"</f>
        <v>FES1162750579</v>
      </c>
      <c r="C1034" s="4" t="s">
        <v>1015</v>
      </c>
      <c r="D1034" s="4">
        <v>1</v>
      </c>
      <c r="E1034" s="4" t="str">
        <f>"2170739784"</f>
        <v>2170739784</v>
      </c>
      <c r="F1034" s="4" t="s">
        <v>17</v>
      </c>
      <c r="G1034" s="4" t="s">
        <v>18</v>
      </c>
      <c r="H1034" s="4" t="s">
        <v>18</v>
      </c>
      <c r="I1034" s="4" t="s">
        <v>19</v>
      </c>
      <c r="J1034" s="4" t="s">
        <v>250</v>
      </c>
      <c r="K1034" s="4" t="s">
        <v>1189</v>
      </c>
      <c r="L1034" s="5">
        <v>0.375</v>
      </c>
      <c r="M1034" s="4" t="s">
        <v>65</v>
      </c>
      <c r="N1034" s="6" t="s">
        <v>23</v>
      </c>
      <c r="O1034" s="4" t="s">
        <v>24</v>
      </c>
    </row>
    <row r="1035" spans="1:15" x14ac:dyDescent="0.25">
      <c r="A1035" s="4" t="s">
        <v>15</v>
      </c>
      <c r="B1035" s="4" t="str">
        <f>"FES1162750404"</f>
        <v>FES1162750404</v>
      </c>
      <c r="C1035" s="4" t="s">
        <v>1015</v>
      </c>
      <c r="D1035" s="4">
        <v>1</v>
      </c>
      <c r="E1035" s="4" t="str">
        <f>"2170739932"</f>
        <v>2170739932</v>
      </c>
      <c r="F1035" s="4" t="s">
        <v>17</v>
      </c>
      <c r="G1035" s="4" t="s">
        <v>18</v>
      </c>
      <c r="H1035" s="4" t="s">
        <v>52</v>
      </c>
      <c r="I1035" s="4" t="s">
        <v>53</v>
      </c>
      <c r="J1035" s="4" t="s">
        <v>280</v>
      </c>
      <c r="K1035" s="4" t="s">
        <v>1189</v>
      </c>
      <c r="L1035" s="5">
        <v>0.43333333333333335</v>
      </c>
      <c r="M1035" s="4" t="s">
        <v>1149</v>
      </c>
      <c r="N1035" s="6" t="s">
        <v>23</v>
      </c>
      <c r="O1035" s="4" t="s">
        <v>24</v>
      </c>
    </row>
    <row r="1036" spans="1:15" x14ac:dyDescent="0.25">
      <c r="A1036" s="4" t="s">
        <v>15</v>
      </c>
      <c r="B1036" s="4" t="str">
        <f>"FES1162750463"</f>
        <v>FES1162750463</v>
      </c>
      <c r="C1036" s="4" t="s">
        <v>1015</v>
      </c>
      <c r="D1036" s="4">
        <v>1</v>
      </c>
      <c r="E1036" s="4" t="str">
        <f>"2170737654"</f>
        <v>2170737654</v>
      </c>
      <c r="F1036" s="4" t="s">
        <v>17</v>
      </c>
      <c r="G1036" s="4" t="s">
        <v>18</v>
      </c>
      <c r="H1036" s="4" t="s">
        <v>25</v>
      </c>
      <c r="I1036" s="4" t="s">
        <v>394</v>
      </c>
      <c r="J1036" s="4" t="s">
        <v>395</v>
      </c>
      <c r="K1036" s="4" t="s">
        <v>1189</v>
      </c>
      <c r="L1036" s="4" t="s">
        <v>1279</v>
      </c>
      <c r="M1036" s="4" t="s">
        <v>1280</v>
      </c>
      <c r="N1036" s="6" t="s">
        <v>23</v>
      </c>
      <c r="O1036" s="4" t="s">
        <v>24</v>
      </c>
    </row>
    <row r="1037" spans="1:15" x14ac:dyDescent="0.25">
      <c r="A1037" s="4" t="s">
        <v>15</v>
      </c>
      <c r="B1037" s="4" t="str">
        <f>"FES1162750540"</f>
        <v>FES1162750540</v>
      </c>
      <c r="C1037" s="4" t="s">
        <v>1015</v>
      </c>
      <c r="D1037" s="4">
        <v>1</v>
      </c>
      <c r="E1037" s="4" t="str">
        <f>"2170735054"</f>
        <v>2170735054</v>
      </c>
      <c r="F1037" s="4" t="s">
        <v>17</v>
      </c>
      <c r="G1037" s="4" t="s">
        <v>18</v>
      </c>
      <c r="H1037" s="4" t="s">
        <v>25</v>
      </c>
      <c r="I1037" s="4" t="s">
        <v>92</v>
      </c>
      <c r="J1037" s="4" t="s">
        <v>93</v>
      </c>
      <c r="K1037" s="4" t="s">
        <v>1189</v>
      </c>
      <c r="L1037" s="5">
        <v>0.34027777777777773</v>
      </c>
      <c r="M1037" s="4" t="s">
        <v>496</v>
      </c>
      <c r="N1037" s="6" t="s">
        <v>23</v>
      </c>
      <c r="O1037" s="4" t="s">
        <v>24</v>
      </c>
    </row>
    <row r="1038" spans="1:15" x14ac:dyDescent="0.25">
      <c r="A1038" s="4" t="s">
        <v>15</v>
      </c>
      <c r="B1038" s="4" t="str">
        <f>"FES1162750493"</f>
        <v>FES1162750493</v>
      </c>
      <c r="C1038" s="4" t="s">
        <v>1015</v>
      </c>
      <c r="D1038" s="4">
        <v>1</v>
      </c>
      <c r="E1038" s="4" t="str">
        <f>"2170739650"</f>
        <v>2170739650</v>
      </c>
      <c r="F1038" s="4" t="s">
        <v>17</v>
      </c>
      <c r="G1038" s="4" t="s">
        <v>18</v>
      </c>
      <c r="H1038" s="4" t="s">
        <v>25</v>
      </c>
      <c r="I1038" s="4" t="s">
        <v>26</v>
      </c>
      <c r="J1038" s="4" t="s">
        <v>1199</v>
      </c>
      <c r="K1038" s="4" t="s">
        <v>1189</v>
      </c>
      <c r="L1038" s="5">
        <v>0.65763888888888888</v>
      </c>
      <c r="M1038" s="4" t="s">
        <v>1281</v>
      </c>
      <c r="N1038" s="6" t="s">
        <v>23</v>
      </c>
      <c r="O1038" s="4" t="s">
        <v>24</v>
      </c>
    </row>
    <row r="1039" spans="1:15" x14ac:dyDescent="0.25">
      <c r="A1039" s="4" t="s">
        <v>15</v>
      </c>
      <c r="B1039" s="4" t="str">
        <f>"FES1162750539"</f>
        <v>FES1162750539</v>
      </c>
      <c r="C1039" s="4" t="s">
        <v>1015</v>
      </c>
      <c r="D1039" s="4">
        <v>1</v>
      </c>
      <c r="E1039" s="4" t="str">
        <f>"2170739376"</f>
        <v>2170739376</v>
      </c>
      <c r="F1039" s="4" t="s">
        <v>17</v>
      </c>
      <c r="G1039" s="4" t="s">
        <v>18</v>
      </c>
      <c r="H1039" s="4" t="s">
        <v>18</v>
      </c>
      <c r="I1039" s="4" t="s">
        <v>147</v>
      </c>
      <c r="J1039" s="4" t="s">
        <v>299</v>
      </c>
      <c r="K1039" s="4" t="s">
        <v>1189</v>
      </c>
      <c r="L1039" s="5">
        <v>0.33333333333333331</v>
      </c>
      <c r="M1039" s="4" t="s">
        <v>1282</v>
      </c>
      <c r="N1039" s="6" t="s">
        <v>23</v>
      </c>
      <c r="O1039" s="4" t="s">
        <v>24</v>
      </c>
    </row>
    <row r="1040" spans="1:15" x14ac:dyDescent="0.25">
      <c r="A1040" s="4" t="s">
        <v>15</v>
      </c>
      <c r="B1040" s="4" t="str">
        <f>"FES1162750388"</f>
        <v>FES1162750388</v>
      </c>
      <c r="C1040" s="4" t="s">
        <v>1015</v>
      </c>
      <c r="D1040" s="4">
        <v>1</v>
      </c>
      <c r="E1040" s="4" t="str">
        <f>"2170738662"</f>
        <v>2170738662</v>
      </c>
      <c r="F1040" s="4" t="s">
        <v>17</v>
      </c>
      <c r="G1040" s="4" t="s">
        <v>18</v>
      </c>
      <c r="H1040" s="4" t="s">
        <v>18</v>
      </c>
      <c r="I1040" s="4" t="s">
        <v>29</v>
      </c>
      <c r="J1040" s="4" t="s">
        <v>348</v>
      </c>
      <c r="K1040" s="4" t="s">
        <v>1189</v>
      </c>
      <c r="L1040" s="5">
        <v>0.4236111111111111</v>
      </c>
      <c r="M1040" s="4" t="s">
        <v>1283</v>
      </c>
      <c r="N1040" s="6" t="s">
        <v>23</v>
      </c>
      <c r="O1040" s="4" t="s">
        <v>24</v>
      </c>
    </row>
    <row r="1041" spans="1:15" x14ac:dyDescent="0.25">
      <c r="A1041" s="4" t="s">
        <v>15</v>
      </c>
      <c r="B1041" s="4" t="str">
        <f>"FES1162750617"</f>
        <v>FES1162750617</v>
      </c>
      <c r="C1041" s="4" t="s">
        <v>1015</v>
      </c>
      <c r="D1041" s="4">
        <v>1</v>
      </c>
      <c r="E1041" s="4" t="str">
        <f>"2170734716"</f>
        <v>2170734716</v>
      </c>
      <c r="F1041" s="4" t="s">
        <v>17</v>
      </c>
      <c r="G1041" s="4" t="s">
        <v>18</v>
      </c>
      <c r="H1041" s="4" t="s">
        <v>25</v>
      </c>
      <c r="I1041" s="4" t="s">
        <v>26</v>
      </c>
      <c r="J1041" s="4" t="s">
        <v>1084</v>
      </c>
      <c r="K1041" s="4" t="s">
        <v>1189</v>
      </c>
      <c r="L1041" s="5">
        <v>0.37847222222222227</v>
      </c>
      <c r="M1041" s="4" t="s">
        <v>1284</v>
      </c>
      <c r="N1041" s="6" t="s">
        <v>23</v>
      </c>
      <c r="O1041" s="4" t="s">
        <v>24</v>
      </c>
    </row>
    <row r="1042" spans="1:15" x14ac:dyDescent="0.25">
      <c r="A1042" s="4" t="s">
        <v>15</v>
      </c>
      <c r="B1042" s="4" t="str">
        <f>"FES1162750498"</f>
        <v>FES1162750498</v>
      </c>
      <c r="C1042" s="4" t="s">
        <v>1015</v>
      </c>
      <c r="D1042" s="4">
        <v>1</v>
      </c>
      <c r="E1042" s="4" t="str">
        <f>"2170738114"</f>
        <v>2170738114</v>
      </c>
      <c r="F1042" s="4" t="s">
        <v>17</v>
      </c>
      <c r="G1042" s="4" t="s">
        <v>18</v>
      </c>
      <c r="H1042" s="4" t="s">
        <v>52</v>
      </c>
      <c r="I1042" s="4" t="s">
        <v>53</v>
      </c>
      <c r="J1042" s="4" t="s">
        <v>171</v>
      </c>
      <c r="K1042" s="4" t="s">
        <v>1189</v>
      </c>
      <c r="L1042" s="5">
        <v>0.43333333333333335</v>
      </c>
      <c r="M1042" s="4" t="s">
        <v>1285</v>
      </c>
      <c r="N1042" s="6" t="s">
        <v>23</v>
      </c>
      <c r="O1042" s="4" t="s">
        <v>24</v>
      </c>
    </row>
    <row r="1043" spans="1:15" x14ac:dyDescent="0.25">
      <c r="A1043" s="4" t="s">
        <v>15</v>
      </c>
      <c r="B1043" s="4" t="str">
        <f>"FES1162750506"</f>
        <v>FES1162750506</v>
      </c>
      <c r="C1043" s="4" t="s">
        <v>1015</v>
      </c>
      <c r="D1043" s="4">
        <v>1</v>
      </c>
      <c r="E1043" s="4" t="str">
        <f>"2170739096"</f>
        <v>2170739096</v>
      </c>
      <c r="F1043" s="4" t="s">
        <v>17</v>
      </c>
      <c r="G1043" s="4" t="s">
        <v>18</v>
      </c>
      <c r="H1043" s="4" t="s">
        <v>18</v>
      </c>
      <c r="I1043" s="4" t="s">
        <v>19</v>
      </c>
      <c r="J1043" s="4" t="s">
        <v>1200</v>
      </c>
      <c r="K1043" s="4" t="s">
        <v>1189</v>
      </c>
      <c r="L1043" s="5">
        <v>0.38958333333333334</v>
      </c>
      <c r="M1043" s="4" t="s">
        <v>1286</v>
      </c>
      <c r="N1043" s="6" t="s">
        <v>23</v>
      </c>
      <c r="O1043" s="4" t="s">
        <v>24</v>
      </c>
    </row>
    <row r="1044" spans="1:15" x14ac:dyDescent="0.25">
      <c r="A1044" s="4" t="s">
        <v>15</v>
      </c>
      <c r="B1044" s="4" t="str">
        <f>"FES1162750429"</f>
        <v>FES1162750429</v>
      </c>
      <c r="C1044" s="4" t="s">
        <v>1015</v>
      </c>
      <c r="D1044" s="4">
        <v>1</v>
      </c>
      <c r="E1044" s="4" t="str">
        <f>"2170740647"</f>
        <v>2170740647</v>
      </c>
      <c r="F1044" s="4" t="s">
        <v>17</v>
      </c>
      <c r="G1044" s="4" t="s">
        <v>18</v>
      </c>
      <c r="H1044" s="4" t="s">
        <v>18</v>
      </c>
      <c r="I1044" s="4" t="s">
        <v>29</v>
      </c>
      <c r="J1044" s="4" t="s">
        <v>30</v>
      </c>
      <c r="K1044" s="4" t="s">
        <v>1189</v>
      </c>
      <c r="L1044" s="5">
        <v>0.36458333333333331</v>
      </c>
      <c r="M1044" s="4" t="s">
        <v>1265</v>
      </c>
      <c r="N1044" s="6" t="s">
        <v>23</v>
      </c>
      <c r="O1044" s="4" t="s">
        <v>24</v>
      </c>
    </row>
    <row r="1045" spans="1:15" x14ac:dyDescent="0.25">
      <c r="A1045" s="4" t="s">
        <v>15</v>
      </c>
      <c r="B1045" s="4" t="str">
        <f>"FES1162750438"</f>
        <v>FES1162750438</v>
      </c>
      <c r="C1045" s="4" t="s">
        <v>1015</v>
      </c>
      <c r="D1045" s="4">
        <v>1</v>
      </c>
      <c r="E1045" s="4" t="str">
        <f>"2170740668"</f>
        <v>2170740668</v>
      </c>
      <c r="F1045" s="4" t="s">
        <v>17</v>
      </c>
      <c r="G1045" s="4" t="s">
        <v>18</v>
      </c>
      <c r="H1045" s="4" t="s">
        <v>48</v>
      </c>
      <c r="I1045" s="4" t="s">
        <v>73</v>
      </c>
      <c r="J1045" s="4" t="s">
        <v>1201</v>
      </c>
      <c r="K1045" s="4" t="s">
        <v>1189</v>
      </c>
      <c r="L1045" s="5">
        <v>0.50347222222222221</v>
      </c>
      <c r="M1045" s="4" t="s">
        <v>1287</v>
      </c>
      <c r="N1045" s="6" t="s">
        <v>23</v>
      </c>
      <c r="O1045" s="4" t="s">
        <v>24</v>
      </c>
    </row>
    <row r="1046" spans="1:15" x14ac:dyDescent="0.25">
      <c r="A1046" s="4" t="s">
        <v>15</v>
      </c>
      <c r="B1046" s="4" t="str">
        <f>"FES1162750569"</f>
        <v>FES1162750569</v>
      </c>
      <c r="C1046" s="4" t="s">
        <v>1015</v>
      </c>
      <c r="D1046" s="4">
        <v>1</v>
      </c>
      <c r="E1046" s="4" t="str">
        <f>"2170739593"</f>
        <v>2170739593</v>
      </c>
      <c r="F1046" s="4" t="s">
        <v>17</v>
      </c>
      <c r="G1046" s="4" t="s">
        <v>18</v>
      </c>
      <c r="H1046" s="4" t="s">
        <v>48</v>
      </c>
      <c r="I1046" s="4" t="s">
        <v>49</v>
      </c>
      <c r="J1046" s="4" t="s">
        <v>580</v>
      </c>
      <c r="K1046" s="4" t="s">
        <v>1189</v>
      </c>
      <c r="L1046" s="5">
        <v>0.41666666666666669</v>
      </c>
      <c r="M1046" s="4" t="s">
        <v>1264</v>
      </c>
      <c r="N1046" s="6" t="s">
        <v>23</v>
      </c>
      <c r="O1046" s="4" t="s">
        <v>24</v>
      </c>
    </row>
    <row r="1047" spans="1:15" x14ac:dyDescent="0.25">
      <c r="A1047" s="4" t="s">
        <v>15</v>
      </c>
      <c r="B1047" s="4" t="str">
        <f>"FES1162750427"</f>
        <v>FES1162750427</v>
      </c>
      <c r="C1047" s="4" t="s">
        <v>1015</v>
      </c>
      <c r="D1047" s="4">
        <v>1</v>
      </c>
      <c r="E1047" s="4" t="str">
        <f>"2170740644"</f>
        <v>2170740644</v>
      </c>
      <c r="F1047" s="4" t="s">
        <v>17</v>
      </c>
      <c r="G1047" s="4" t="s">
        <v>18</v>
      </c>
      <c r="H1047" s="4" t="s">
        <v>48</v>
      </c>
      <c r="I1047" s="4" t="s">
        <v>49</v>
      </c>
      <c r="J1047" s="4" t="s">
        <v>884</v>
      </c>
      <c r="K1047" s="4" t="s">
        <v>1189</v>
      </c>
      <c r="L1047" s="5">
        <v>0.43333333333333335</v>
      </c>
      <c r="M1047" s="4" t="s">
        <v>1288</v>
      </c>
      <c r="N1047" s="6" t="s">
        <v>23</v>
      </c>
      <c r="O1047" s="4" t="s">
        <v>24</v>
      </c>
    </row>
    <row r="1048" spans="1:15" x14ac:dyDescent="0.25">
      <c r="A1048" s="4" t="s">
        <v>15</v>
      </c>
      <c r="B1048" s="4" t="str">
        <f>"FES1162750446"</f>
        <v>FES1162750446</v>
      </c>
      <c r="C1048" s="4" t="s">
        <v>1015</v>
      </c>
      <c r="D1048" s="4">
        <v>1</v>
      </c>
      <c r="E1048" s="4" t="str">
        <f>"2170740687"</f>
        <v>2170740687</v>
      </c>
      <c r="F1048" s="4" t="s">
        <v>17</v>
      </c>
      <c r="G1048" s="4" t="s">
        <v>18</v>
      </c>
      <c r="H1048" s="4" t="s">
        <v>18</v>
      </c>
      <c r="I1048" s="4" t="s">
        <v>97</v>
      </c>
      <c r="J1048" s="4" t="s">
        <v>1202</v>
      </c>
      <c r="K1048" s="4" t="s">
        <v>1189</v>
      </c>
      <c r="L1048" s="5">
        <v>0.41319444444444442</v>
      </c>
      <c r="M1048" s="4" t="s">
        <v>1289</v>
      </c>
      <c r="N1048" s="6" t="s">
        <v>23</v>
      </c>
      <c r="O1048" s="4" t="s">
        <v>24</v>
      </c>
    </row>
    <row r="1049" spans="1:15" x14ac:dyDescent="0.25">
      <c r="A1049" s="4" t="s">
        <v>15</v>
      </c>
      <c r="B1049" s="4" t="str">
        <f>"FES1162750424"</f>
        <v>FES1162750424</v>
      </c>
      <c r="C1049" s="4" t="s">
        <v>1015</v>
      </c>
      <c r="D1049" s="4">
        <v>1</v>
      </c>
      <c r="E1049" s="4" t="str">
        <f>"2170740641"</f>
        <v>2170740641</v>
      </c>
      <c r="F1049" s="4" t="s">
        <v>17</v>
      </c>
      <c r="G1049" s="4" t="s">
        <v>18</v>
      </c>
      <c r="H1049" s="4" t="s">
        <v>18</v>
      </c>
      <c r="I1049" s="4" t="s">
        <v>29</v>
      </c>
      <c r="J1049" s="4" t="s">
        <v>30</v>
      </c>
      <c r="K1049" s="4" t="s">
        <v>1189</v>
      </c>
      <c r="L1049" s="5">
        <v>0.36458333333333331</v>
      </c>
      <c r="M1049" s="4" t="s">
        <v>1265</v>
      </c>
      <c r="N1049" s="6" t="s">
        <v>23</v>
      </c>
      <c r="O1049" s="4" t="s">
        <v>24</v>
      </c>
    </row>
    <row r="1050" spans="1:15" x14ac:dyDescent="0.25">
      <c r="A1050" s="4" t="s">
        <v>15</v>
      </c>
      <c r="B1050" s="4" t="str">
        <f>"FES1162750416"</f>
        <v>FES1162750416</v>
      </c>
      <c r="C1050" s="4" t="s">
        <v>1015</v>
      </c>
      <c r="D1050" s="4">
        <v>1</v>
      </c>
      <c r="E1050" s="4" t="str">
        <f>"2170740570"</f>
        <v>2170740570</v>
      </c>
      <c r="F1050" s="4" t="s">
        <v>17</v>
      </c>
      <c r="G1050" s="4" t="s">
        <v>18</v>
      </c>
      <c r="H1050" s="4" t="s">
        <v>48</v>
      </c>
      <c r="I1050" s="4" t="s">
        <v>110</v>
      </c>
      <c r="J1050" s="4" t="s">
        <v>276</v>
      </c>
      <c r="K1050" s="4" t="s">
        <v>1189</v>
      </c>
      <c r="L1050" s="5">
        <v>0.36458333333333331</v>
      </c>
      <c r="M1050" s="4" t="s">
        <v>1424</v>
      </c>
      <c r="N1050" s="6" t="s">
        <v>23</v>
      </c>
      <c r="O1050" s="4" t="s">
        <v>24</v>
      </c>
    </row>
    <row r="1051" spans="1:15" x14ac:dyDescent="0.25">
      <c r="A1051" s="4" t="s">
        <v>15</v>
      </c>
      <c r="B1051" s="4" t="str">
        <f>"FES1162750455"</f>
        <v>FES1162750455</v>
      </c>
      <c r="C1051" s="4" t="s">
        <v>1015</v>
      </c>
      <c r="D1051" s="4">
        <v>1</v>
      </c>
      <c r="E1051" s="4" t="str">
        <f>"2170737486"</f>
        <v>2170737486</v>
      </c>
      <c r="F1051" s="4" t="s">
        <v>17</v>
      </c>
      <c r="G1051" s="4" t="s">
        <v>18</v>
      </c>
      <c r="H1051" s="4" t="s">
        <v>48</v>
      </c>
      <c r="I1051" s="4" t="s">
        <v>49</v>
      </c>
      <c r="J1051" s="4" t="s">
        <v>374</v>
      </c>
      <c r="K1051" s="4" t="s">
        <v>1189</v>
      </c>
      <c r="L1051" s="5">
        <v>0.41666666666666669</v>
      </c>
      <c r="M1051" s="4" t="s">
        <v>507</v>
      </c>
      <c r="N1051" s="6" t="s">
        <v>23</v>
      </c>
      <c r="O1051" s="4" t="s">
        <v>24</v>
      </c>
    </row>
    <row r="1052" spans="1:15" x14ac:dyDescent="0.25">
      <c r="A1052" s="4" t="s">
        <v>15</v>
      </c>
      <c r="B1052" s="4" t="str">
        <f>"FES1162750422"</f>
        <v>FES1162750422</v>
      </c>
      <c r="C1052" s="4" t="s">
        <v>1015</v>
      </c>
      <c r="D1052" s="4">
        <v>1</v>
      </c>
      <c r="E1052" s="4" t="str">
        <f>"2170740633"</f>
        <v>2170740633</v>
      </c>
      <c r="F1052" s="4" t="s">
        <v>17</v>
      </c>
      <c r="G1052" s="4" t="s">
        <v>18</v>
      </c>
      <c r="H1052" s="4" t="s">
        <v>48</v>
      </c>
      <c r="I1052" s="4" t="s">
        <v>49</v>
      </c>
      <c r="J1052" s="4" t="s">
        <v>605</v>
      </c>
      <c r="K1052" s="4" t="s">
        <v>1189</v>
      </c>
      <c r="L1052" s="5">
        <v>0.37777777777777777</v>
      </c>
      <c r="M1052" s="4" t="s">
        <v>717</v>
      </c>
      <c r="N1052" s="6" t="s">
        <v>23</v>
      </c>
      <c r="O1052" s="4" t="s">
        <v>24</v>
      </c>
    </row>
    <row r="1053" spans="1:15" x14ac:dyDescent="0.25">
      <c r="A1053" s="4" t="s">
        <v>15</v>
      </c>
      <c r="B1053" s="4" t="str">
        <f>"FES1162750601"</f>
        <v>FES1162750601</v>
      </c>
      <c r="C1053" s="4" t="s">
        <v>1015</v>
      </c>
      <c r="D1053" s="4">
        <v>1</v>
      </c>
      <c r="E1053" s="4" t="str">
        <f>"2170740720"</f>
        <v>2170740720</v>
      </c>
      <c r="F1053" s="4" t="s">
        <v>17</v>
      </c>
      <c r="G1053" s="4" t="s">
        <v>18</v>
      </c>
      <c r="H1053" s="4" t="s">
        <v>25</v>
      </c>
      <c r="I1053" s="4" t="s">
        <v>26</v>
      </c>
      <c r="J1053" s="4" t="s">
        <v>414</v>
      </c>
      <c r="K1053" s="4" t="s">
        <v>1189</v>
      </c>
      <c r="L1053" s="5">
        <v>0.43124999999999997</v>
      </c>
      <c r="M1053" s="4" t="s">
        <v>1290</v>
      </c>
      <c r="N1053" s="6" t="s">
        <v>23</v>
      </c>
      <c r="O1053" s="4" t="s">
        <v>24</v>
      </c>
    </row>
    <row r="1054" spans="1:15" x14ac:dyDescent="0.25">
      <c r="A1054" s="4" t="s">
        <v>15</v>
      </c>
      <c r="B1054" s="4" t="str">
        <f>"FES1162750419"</f>
        <v>FES1162750419</v>
      </c>
      <c r="C1054" s="4" t="s">
        <v>1015</v>
      </c>
      <c r="D1054" s="4">
        <v>1</v>
      </c>
      <c r="E1054" s="4" t="str">
        <f>"2170740597"</f>
        <v>2170740597</v>
      </c>
      <c r="F1054" s="4" t="s">
        <v>17</v>
      </c>
      <c r="G1054" s="4" t="s">
        <v>18</v>
      </c>
      <c r="H1054" s="4" t="s">
        <v>52</v>
      </c>
      <c r="I1054" s="4" t="s">
        <v>53</v>
      </c>
      <c r="J1054" s="4" t="s">
        <v>280</v>
      </c>
      <c r="K1054" s="4" t="s">
        <v>1189</v>
      </c>
      <c r="L1054" s="5">
        <v>0.43333333333333335</v>
      </c>
      <c r="M1054" s="4" t="s">
        <v>1149</v>
      </c>
      <c r="N1054" s="6" t="s">
        <v>23</v>
      </c>
      <c r="O1054" s="4" t="s">
        <v>24</v>
      </c>
    </row>
    <row r="1055" spans="1:15" x14ac:dyDescent="0.25">
      <c r="A1055" s="4" t="s">
        <v>15</v>
      </c>
      <c r="B1055" s="4" t="str">
        <f>"FES1162750584"</f>
        <v>FES1162750584</v>
      </c>
      <c r="C1055" s="4" t="s">
        <v>1015</v>
      </c>
      <c r="D1055" s="4">
        <v>1</v>
      </c>
      <c r="E1055" s="4" t="str">
        <f>"2170739956"</f>
        <v>2170739956</v>
      </c>
      <c r="F1055" s="4" t="s">
        <v>17</v>
      </c>
      <c r="G1055" s="4" t="s">
        <v>18</v>
      </c>
      <c r="H1055" s="4" t="s">
        <v>52</v>
      </c>
      <c r="I1055" s="4" t="s">
        <v>53</v>
      </c>
      <c r="J1055" s="4" t="s">
        <v>56</v>
      </c>
      <c r="K1055" s="4" t="s">
        <v>1189</v>
      </c>
      <c r="L1055" s="5">
        <v>0.41666666666666669</v>
      </c>
      <c r="M1055" s="4" t="s">
        <v>715</v>
      </c>
      <c r="N1055" s="6" t="s">
        <v>23</v>
      </c>
      <c r="O1055" s="4" t="s">
        <v>24</v>
      </c>
    </row>
    <row r="1056" spans="1:15" x14ac:dyDescent="0.25">
      <c r="A1056" s="4" t="s">
        <v>15</v>
      </c>
      <c r="B1056" s="4" t="str">
        <f>"FES1162750634"</f>
        <v>FES1162750634</v>
      </c>
      <c r="C1056" s="4" t="s">
        <v>1015</v>
      </c>
      <c r="D1056" s="4">
        <v>1</v>
      </c>
      <c r="E1056" s="4" t="str">
        <f>"2170740753"</f>
        <v>2170740753</v>
      </c>
      <c r="F1056" s="4" t="s">
        <v>17</v>
      </c>
      <c r="G1056" s="4" t="s">
        <v>18</v>
      </c>
      <c r="H1056" s="4" t="s">
        <v>52</v>
      </c>
      <c r="I1056" s="4" t="s">
        <v>53</v>
      </c>
      <c r="J1056" s="4" t="s">
        <v>171</v>
      </c>
      <c r="K1056" s="4" t="s">
        <v>1189</v>
      </c>
      <c r="L1056" s="5">
        <v>0.43333333333333335</v>
      </c>
      <c r="M1056" s="4" t="s">
        <v>1285</v>
      </c>
      <c r="N1056" s="6" t="s">
        <v>23</v>
      </c>
      <c r="O1056" s="4" t="s">
        <v>24</v>
      </c>
    </row>
    <row r="1057" spans="1:15" x14ac:dyDescent="0.25">
      <c r="A1057" s="4" t="s">
        <v>15</v>
      </c>
      <c r="B1057" s="4" t="str">
        <f>"FES1162750398"</f>
        <v>FES1162750398</v>
      </c>
      <c r="C1057" s="4" t="s">
        <v>1015</v>
      </c>
      <c r="D1057" s="4">
        <v>1</v>
      </c>
      <c r="E1057" s="4" t="str">
        <f>"2170739534"</f>
        <v>2170739534</v>
      </c>
      <c r="F1057" s="4" t="s">
        <v>17</v>
      </c>
      <c r="G1057" s="4" t="s">
        <v>18</v>
      </c>
      <c r="H1057" s="4" t="s">
        <v>25</v>
      </c>
      <c r="I1057" s="4" t="s">
        <v>92</v>
      </c>
      <c r="J1057" s="4" t="s">
        <v>555</v>
      </c>
      <c r="K1057" s="4" t="s">
        <v>1189</v>
      </c>
      <c r="L1057" s="5">
        <v>0.33680555555555558</v>
      </c>
      <c r="M1057" s="4" t="s">
        <v>557</v>
      </c>
      <c r="N1057" s="6" t="s">
        <v>23</v>
      </c>
      <c r="O1057" s="4" t="s">
        <v>24</v>
      </c>
    </row>
    <row r="1058" spans="1:15" x14ac:dyDescent="0.25">
      <c r="A1058" s="4" t="s">
        <v>15</v>
      </c>
      <c r="B1058" s="4" t="str">
        <f>"FES1162750389"</f>
        <v>FES1162750389</v>
      </c>
      <c r="C1058" s="4" t="s">
        <v>1015</v>
      </c>
      <c r="D1058" s="4">
        <v>1</v>
      </c>
      <c r="E1058" s="4" t="str">
        <f>"2170738681"</f>
        <v>2170738681</v>
      </c>
      <c r="F1058" s="4" t="s">
        <v>17</v>
      </c>
      <c r="G1058" s="4" t="s">
        <v>18</v>
      </c>
      <c r="H1058" s="4" t="s">
        <v>25</v>
      </c>
      <c r="I1058" s="4" t="s">
        <v>26</v>
      </c>
      <c r="J1058" s="4" t="s">
        <v>1087</v>
      </c>
      <c r="K1058" s="4" t="s">
        <v>1189</v>
      </c>
      <c r="L1058" s="5">
        <v>0.42291666666666666</v>
      </c>
      <c r="M1058" s="4" t="s">
        <v>1291</v>
      </c>
      <c r="N1058" s="6" t="s">
        <v>23</v>
      </c>
      <c r="O1058" s="4" t="s">
        <v>24</v>
      </c>
    </row>
    <row r="1059" spans="1:15" x14ac:dyDescent="0.25">
      <c r="A1059" s="4" t="s">
        <v>15</v>
      </c>
      <c r="B1059" s="4" t="str">
        <f>"FES1162750562"</f>
        <v>FES1162750562</v>
      </c>
      <c r="C1059" s="4" t="s">
        <v>1015</v>
      </c>
      <c r="D1059" s="4">
        <v>1</v>
      </c>
      <c r="E1059" s="4" t="str">
        <f>"2170739534"</f>
        <v>2170739534</v>
      </c>
      <c r="F1059" s="4" t="s">
        <v>17</v>
      </c>
      <c r="G1059" s="4" t="s">
        <v>18</v>
      </c>
      <c r="H1059" s="4" t="s">
        <v>25</v>
      </c>
      <c r="I1059" s="4" t="s">
        <v>92</v>
      </c>
      <c r="J1059" s="4" t="s">
        <v>555</v>
      </c>
      <c r="K1059" s="4" t="s">
        <v>1189</v>
      </c>
      <c r="L1059" s="5">
        <v>0.33680555555555558</v>
      </c>
      <c r="M1059" s="4" t="s">
        <v>557</v>
      </c>
      <c r="N1059" s="6" t="s">
        <v>23</v>
      </c>
      <c r="O1059" s="4" t="s">
        <v>24</v>
      </c>
    </row>
    <row r="1060" spans="1:15" x14ac:dyDescent="0.25">
      <c r="A1060" s="4" t="s">
        <v>15</v>
      </c>
      <c r="B1060" s="4" t="str">
        <f>"FES1162750559"</f>
        <v>FES1162750559</v>
      </c>
      <c r="C1060" s="4" t="s">
        <v>1015</v>
      </c>
      <c r="D1060" s="4">
        <v>1</v>
      </c>
      <c r="E1060" s="4" t="str">
        <f>"2170739505"</f>
        <v>2170739505</v>
      </c>
      <c r="F1060" s="4" t="s">
        <v>17</v>
      </c>
      <c r="G1060" s="4" t="s">
        <v>18</v>
      </c>
      <c r="H1060" s="4" t="s">
        <v>48</v>
      </c>
      <c r="I1060" s="4" t="s">
        <v>49</v>
      </c>
      <c r="J1060" s="4" t="s">
        <v>1054</v>
      </c>
      <c r="K1060" s="4" t="s">
        <v>1189</v>
      </c>
      <c r="L1060" s="5">
        <v>0.41666666666666669</v>
      </c>
      <c r="M1060" s="4" t="s">
        <v>1292</v>
      </c>
      <c r="N1060" s="6" t="s">
        <v>23</v>
      </c>
      <c r="O1060" s="4" t="s">
        <v>24</v>
      </c>
    </row>
    <row r="1061" spans="1:15" x14ac:dyDescent="0.25">
      <c r="A1061" s="4" t="s">
        <v>15</v>
      </c>
      <c r="B1061" s="4" t="str">
        <f>"FES1162750488"</f>
        <v>FES1162750488</v>
      </c>
      <c r="C1061" s="4" t="s">
        <v>1015</v>
      </c>
      <c r="D1061" s="4">
        <v>1</v>
      </c>
      <c r="E1061" s="4" t="str">
        <f>"2170738865"</f>
        <v>2170738865</v>
      </c>
      <c r="F1061" s="4" t="s">
        <v>17</v>
      </c>
      <c r="G1061" s="4" t="s">
        <v>18</v>
      </c>
      <c r="H1061" s="4" t="s">
        <v>25</v>
      </c>
      <c r="I1061" s="4" t="s">
        <v>281</v>
      </c>
      <c r="J1061" s="4" t="s">
        <v>368</v>
      </c>
      <c r="K1061" s="4" t="s">
        <v>1189</v>
      </c>
      <c r="L1061" s="5">
        <v>0.41736111111111113</v>
      </c>
      <c r="M1061" s="4" t="s">
        <v>1293</v>
      </c>
      <c r="N1061" s="6" t="s">
        <v>23</v>
      </c>
      <c r="O1061" s="4" t="s">
        <v>24</v>
      </c>
    </row>
    <row r="1062" spans="1:15" x14ac:dyDescent="0.25">
      <c r="A1062" s="4" t="s">
        <v>15</v>
      </c>
      <c r="B1062" s="4" t="str">
        <f>"FES1162750418"</f>
        <v>FES1162750418</v>
      </c>
      <c r="C1062" s="4" t="s">
        <v>1015</v>
      </c>
      <c r="D1062" s="4">
        <v>1</v>
      </c>
      <c r="E1062" s="4" t="str">
        <f>"2170740595"</f>
        <v>2170740595</v>
      </c>
      <c r="F1062" s="4" t="s">
        <v>17</v>
      </c>
      <c r="G1062" s="4" t="s">
        <v>18</v>
      </c>
      <c r="H1062" s="4" t="s">
        <v>52</v>
      </c>
      <c r="I1062" s="4" t="s">
        <v>53</v>
      </c>
      <c r="J1062" s="4" t="s">
        <v>280</v>
      </c>
      <c r="K1062" s="4" t="s">
        <v>1189</v>
      </c>
      <c r="L1062" s="5">
        <v>0.43333333333333335</v>
      </c>
      <c r="M1062" s="4" t="s">
        <v>1149</v>
      </c>
      <c r="N1062" s="6" t="s">
        <v>23</v>
      </c>
      <c r="O1062" s="4" t="s">
        <v>24</v>
      </c>
    </row>
    <row r="1063" spans="1:15" x14ac:dyDescent="0.25">
      <c r="A1063" s="4" t="s">
        <v>15</v>
      </c>
      <c r="B1063" s="4" t="str">
        <f>"FES1162750453"</f>
        <v>FES1162750453</v>
      </c>
      <c r="C1063" s="4" t="s">
        <v>1015</v>
      </c>
      <c r="D1063" s="4">
        <v>1</v>
      </c>
      <c r="E1063" s="4" t="str">
        <f>"2170737345"</f>
        <v>2170737345</v>
      </c>
      <c r="F1063" s="4" t="s">
        <v>17</v>
      </c>
      <c r="G1063" s="4" t="s">
        <v>18</v>
      </c>
      <c r="H1063" s="4" t="s">
        <v>18</v>
      </c>
      <c r="I1063" s="4" t="s">
        <v>219</v>
      </c>
      <c r="J1063" s="4" t="s">
        <v>901</v>
      </c>
      <c r="K1063" s="4" t="s">
        <v>1189</v>
      </c>
      <c r="L1063" s="5">
        <v>0.375</v>
      </c>
      <c r="M1063" s="4" t="s">
        <v>65</v>
      </c>
      <c r="N1063" s="6" t="s">
        <v>23</v>
      </c>
      <c r="O1063" s="4" t="s">
        <v>24</v>
      </c>
    </row>
    <row r="1064" spans="1:15" x14ac:dyDescent="0.25">
      <c r="A1064" s="4" t="s">
        <v>15</v>
      </c>
      <c r="B1064" s="4" t="str">
        <f>"FES1162750558"</f>
        <v>FES1162750558</v>
      </c>
      <c r="C1064" s="4" t="s">
        <v>1015</v>
      </c>
      <c r="D1064" s="4">
        <v>1</v>
      </c>
      <c r="E1064" s="4" t="str">
        <f>"2170739495"</f>
        <v>2170739495</v>
      </c>
      <c r="F1064" s="4" t="s">
        <v>17</v>
      </c>
      <c r="G1064" s="4" t="s">
        <v>18</v>
      </c>
      <c r="H1064" s="4" t="s">
        <v>18</v>
      </c>
      <c r="I1064" s="4" t="s">
        <v>19</v>
      </c>
      <c r="J1064" s="4" t="s">
        <v>792</v>
      </c>
      <c r="K1064" s="4" t="s">
        <v>1189</v>
      </c>
      <c r="L1064" s="5">
        <v>0.375</v>
      </c>
      <c r="M1064" s="4" t="s">
        <v>658</v>
      </c>
      <c r="N1064" s="6" t="s">
        <v>23</v>
      </c>
      <c r="O1064" s="4" t="s">
        <v>24</v>
      </c>
    </row>
    <row r="1065" spans="1:15" x14ac:dyDescent="0.25">
      <c r="A1065" s="4" t="s">
        <v>15</v>
      </c>
      <c r="B1065" s="4" t="str">
        <f>"FES1162750458"</f>
        <v>FES1162750458</v>
      </c>
      <c r="C1065" s="4" t="s">
        <v>1015</v>
      </c>
      <c r="D1065" s="4">
        <v>1</v>
      </c>
      <c r="E1065" s="4" t="str">
        <f>"2170737559"</f>
        <v>2170737559</v>
      </c>
      <c r="F1065" s="4" t="s">
        <v>17</v>
      </c>
      <c r="G1065" s="4" t="s">
        <v>18</v>
      </c>
      <c r="H1065" s="4" t="s">
        <v>40</v>
      </c>
      <c r="I1065" s="4" t="s">
        <v>41</v>
      </c>
      <c r="J1065" s="4" t="s">
        <v>99</v>
      </c>
      <c r="K1065" s="4" t="s">
        <v>1294</v>
      </c>
      <c r="L1065" s="5">
        <v>0.36736111111111108</v>
      </c>
      <c r="M1065" s="4" t="s">
        <v>1295</v>
      </c>
      <c r="N1065" s="6" t="s">
        <v>23</v>
      </c>
      <c r="O1065" s="4" t="s">
        <v>24</v>
      </c>
    </row>
    <row r="1066" spans="1:15" x14ac:dyDescent="0.25">
      <c r="A1066" s="4" t="s">
        <v>15</v>
      </c>
      <c r="B1066" s="4" t="str">
        <f>"FES1162750547"</f>
        <v>FES1162750547</v>
      </c>
      <c r="C1066" s="4" t="s">
        <v>1015</v>
      </c>
      <c r="D1066" s="4">
        <v>1</v>
      </c>
      <c r="E1066" s="4" t="str">
        <f>"21707393437"</f>
        <v>21707393437</v>
      </c>
      <c r="F1066" s="4" t="s">
        <v>17</v>
      </c>
      <c r="G1066" s="4" t="s">
        <v>18</v>
      </c>
      <c r="H1066" s="4" t="s">
        <v>85</v>
      </c>
      <c r="I1066" s="4" t="s">
        <v>144</v>
      </c>
      <c r="J1066" s="4" t="s">
        <v>255</v>
      </c>
      <c r="K1066" s="4" t="s">
        <v>1189</v>
      </c>
      <c r="L1066" s="5">
        <v>0.45277777777777778</v>
      </c>
      <c r="M1066" s="4" t="s">
        <v>658</v>
      </c>
      <c r="N1066" s="6" t="s">
        <v>23</v>
      </c>
      <c r="O1066" s="4" t="s">
        <v>24</v>
      </c>
    </row>
    <row r="1067" spans="1:15" x14ac:dyDescent="0.25">
      <c r="A1067" s="4" t="s">
        <v>15</v>
      </c>
      <c r="B1067" s="4" t="str">
        <f>"FES1162750589"</f>
        <v>FES1162750589</v>
      </c>
      <c r="C1067" s="4" t="s">
        <v>1015</v>
      </c>
      <c r="D1067" s="4">
        <v>1</v>
      </c>
      <c r="E1067" s="4" t="str">
        <f>"217074374"</f>
        <v>217074374</v>
      </c>
      <c r="F1067" s="4" t="s">
        <v>17</v>
      </c>
      <c r="G1067" s="4" t="s">
        <v>18</v>
      </c>
      <c r="H1067" s="4" t="s">
        <v>85</v>
      </c>
      <c r="I1067" s="4" t="s">
        <v>144</v>
      </c>
      <c r="J1067" s="4" t="s">
        <v>255</v>
      </c>
      <c r="K1067" s="4" t="s">
        <v>1189</v>
      </c>
      <c r="L1067" s="5">
        <v>0.45277777777777778</v>
      </c>
      <c r="M1067" s="4" t="s">
        <v>658</v>
      </c>
      <c r="N1067" s="6" t="s">
        <v>23</v>
      </c>
      <c r="O1067" s="4" t="s">
        <v>24</v>
      </c>
    </row>
    <row r="1068" spans="1:15" x14ac:dyDescent="0.25">
      <c r="A1068" s="4" t="s">
        <v>15</v>
      </c>
      <c r="B1068" s="4" t="str">
        <f>"FES1162750535"</f>
        <v>FES1162750535</v>
      </c>
      <c r="C1068" s="4" t="s">
        <v>1015</v>
      </c>
      <c r="D1068" s="4">
        <v>1</v>
      </c>
      <c r="E1068" s="4" t="str">
        <f>"217073952"</f>
        <v>217073952</v>
      </c>
      <c r="F1068" s="4" t="s">
        <v>17</v>
      </c>
      <c r="G1068" s="4" t="s">
        <v>18</v>
      </c>
      <c r="H1068" s="4" t="s">
        <v>85</v>
      </c>
      <c r="I1068" s="4" t="s">
        <v>144</v>
      </c>
      <c r="J1068" s="4" t="s">
        <v>210</v>
      </c>
      <c r="K1068" s="4" t="s">
        <v>1189</v>
      </c>
      <c r="L1068" s="5">
        <v>0.46249999999999997</v>
      </c>
      <c r="M1068" s="4" t="s">
        <v>1296</v>
      </c>
      <c r="N1068" s="6" t="s">
        <v>23</v>
      </c>
      <c r="O1068" s="4" t="s">
        <v>24</v>
      </c>
    </row>
    <row r="1069" spans="1:15" x14ac:dyDescent="0.25">
      <c r="A1069" s="4" t="s">
        <v>15</v>
      </c>
      <c r="B1069" s="4" t="str">
        <f>"FES1162750496"</f>
        <v>FES1162750496</v>
      </c>
      <c r="C1069" s="4" t="s">
        <v>1015</v>
      </c>
      <c r="D1069" s="4">
        <v>1</v>
      </c>
      <c r="E1069" s="4" t="str">
        <f>"2170740711"</f>
        <v>2170740711</v>
      </c>
      <c r="F1069" s="4" t="s">
        <v>17</v>
      </c>
      <c r="G1069" s="4" t="s">
        <v>18</v>
      </c>
      <c r="H1069" s="4" t="s">
        <v>85</v>
      </c>
      <c r="I1069" s="4" t="s">
        <v>144</v>
      </c>
      <c r="J1069" s="4" t="s">
        <v>407</v>
      </c>
      <c r="K1069" s="4" t="s">
        <v>1189</v>
      </c>
      <c r="L1069" s="5">
        <v>0.53472222222222221</v>
      </c>
      <c r="M1069" s="4" t="s">
        <v>1012</v>
      </c>
      <c r="N1069" s="6" t="s">
        <v>23</v>
      </c>
      <c r="O1069" s="4" t="s">
        <v>24</v>
      </c>
    </row>
    <row r="1070" spans="1:15" x14ac:dyDescent="0.25">
      <c r="A1070" s="4" t="s">
        <v>15</v>
      </c>
      <c r="B1070" s="4" t="str">
        <f>"FES1162750529"</f>
        <v>FES1162750529</v>
      </c>
      <c r="C1070" s="4" t="s">
        <v>1015</v>
      </c>
      <c r="D1070" s="4">
        <v>1</v>
      </c>
      <c r="E1070" s="4" t="str">
        <f>"2170739265"</f>
        <v>2170739265</v>
      </c>
      <c r="F1070" s="4" t="s">
        <v>17</v>
      </c>
      <c r="G1070" s="4" t="s">
        <v>18</v>
      </c>
      <c r="H1070" s="4" t="s">
        <v>85</v>
      </c>
      <c r="I1070" s="4" t="s">
        <v>144</v>
      </c>
      <c r="J1070" s="4" t="s">
        <v>361</v>
      </c>
      <c r="K1070" s="4" t="s">
        <v>1189</v>
      </c>
      <c r="L1070" s="5">
        <v>0.53194444444444444</v>
      </c>
      <c r="M1070" s="4" t="s">
        <v>1297</v>
      </c>
      <c r="N1070" s="6" t="s">
        <v>23</v>
      </c>
      <c r="O1070" s="4" t="s">
        <v>24</v>
      </c>
    </row>
    <row r="1071" spans="1:15" x14ac:dyDescent="0.25">
      <c r="A1071" s="4" t="s">
        <v>15</v>
      </c>
      <c r="B1071" s="4" t="str">
        <f>"FES1162750454"</f>
        <v>FES1162750454</v>
      </c>
      <c r="C1071" s="4" t="s">
        <v>1015</v>
      </c>
      <c r="D1071" s="4">
        <v>1</v>
      </c>
      <c r="E1071" s="4" t="str">
        <f>"2170737469"</f>
        <v>2170737469</v>
      </c>
      <c r="F1071" s="4" t="s">
        <v>17</v>
      </c>
      <c r="G1071" s="4" t="s">
        <v>18</v>
      </c>
      <c r="H1071" s="4" t="s">
        <v>85</v>
      </c>
      <c r="I1071" s="4" t="s">
        <v>144</v>
      </c>
      <c r="J1071" s="4" t="s">
        <v>878</v>
      </c>
      <c r="K1071" s="4" t="s">
        <v>1189</v>
      </c>
      <c r="L1071" s="5">
        <v>0.44305555555555554</v>
      </c>
      <c r="M1071" s="4" t="s">
        <v>1298</v>
      </c>
      <c r="N1071" s="6" t="s">
        <v>23</v>
      </c>
      <c r="O1071" s="4" t="s">
        <v>24</v>
      </c>
    </row>
    <row r="1072" spans="1:15" x14ac:dyDescent="0.25">
      <c r="A1072" s="4" t="s">
        <v>15</v>
      </c>
      <c r="B1072" s="4" t="str">
        <f>"FES1162750425"</f>
        <v>FES1162750425</v>
      </c>
      <c r="C1072" s="4" t="s">
        <v>1015</v>
      </c>
      <c r="D1072" s="4">
        <v>1</v>
      </c>
      <c r="E1072" s="4" t="str">
        <f>"2170740642"</f>
        <v>2170740642</v>
      </c>
      <c r="F1072" s="4" t="s">
        <v>17</v>
      </c>
      <c r="G1072" s="4" t="s">
        <v>18</v>
      </c>
      <c r="H1072" s="4" t="s">
        <v>18</v>
      </c>
      <c r="I1072" s="4" t="s">
        <v>292</v>
      </c>
      <c r="J1072" s="4" t="s">
        <v>891</v>
      </c>
      <c r="K1072" s="4" t="s">
        <v>1189</v>
      </c>
      <c r="L1072" s="5">
        <v>0.41666666666666669</v>
      </c>
      <c r="M1072" s="4" t="s">
        <v>1299</v>
      </c>
      <c r="N1072" s="6" t="s">
        <v>23</v>
      </c>
      <c r="O1072" s="4" t="s">
        <v>24</v>
      </c>
    </row>
    <row r="1073" spans="1:15" x14ac:dyDescent="0.25">
      <c r="A1073" s="4" t="s">
        <v>15</v>
      </c>
      <c r="B1073" s="4" t="str">
        <f>"FES1162750588"</f>
        <v>FES1162750588</v>
      </c>
      <c r="C1073" s="4" t="s">
        <v>1015</v>
      </c>
      <c r="D1073" s="4">
        <v>1</v>
      </c>
      <c r="E1073" s="4" t="str">
        <f>"2170740324"</f>
        <v>2170740324</v>
      </c>
      <c r="F1073" s="4" t="s">
        <v>17</v>
      </c>
      <c r="G1073" s="4" t="s">
        <v>18</v>
      </c>
      <c r="H1073" s="4" t="s">
        <v>32</v>
      </c>
      <c r="I1073" s="4" t="s">
        <v>33</v>
      </c>
      <c r="J1073" s="4" t="s">
        <v>1203</v>
      </c>
      <c r="K1073" s="4" t="s">
        <v>1189</v>
      </c>
      <c r="L1073" s="5">
        <v>0.35416666666666669</v>
      </c>
      <c r="M1073" s="4" t="s">
        <v>1300</v>
      </c>
      <c r="N1073" s="6" t="s">
        <v>23</v>
      </c>
      <c r="O1073" s="4" t="s">
        <v>24</v>
      </c>
    </row>
    <row r="1074" spans="1:15" x14ac:dyDescent="0.25">
      <c r="A1074" s="4" t="s">
        <v>15</v>
      </c>
      <c r="B1074" s="4" t="str">
        <f>"FES1162750421"</f>
        <v>FES1162750421</v>
      </c>
      <c r="C1074" s="4" t="s">
        <v>1015</v>
      </c>
      <c r="D1074" s="4">
        <v>1</v>
      </c>
      <c r="E1074" s="4" t="str">
        <f>"2170740623"</f>
        <v>2170740623</v>
      </c>
      <c r="F1074" s="4" t="s">
        <v>17</v>
      </c>
      <c r="G1074" s="4" t="s">
        <v>18</v>
      </c>
      <c r="H1074" s="4" t="s">
        <v>32</v>
      </c>
      <c r="I1074" s="4" t="s">
        <v>33</v>
      </c>
      <c r="J1074" s="4" t="s">
        <v>600</v>
      </c>
      <c r="K1074" s="4" t="s">
        <v>1189</v>
      </c>
      <c r="L1074" s="5">
        <v>0.35555555555555557</v>
      </c>
      <c r="M1074" s="4" t="s">
        <v>711</v>
      </c>
      <c r="N1074" s="6" t="s">
        <v>23</v>
      </c>
      <c r="O1074" s="4" t="s">
        <v>24</v>
      </c>
    </row>
    <row r="1075" spans="1:15" x14ac:dyDescent="0.25">
      <c r="A1075" s="4" t="s">
        <v>15</v>
      </c>
      <c r="B1075" s="4" t="str">
        <f>"FES1162750475"</f>
        <v>FES1162750475</v>
      </c>
      <c r="C1075" s="4" t="s">
        <v>1015</v>
      </c>
      <c r="D1075" s="4">
        <v>1</v>
      </c>
      <c r="E1075" s="4" t="str">
        <f>"2170739965"</f>
        <v>2170739965</v>
      </c>
      <c r="F1075" s="4" t="s">
        <v>17</v>
      </c>
      <c r="G1075" s="4" t="s">
        <v>18</v>
      </c>
      <c r="H1075" s="4" t="s">
        <v>32</v>
      </c>
      <c r="I1075" s="4" t="s">
        <v>33</v>
      </c>
      <c r="J1075" s="4" t="s">
        <v>378</v>
      </c>
      <c r="K1075" s="4" t="s">
        <v>1189</v>
      </c>
      <c r="L1075" s="5">
        <v>0.625</v>
      </c>
      <c r="M1075" s="4" t="s">
        <v>1301</v>
      </c>
      <c r="N1075" s="6" t="s">
        <v>23</v>
      </c>
      <c r="O1075" s="4" t="s">
        <v>24</v>
      </c>
    </row>
    <row r="1076" spans="1:15" x14ac:dyDescent="0.25">
      <c r="A1076" s="4" t="s">
        <v>15</v>
      </c>
      <c r="B1076" s="4" t="str">
        <f>"FES1162750550"</f>
        <v>FES1162750550</v>
      </c>
      <c r="C1076" s="4" t="s">
        <v>1015</v>
      </c>
      <c r="D1076" s="4">
        <v>1</v>
      </c>
      <c r="E1076" s="4" t="str">
        <f>"2170739443"</f>
        <v>2170739443</v>
      </c>
      <c r="F1076" s="4" t="s">
        <v>17</v>
      </c>
      <c r="G1076" s="4" t="s">
        <v>18</v>
      </c>
      <c r="H1076" s="4" t="s">
        <v>18</v>
      </c>
      <c r="I1076" s="4" t="s">
        <v>126</v>
      </c>
      <c r="J1076" s="4" t="s">
        <v>576</v>
      </c>
      <c r="K1076" s="4" t="s">
        <v>1189</v>
      </c>
      <c r="L1076" s="5">
        <v>0.375</v>
      </c>
      <c r="M1076" s="4" t="s">
        <v>1302</v>
      </c>
      <c r="N1076" s="6" t="s">
        <v>23</v>
      </c>
      <c r="O1076" s="4" t="s">
        <v>24</v>
      </c>
    </row>
    <row r="1077" spans="1:15" x14ac:dyDescent="0.25">
      <c r="A1077" s="4" t="s">
        <v>15</v>
      </c>
      <c r="B1077" s="4" t="str">
        <f>"FES1162750434"</f>
        <v>FES1162750434</v>
      </c>
      <c r="C1077" s="4" t="s">
        <v>1015</v>
      </c>
      <c r="D1077" s="4">
        <v>1</v>
      </c>
      <c r="E1077" s="4" t="str">
        <f>"2170740655"</f>
        <v>2170740655</v>
      </c>
      <c r="F1077" s="4" t="s">
        <v>17</v>
      </c>
      <c r="G1077" s="4" t="s">
        <v>18</v>
      </c>
      <c r="H1077" s="4" t="s">
        <v>18</v>
      </c>
      <c r="I1077" s="4" t="s">
        <v>97</v>
      </c>
      <c r="J1077" s="4" t="s">
        <v>1204</v>
      </c>
      <c r="K1077" s="4" t="s">
        <v>1189</v>
      </c>
      <c r="L1077" s="5">
        <v>0.4291666666666667</v>
      </c>
      <c r="M1077" s="4" t="s">
        <v>1303</v>
      </c>
      <c r="N1077" s="6" t="s">
        <v>23</v>
      </c>
      <c r="O1077" s="4" t="s">
        <v>24</v>
      </c>
    </row>
    <row r="1078" spans="1:15" x14ac:dyDescent="0.25">
      <c r="A1078" s="4" t="s">
        <v>15</v>
      </c>
      <c r="B1078" s="4" t="str">
        <f>"FES1162750448"</f>
        <v>FES1162750448</v>
      </c>
      <c r="C1078" s="4" t="s">
        <v>1015</v>
      </c>
      <c r="D1078" s="4">
        <v>1</v>
      </c>
      <c r="E1078" s="4" t="str">
        <f>"2170740690"</f>
        <v>2170740690</v>
      </c>
      <c r="F1078" s="4" t="s">
        <v>17</v>
      </c>
      <c r="G1078" s="4" t="s">
        <v>18</v>
      </c>
      <c r="H1078" s="4" t="s">
        <v>18</v>
      </c>
      <c r="I1078" s="4" t="s">
        <v>183</v>
      </c>
      <c r="J1078" s="4" t="s">
        <v>1205</v>
      </c>
      <c r="K1078" s="4" t="s">
        <v>1189</v>
      </c>
      <c r="L1078" s="5">
        <v>0.4201388888888889</v>
      </c>
      <c r="M1078" s="4" t="s">
        <v>1304</v>
      </c>
      <c r="N1078" s="6" t="s">
        <v>23</v>
      </c>
      <c r="O1078" s="4" t="s">
        <v>24</v>
      </c>
    </row>
    <row r="1079" spans="1:15" x14ac:dyDescent="0.25">
      <c r="A1079" s="4" t="s">
        <v>15</v>
      </c>
      <c r="B1079" s="4" t="str">
        <f>"FES1162750515"</f>
        <v>FES1162750515</v>
      </c>
      <c r="C1079" s="4" t="s">
        <v>1015</v>
      </c>
      <c r="D1079" s="4">
        <v>1</v>
      </c>
      <c r="E1079" s="4" t="str">
        <f>"2170739152"</f>
        <v>2170739152</v>
      </c>
      <c r="F1079" s="4" t="s">
        <v>17</v>
      </c>
      <c r="G1079" s="4" t="s">
        <v>18</v>
      </c>
      <c r="H1079" s="4" t="s">
        <v>18</v>
      </c>
      <c r="I1079" s="4" t="s">
        <v>97</v>
      </c>
      <c r="J1079" s="4" t="s">
        <v>162</v>
      </c>
      <c r="K1079" s="4" t="s">
        <v>1189</v>
      </c>
      <c r="L1079" s="5">
        <v>0.53263888888888888</v>
      </c>
      <c r="M1079" s="4" t="s">
        <v>1305</v>
      </c>
      <c r="N1079" s="6" t="s">
        <v>23</v>
      </c>
      <c r="O1079" s="4" t="s">
        <v>24</v>
      </c>
    </row>
    <row r="1080" spans="1:15" x14ac:dyDescent="0.25">
      <c r="A1080" s="4" t="s">
        <v>15</v>
      </c>
      <c r="B1080" s="4" t="str">
        <f>"FES1162750387"</f>
        <v>FES1162750387</v>
      </c>
      <c r="C1080" s="4" t="s">
        <v>1015</v>
      </c>
      <c r="D1080" s="4">
        <v>1</v>
      </c>
      <c r="E1080" s="4" t="str">
        <f>"21701738458"</f>
        <v>21701738458</v>
      </c>
      <c r="F1080" s="4" t="s">
        <v>17</v>
      </c>
      <c r="G1080" s="4" t="s">
        <v>18</v>
      </c>
      <c r="H1080" s="4" t="s">
        <v>32</v>
      </c>
      <c r="I1080" s="4" t="s">
        <v>33</v>
      </c>
      <c r="J1080" s="4" t="s">
        <v>1206</v>
      </c>
      <c r="K1080" s="4" t="s">
        <v>1189</v>
      </c>
      <c r="L1080" s="5">
        <v>0.51388888888888895</v>
      </c>
      <c r="M1080" s="4" t="s">
        <v>1306</v>
      </c>
      <c r="N1080" s="6" t="s">
        <v>23</v>
      </c>
      <c r="O1080" s="4" t="s">
        <v>24</v>
      </c>
    </row>
    <row r="1081" spans="1:15" x14ac:dyDescent="0.25">
      <c r="A1081" s="4" t="s">
        <v>15</v>
      </c>
      <c r="B1081" s="4" t="str">
        <f>"FES1162750410"</f>
        <v>FES1162750410</v>
      </c>
      <c r="C1081" s="4" t="s">
        <v>1015</v>
      </c>
      <c r="D1081" s="4">
        <v>1</v>
      </c>
      <c r="E1081" s="4" t="str">
        <f>"2170740315"</f>
        <v>2170740315</v>
      </c>
      <c r="F1081" s="4" t="s">
        <v>17</v>
      </c>
      <c r="G1081" s="4" t="s">
        <v>18</v>
      </c>
      <c r="H1081" s="4" t="s">
        <v>32</v>
      </c>
      <c r="I1081" s="4" t="s">
        <v>33</v>
      </c>
      <c r="J1081" s="4" t="s">
        <v>1207</v>
      </c>
      <c r="K1081" s="4" t="s">
        <v>1189</v>
      </c>
      <c r="L1081" s="5">
        <v>0.41666666666666669</v>
      </c>
      <c r="M1081" s="4" t="s">
        <v>1307</v>
      </c>
      <c r="N1081" s="6" t="s">
        <v>23</v>
      </c>
      <c r="O1081" s="4" t="s">
        <v>24</v>
      </c>
    </row>
    <row r="1082" spans="1:15" x14ac:dyDescent="0.25">
      <c r="A1082" s="4" t="s">
        <v>15</v>
      </c>
      <c r="B1082" s="4" t="str">
        <f>"FES1162750571"</f>
        <v>FES1162750571</v>
      </c>
      <c r="C1082" s="4" t="s">
        <v>1015</v>
      </c>
      <c r="D1082" s="4">
        <v>1</v>
      </c>
      <c r="E1082" s="4" t="str">
        <f>"2170739597"</f>
        <v>2170739597</v>
      </c>
      <c r="F1082" s="4" t="s">
        <v>17</v>
      </c>
      <c r="G1082" s="4" t="s">
        <v>18</v>
      </c>
      <c r="H1082" s="4" t="s">
        <v>18</v>
      </c>
      <c r="I1082" s="4" t="s">
        <v>19</v>
      </c>
      <c r="J1082" s="4" t="s">
        <v>20</v>
      </c>
      <c r="K1082" s="4" t="s">
        <v>1189</v>
      </c>
      <c r="L1082" s="5">
        <v>0.4069444444444445</v>
      </c>
      <c r="M1082" s="4" t="s">
        <v>128</v>
      </c>
      <c r="N1082" s="6" t="s">
        <v>23</v>
      </c>
      <c r="O1082" s="4" t="s">
        <v>24</v>
      </c>
    </row>
    <row r="1083" spans="1:15" x14ac:dyDescent="0.25">
      <c r="A1083" s="4" t="s">
        <v>15</v>
      </c>
      <c r="B1083" s="4" t="str">
        <f>"FES1162750572"</f>
        <v>FES1162750572</v>
      </c>
      <c r="C1083" s="4" t="s">
        <v>1015</v>
      </c>
      <c r="D1083" s="4">
        <v>1</v>
      </c>
      <c r="E1083" s="4" t="str">
        <f>"2170739605"</f>
        <v>2170739605</v>
      </c>
      <c r="F1083" s="4" t="s">
        <v>17</v>
      </c>
      <c r="G1083" s="4" t="s">
        <v>18</v>
      </c>
      <c r="H1083" s="4" t="s">
        <v>48</v>
      </c>
      <c r="I1083" s="4" t="s">
        <v>49</v>
      </c>
      <c r="J1083" s="4" t="s">
        <v>252</v>
      </c>
      <c r="K1083" s="4" t="s">
        <v>1189</v>
      </c>
      <c r="L1083" s="5">
        <v>0.39583333333333331</v>
      </c>
      <c r="M1083" s="4" t="s">
        <v>1308</v>
      </c>
      <c r="N1083" s="6" t="s">
        <v>23</v>
      </c>
      <c r="O1083" s="4" t="s">
        <v>24</v>
      </c>
    </row>
    <row r="1084" spans="1:15" x14ac:dyDescent="0.25">
      <c r="A1084" s="4" t="s">
        <v>15</v>
      </c>
      <c r="B1084" s="4" t="str">
        <f>"FES1162750473"</f>
        <v>FES1162750473</v>
      </c>
      <c r="C1084" s="4" t="s">
        <v>1015</v>
      </c>
      <c r="D1084" s="4">
        <v>1</v>
      </c>
      <c r="E1084" s="4" t="str">
        <f>"2170739821"</f>
        <v>2170739821</v>
      </c>
      <c r="F1084" s="4" t="s">
        <v>17</v>
      </c>
      <c r="G1084" s="4" t="s">
        <v>18</v>
      </c>
      <c r="H1084" s="4" t="s">
        <v>18</v>
      </c>
      <c r="I1084" s="4" t="s">
        <v>183</v>
      </c>
      <c r="J1084" s="4" t="s">
        <v>369</v>
      </c>
      <c r="K1084" s="4" t="s">
        <v>1189</v>
      </c>
      <c r="L1084" s="5">
        <v>0.34722222222222227</v>
      </c>
      <c r="M1084" s="4" t="s">
        <v>1309</v>
      </c>
      <c r="N1084" s="6" t="s">
        <v>23</v>
      </c>
      <c r="O1084" s="4" t="s">
        <v>24</v>
      </c>
    </row>
    <row r="1085" spans="1:15" x14ac:dyDescent="0.25">
      <c r="A1085" s="4" t="s">
        <v>15</v>
      </c>
      <c r="B1085" s="4" t="str">
        <f>"FES1162750545"</f>
        <v>FES1162750545</v>
      </c>
      <c r="C1085" s="4" t="s">
        <v>1015</v>
      </c>
      <c r="D1085" s="4">
        <v>1</v>
      </c>
      <c r="E1085" s="4" t="str">
        <f>"2170739423"</f>
        <v>2170739423</v>
      </c>
      <c r="F1085" s="4" t="s">
        <v>17</v>
      </c>
      <c r="G1085" s="4" t="s">
        <v>18</v>
      </c>
      <c r="H1085" s="4" t="s">
        <v>48</v>
      </c>
      <c r="I1085" s="4" t="s">
        <v>49</v>
      </c>
      <c r="J1085" s="4" t="s">
        <v>252</v>
      </c>
      <c r="K1085" s="4" t="s">
        <v>1189</v>
      </c>
      <c r="L1085" s="5">
        <v>0.3972222222222222</v>
      </c>
      <c r="M1085" s="4" t="s">
        <v>1310</v>
      </c>
      <c r="N1085" s="6" t="s">
        <v>23</v>
      </c>
      <c r="O1085" s="4" t="s">
        <v>24</v>
      </c>
    </row>
    <row r="1086" spans="1:15" x14ac:dyDescent="0.25">
      <c r="A1086" s="4" t="s">
        <v>15</v>
      </c>
      <c r="B1086" s="4" t="str">
        <f>"FES1162750523"</f>
        <v>FES1162750523</v>
      </c>
      <c r="C1086" s="4" t="s">
        <v>1015</v>
      </c>
      <c r="D1086" s="4">
        <v>1</v>
      </c>
      <c r="E1086" s="4" t="str">
        <f>"2170739209"</f>
        <v>2170739209</v>
      </c>
      <c r="F1086" s="4" t="s">
        <v>17</v>
      </c>
      <c r="G1086" s="4" t="s">
        <v>18</v>
      </c>
      <c r="H1086" s="4" t="s">
        <v>48</v>
      </c>
      <c r="I1086" s="4" t="s">
        <v>49</v>
      </c>
      <c r="J1086" s="4" t="s">
        <v>119</v>
      </c>
      <c r="K1086" s="4" t="s">
        <v>1189</v>
      </c>
      <c r="L1086" s="5">
        <v>0.46736111111111112</v>
      </c>
      <c r="M1086" s="4" t="s">
        <v>1311</v>
      </c>
      <c r="N1086" s="6" t="s">
        <v>23</v>
      </c>
      <c r="O1086" s="4" t="s">
        <v>24</v>
      </c>
    </row>
    <row r="1087" spans="1:15" x14ac:dyDescent="0.25">
      <c r="A1087" s="4" t="s">
        <v>15</v>
      </c>
      <c r="B1087" s="4" t="str">
        <f>"FES1162750522"</f>
        <v>FES1162750522</v>
      </c>
      <c r="C1087" s="4" t="s">
        <v>1015</v>
      </c>
      <c r="D1087" s="4">
        <v>1</v>
      </c>
      <c r="E1087" s="4" t="str">
        <f>"2170739205"</f>
        <v>2170739205</v>
      </c>
      <c r="F1087" s="4" t="s">
        <v>17</v>
      </c>
      <c r="G1087" s="4" t="s">
        <v>18</v>
      </c>
      <c r="H1087" s="4" t="s">
        <v>48</v>
      </c>
      <c r="I1087" s="4" t="s">
        <v>49</v>
      </c>
      <c r="J1087" s="4" t="s">
        <v>790</v>
      </c>
      <c r="K1087" s="4" t="s">
        <v>1189</v>
      </c>
      <c r="L1087" s="5">
        <v>0.39513888888888887</v>
      </c>
      <c r="M1087" s="4" t="s">
        <v>1312</v>
      </c>
      <c r="N1087" s="6" t="s">
        <v>23</v>
      </c>
      <c r="O1087" s="4" t="s">
        <v>24</v>
      </c>
    </row>
    <row r="1088" spans="1:15" x14ac:dyDescent="0.25">
      <c r="A1088" s="4" t="s">
        <v>15</v>
      </c>
      <c r="B1088" s="4" t="str">
        <f>"FES1162750470"</f>
        <v>FES1162750470</v>
      </c>
      <c r="C1088" s="4" t="s">
        <v>1015</v>
      </c>
      <c r="D1088" s="4">
        <v>1</v>
      </c>
      <c r="E1088" s="4" t="str">
        <f>"21707393555"</f>
        <v>21707393555</v>
      </c>
      <c r="F1088" s="4" t="s">
        <v>17</v>
      </c>
      <c r="G1088" s="4" t="s">
        <v>18</v>
      </c>
      <c r="H1088" s="4" t="s">
        <v>48</v>
      </c>
      <c r="I1088" s="4" t="s">
        <v>49</v>
      </c>
      <c r="J1088" s="4" t="s">
        <v>100</v>
      </c>
      <c r="K1088" s="4" t="s">
        <v>1189</v>
      </c>
      <c r="L1088" s="5">
        <v>0.38680555555555557</v>
      </c>
      <c r="M1088" s="4" t="s">
        <v>1313</v>
      </c>
      <c r="N1088" s="6" t="s">
        <v>23</v>
      </c>
      <c r="O1088" s="4" t="s">
        <v>24</v>
      </c>
    </row>
    <row r="1089" spans="1:15" x14ac:dyDescent="0.25">
      <c r="A1089" s="4" t="s">
        <v>15</v>
      </c>
      <c r="B1089" s="4" t="str">
        <f>"FES1162750536"</f>
        <v>FES1162750536</v>
      </c>
      <c r="C1089" s="4" t="s">
        <v>1015</v>
      </c>
      <c r="D1089" s="4">
        <v>1</v>
      </c>
      <c r="E1089" s="4" t="str">
        <f>"2170739355"</f>
        <v>2170739355</v>
      </c>
      <c r="F1089" s="4" t="s">
        <v>17</v>
      </c>
      <c r="G1089" s="4" t="s">
        <v>18</v>
      </c>
      <c r="H1089" s="4" t="s">
        <v>48</v>
      </c>
      <c r="I1089" s="4" t="s">
        <v>49</v>
      </c>
      <c r="J1089" s="4" t="s">
        <v>100</v>
      </c>
      <c r="K1089" s="4" t="s">
        <v>1189</v>
      </c>
      <c r="L1089" s="5">
        <v>0.38611111111111113</v>
      </c>
      <c r="M1089" s="4" t="s">
        <v>1313</v>
      </c>
      <c r="N1089" s="6" t="s">
        <v>23</v>
      </c>
      <c r="O1089" s="4" t="s">
        <v>24</v>
      </c>
    </row>
    <row r="1090" spans="1:15" x14ac:dyDescent="0.25">
      <c r="A1090" s="4" t="s">
        <v>15</v>
      </c>
      <c r="B1090" s="4" t="str">
        <f>"FES1162750402"</f>
        <v>FES1162750402</v>
      </c>
      <c r="C1090" s="4" t="s">
        <v>1015</v>
      </c>
      <c r="D1090" s="4">
        <v>1</v>
      </c>
      <c r="E1090" s="4" t="str">
        <f>"2170739811"</f>
        <v>2170739811</v>
      </c>
      <c r="F1090" s="4" t="s">
        <v>17</v>
      </c>
      <c r="G1090" s="4" t="s">
        <v>18</v>
      </c>
      <c r="H1090" s="4" t="s">
        <v>48</v>
      </c>
      <c r="I1090" s="4" t="s">
        <v>108</v>
      </c>
      <c r="J1090" s="4" t="s">
        <v>109</v>
      </c>
      <c r="K1090" s="4" t="s">
        <v>1189</v>
      </c>
      <c r="L1090" s="5">
        <v>0.52986111111111112</v>
      </c>
      <c r="M1090" s="4" t="s">
        <v>1263</v>
      </c>
      <c r="N1090" s="6" t="s">
        <v>23</v>
      </c>
      <c r="O1090" s="4" t="s">
        <v>24</v>
      </c>
    </row>
    <row r="1091" spans="1:15" x14ac:dyDescent="0.25">
      <c r="A1091" s="4" t="s">
        <v>15</v>
      </c>
      <c r="B1091" s="4" t="str">
        <f>"FES1162750486"</f>
        <v>FES1162750486</v>
      </c>
      <c r="C1091" s="4" t="s">
        <v>1015</v>
      </c>
      <c r="D1091" s="4">
        <v>1</v>
      </c>
      <c r="E1091" s="4" t="str">
        <f>"2170740708"</f>
        <v>2170740708</v>
      </c>
      <c r="F1091" s="4" t="s">
        <v>17</v>
      </c>
      <c r="G1091" s="4" t="s">
        <v>18</v>
      </c>
      <c r="H1091" s="4" t="s">
        <v>48</v>
      </c>
      <c r="I1091" s="4" t="s">
        <v>199</v>
      </c>
      <c r="J1091" s="4" t="s">
        <v>200</v>
      </c>
      <c r="K1091" s="4" t="s">
        <v>1189</v>
      </c>
      <c r="L1091" s="5">
        <v>0.41666666666666669</v>
      </c>
      <c r="M1091" s="4" t="s">
        <v>1314</v>
      </c>
      <c r="N1091" s="6" t="s">
        <v>23</v>
      </c>
      <c r="O1091" s="4" t="s">
        <v>24</v>
      </c>
    </row>
    <row r="1092" spans="1:15" x14ac:dyDescent="0.25">
      <c r="A1092" s="4" t="s">
        <v>15</v>
      </c>
      <c r="B1092" s="4" t="str">
        <f>"FES1162750420"</f>
        <v>FES1162750420</v>
      </c>
      <c r="C1092" s="4" t="s">
        <v>1015</v>
      </c>
      <c r="D1092" s="4">
        <v>1</v>
      </c>
      <c r="E1092" s="4" t="str">
        <f>"2170740604"</f>
        <v>2170740604</v>
      </c>
      <c r="F1092" s="4" t="s">
        <v>17</v>
      </c>
      <c r="G1092" s="4" t="s">
        <v>18</v>
      </c>
      <c r="H1092" s="4" t="s">
        <v>36</v>
      </c>
      <c r="I1092" s="4" t="s">
        <v>842</v>
      </c>
      <c r="J1092" s="4" t="s">
        <v>1208</v>
      </c>
      <c r="K1092" s="4" t="s">
        <v>1189</v>
      </c>
      <c r="L1092" s="5">
        <v>0.41388888888888892</v>
      </c>
      <c r="M1092" s="4" t="s">
        <v>1315</v>
      </c>
      <c r="N1092" s="6" t="s">
        <v>23</v>
      </c>
      <c r="O1092" s="4" t="s">
        <v>24</v>
      </c>
    </row>
    <row r="1093" spans="1:15" x14ac:dyDescent="0.25">
      <c r="A1093" s="4" t="s">
        <v>15</v>
      </c>
      <c r="B1093" s="4" t="str">
        <f>"FES1162750411"</f>
        <v>FES1162750411</v>
      </c>
      <c r="C1093" s="4" t="s">
        <v>1015</v>
      </c>
      <c r="D1093" s="4">
        <v>1</v>
      </c>
      <c r="E1093" s="4" t="str">
        <f>"2170740443"</f>
        <v>2170740443</v>
      </c>
      <c r="F1093" s="4" t="s">
        <v>17</v>
      </c>
      <c r="G1093" s="4" t="s">
        <v>18</v>
      </c>
      <c r="H1093" s="4" t="s">
        <v>32</v>
      </c>
      <c r="I1093" s="4" t="s">
        <v>33</v>
      </c>
      <c r="J1093" s="4" t="s">
        <v>552</v>
      </c>
      <c r="K1093" s="4" t="s">
        <v>1189</v>
      </c>
      <c r="L1093" s="5">
        <v>0.4236111111111111</v>
      </c>
      <c r="M1093" s="4" t="s">
        <v>1316</v>
      </c>
      <c r="N1093" s="6" t="s">
        <v>23</v>
      </c>
      <c r="O1093" s="4" t="s">
        <v>24</v>
      </c>
    </row>
    <row r="1094" spans="1:15" x14ac:dyDescent="0.25">
      <c r="A1094" s="4" t="s">
        <v>15</v>
      </c>
      <c r="B1094" s="4" t="str">
        <f>"FES1162750479"</f>
        <v>FES1162750479</v>
      </c>
      <c r="C1094" s="4" t="s">
        <v>1015</v>
      </c>
      <c r="D1094" s="4">
        <v>1</v>
      </c>
      <c r="E1094" s="4" t="str">
        <f>"2170740696"</f>
        <v>2170740696</v>
      </c>
      <c r="F1094" s="4" t="s">
        <v>17</v>
      </c>
      <c r="G1094" s="4" t="s">
        <v>18</v>
      </c>
      <c r="H1094" s="4" t="s">
        <v>48</v>
      </c>
      <c r="I1094" s="4" t="s">
        <v>73</v>
      </c>
      <c r="J1094" s="4" t="s">
        <v>104</v>
      </c>
      <c r="K1094" s="4" t="s">
        <v>1189</v>
      </c>
      <c r="L1094" s="5">
        <v>0.54166666666666663</v>
      </c>
      <c r="M1094" s="4" t="s">
        <v>943</v>
      </c>
      <c r="N1094" s="6" t="s">
        <v>23</v>
      </c>
      <c r="O1094" s="4" t="s">
        <v>24</v>
      </c>
    </row>
    <row r="1095" spans="1:15" x14ac:dyDescent="0.25">
      <c r="A1095" s="4" t="s">
        <v>15</v>
      </c>
      <c r="B1095" s="4" t="str">
        <f>"R009935712295"</f>
        <v>R009935712295</v>
      </c>
      <c r="C1095" s="4" t="s">
        <v>1015</v>
      </c>
      <c r="D1095" s="4">
        <v>1</v>
      </c>
      <c r="E1095" s="4" t="str">
        <f>"2170734394"</f>
        <v>2170734394</v>
      </c>
      <c r="F1095" s="4" t="s">
        <v>17</v>
      </c>
      <c r="G1095" s="4" t="s">
        <v>18</v>
      </c>
      <c r="H1095" s="4" t="s">
        <v>18</v>
      </c>
      <c r="I1095" s="4" t="s">
        <v>29</v>
      </c>
      <c r="J1095" s="4" t="s">
        <v>417</v>
      </c>
      <c r="K1095" s="4" t="s">
        <v>1189</v>
      </c>
      <c r="L1095" s="5">
        <v>0.39097222222222222</v>
      </c>
      <c r="M1095" s="4" t="s">
        <v>609</v>
      </c>
      <c r="N1095" s="6" t="s">
        <v>23</v>
      </c>
      <c r="O1095" s="4" t="s">
        <v>24</v>
      </c>
    </row>
    <row r="1096" spans="1:15" x14ac:dyDescent="0.25">
      <c r="A1096" s="4" t="s">
        <v>15</v>
      </c>
      <c r="B1096" s="4" t="str">
        <f>"FES1162750405"</f>
        <v>FES1162750405</v>
      </c>
      <c r="C1096" s="4" t="s">
        <v>1015</v>
      </c>
      <c r="D1096" s="4">
        <v>1</v>
      </c>
      <c r="E1096" s="4" t="str">
        <f>"2170739936"</f>
        <v>2170739936</v>
      </c>
      <c r="F1096" s="4" t="s">
        <v>17</v>
      </c>
      <c r="G1096" s="4" t="s">
        <v>18</v>
      </c>
      <c r="H1096" s="4" t="s">
        <v>18</v>
      </c>
      <c r="I1096" s="4" t="s">
        <v>183</v>
      </c>
      <c r="J1096" s="4" t="s">
        <v>637</v>
      </c>
      <c r="K1096" s="4" t="s">
        <v>1189</v>
      </c>
      <c r="L1096" s="5">
        <v>0.40069444444444446</v>
      </c>
      <c r="M1096" s="4" t="s">
        <v>481</v>
      </c>
      <c r="N1096" s="6" t="s">
        <v>23</v>
      </c>
      <c r="O1096" s="4" t="s">
        <v>24</v>
      </c>
    </row>
    <row r="1097" spans="1:15" x14ac:dyDescent="0.25">
      <c r="A1097" s="4" t="s">
        <v>15</v>
      </c>
      <c r="B1097" s="4" t="str">
        <f>"FES1162750436"</f>
        <v>FES1162750436</v>
      </c>
      <c r="C1097" s="4" t="s">
        <v>1015</v>
      </c>
      <c r="D1097" s="4">
        <v>1</v>
      </c>
      <c r="E1097" s="4" t="str">
        <f>"2170740657"</f>
        <v>2170740657</v>
      </c>
      <c r="F1097" s="4" t="s">
        <v>17</v>
      </c>
      <c r="G1097" s="4" t="s">
        <v>18</v>
      </c>
      <c r="H1097" s="4" t="s">
        <v>18</v>
      </c>
      <c r="I1097" s="4" t="s">
        <v>97</v>
      </c>
      <c r="J1097" s="4" t="s">
        <v>1202</v>
      </c>
      <c r="K1097" s="4" t="s">
        <v>1189</v>
      </c>
      <c r="L1097" s="5">
        <v>0.41319444444444442</v>
      </c>
      <c r="M1097" s="4" t="s">
        <v>1289</v>
      </c>
      <c r="N1097" s="6" t="s">
        <v>23</v>
      </c>
      <c r="O1097" s="4" t="s">
        <v>24</v>
      </c>
    </row>
    <row r="1098" spans="1:15" x14ac:dyDescent="0.25">
      <c r="A1098" s="4" t="s">
        <v>15</v>
      </c>
      <c r="B1098" s="4" t="str">
        <f>"FES1162750417"</f>
        <v>FES1162750417</v>
      </c>
      <c r="C1098" s="4" t="s">
        <v>1015</v>
      </c>
      <c r="D1098" s="4">
        <v>1</v>
      </c>
      <c r="E1098" s="4" t="str">
        <f>"2170740589"</f>
        <v>2170740589</v>
      </c>
      <c r="F1098" s="4" t="s">
        <v>17</v>
      </c>
      <c r="G1098" s="4" t="s">
        <v>18</v>
      </c>
      <c r="H1098" s="4" t="s">
        <v>25</v>
      </c>
      <c r="I1098" s="4" t="s">
        <v>26</v>
      </c>
      <c r="J1098" s="4" t="s">
        <v>287</v>
      </c>
      <c r="K1098" s="4" t="s">
        <v>1189</v>
      </c>
      <c r="L1098" s="5">
        <v>0.3611111111111111</v>
      </c>
      <c r="M1098" s="4" t="s">
        <v>1317</v>
      </c>
      <c r="N1098" s="6" t="s">
        <v>23</v>
      </c>
      <c r="O1098" s="4" t="s">
        <v>24</v>
      </c>
    </row>
    <row r="1099" spans="1:15" x14ac:dyDescent="0.25">
      <c r="A1099" s="4" t="s">
        <v>15</v>
      </c>
      <c r="B1099" s="4" t="str">
        <f>"FES1162750423"</f>
        <v>FES1162750423</v>
      </c>
      <c r="C1099" s="4" t="s">
        <v>1015</v>
      </c>
      <c r="D1099" s="4">
        <v>1</v>
      </c>
      <c r="E1099" s="4" t="str">
        <f>"2170740634"</f>
        <v>2170740634</v>
      </c>
      <c r="F1099" s="4" t="s">
        <v>17</v>
      </c>
      <c r="G1099" s="4" t="s">
        <v>18</v>
      </c>
      <c r="H1099" s="4" t="s">
        <v>25</v>
      </c>
      <c r="I1099" s="4" t="s">
        <v>92</v>
      </c>
      <c r="J1099" s="4" t="s">
        <v>93</v>
      </c>
      <c r="K1099" s="4" t="s">
        <v>1189</v>
      </c>
      <c r="L1099" s="5">
        <v>0.34027777777777773</v>
      </c>
      <c r="M1099" s="4" t="s">
        <v>496</v>
      </c>
      <c r="N1099" s="6" t="s">
        <v>23</v>
      </c>
      <c r="O1099" s="4" t="s">
        <v>24</v>
      </c>
    </row>
    <row r="1100" spans="1:15" x14ac:dyDescent="0.25">
      <c r="A1100" s="4" t="s">
        <v>15</v>
      </c>
      <c r="B1100" s="4" t="str">
        <f>"FES1162750487"</f>
        <v>FES1162750487</v>
      </c>
      <c r="C1100" s="4" t="s">
        <v>1015</v>
      </c>
      <c r="D1100" s="4">
        <v>1</v>
      </c>
      <c r="E1100" s="4" t="str">
        <f>"2170740709"</f>
        <v>2170740709</v>
      </c>
      <c r="F1100" s="4" t="s">
        <v>17</v>
      </c>
      <c r="G1100" s="4" t="s">
        <v>18</v>
      </c>
      <c r="H1100" s="4" t="s">
        <v>25</v>
      </c>
      <c r="I1100" s="4" t="s">
        <v>281</v>
      </c>
      <c r="J1100" s="4" t="s">
        <v>624</v>
      </c>
      <c r="K1100" s="4" t="s">
        <v>1189</v>
      </c>
      <c r="L1100" s="5">
        <v>0.41875000000000001</v>
      </c>
      <c r="M1100" s="4" t="s">
        <v>1318</v>
      </c>
      <c r="N1100" s="6" t="s">
        <v>23</v>
      </c>
      <c r="O1100" s="4" t="s">
        <v>24</v>
      </c>
    </row>
    <row r="1101" spans="1:15" x14ac:dyDescent="0.25">
      <c r="A1101" s="4" t="s">
        <v>15</v>
      </c>
      <c r="B1101" s="4" t="str">
        <f>"009935712360"</f>
        <v>009935712360</v>
      </c>
      <c r="C1101" s="4" t="s">
        <v>1015</v>
      </c>
      <c r="D1101" s="4">
        <v>1</v>
      </c>
      <c r="E1101" s="4" t="str">
        <f>"1162747563"</f>
        <v>1162747563</v>
      </c>
      <c r="F1101" s="4" t="s">
        <v>17</v>
      </c>
      <c r="G1101" s="4" t="s">
        <v>18</v>
      </c>
      <c r="H1101" s="4" t="s">
        <v>52</v>
      </c>
      <c r="I1101" s="4" t="s">
        <v>53</v>
      </c>
      <c r="J1101" s="4" t="s">
        <v>613</v>
      </c>
      <c r="K1101" s="4" t="s">
        <v>1189</v>
      </c>
      <c r="L1101" s="5">
        <v>0.4368055555555555</v>
      </c>
      <c r="M1101" s="4" t="s">
        <v>1319</v>
      </c>
      <c r="N1101" s="6" t="s">
        <v>23</v>
      </c>
      <c r="O1101" s="4" t="s">
        <v>1193</v>
      </c>
    </row>
    <row r="1102" spans="1:15" x14ac:dyDescent="0.25">
      <c r="A1102" s="4" t="s">
        <v>15</v>
      </c>
      <c r="B1102" s="4" t="str">
        <f>"FES1162750379"</f>
        <v>FES1162750379</v>
      </c>
      <c r="C1102" s="4" t="s">
        <v>1015</v>
      </c>
      <c r="D1102" s="4">
        <v>1</v>
      </c>
      <c r="E1102" s="4" t="str">
        <f>"2170740047"</f>
        <v>2170740047</v>
      </c>
      <c r="F1102" s="4" t="s">
        <v>17</v>
      </c>
      <c r="G1102" s="4" t="s">
        <v>18</v>
      </c>
      <c r="H1102" s="4" t="s">
        <v>18</v>
      </c>
      <c r="I1102" s="4" t="s">
        <v>219</v>
      </c>
      <c r="J1102" s="4" t="s">
        <v>554</v>
      </c>
      <c r="K1102" s="4" t="s">
        <v>1189</v>
      </c>
      <c r="L1102" s="5">
        <v>0.48819444444444443</v>
      </c>
      <c r="M1102" s="4" t="s">
        <v>924</v>
      </c>
      <c r="N1102" s="6" t="s">
        <v>23</v>
      </c>
      <c r="O1102" s="4" t="s">
        <v>24</v>
      </c>
    </row>
    <row r="1103" spans="1:15" x14ac:dyDescent="0.25">
      <c r="A1103" s="4" t="s">
        <v>15</v>
      </c>
      <c r="B1103" s="4" t="str">
        <f>"FES1162750642"</f>
        <v>FES1162750642</v>
      </c>
      <c r="C1103" s="4" t="s">
        <v>1015</v>
      </c>
      <c r="D1103" s="4">
        <v>1</v>
      </c>
      <c r="E1103" s="4" t="str">
        <f>"2170740757"</f>
        <v>2170740757</v>
      </c>
      <c r="F1103" s="4" t="s">
        <v>17</v>
      </c>
      <c r="G1103" s="4" t="s">
        <v>18</v>
      </c>
      <c r="H1103" s="4" t="s">
        <v>85</v>
      </c>
      <c r="I1103" s="4" t="s">
        <v>152</v>
      </c>
      <c r="J1103" s="4" t="s">
        <v>239</v>
      </c>
      <c r="K1103" s="4" t="s">
        <v>1189</v>
      </c>
      <c r="L1103" s="5">
        <v>0.4604166666666667</v>
      </c>
      <c r="M1103" s="4" t="s">
        <v>1320</v>
      </c>
      <c r="N1103" s="6" t="s">
        <v>23</v>
      </c>
      <c r="O1103" s="4" t="s">
        <v>24</v>
      </c>
    </row>
    <row r="1104" spans="1:15" x14ac:dyDescent="0.25">
      <c r="A1104" s="4" t="s">
        <v>15</v>
      </c>
      <c r="B1104" s="4" t="str">
        <f>"FES1162750544"</f>
        <v>FES1162750544</v>
      </c>
      <c r="C1104" s="4" t="s">
        <v>1015</v>
      </c>
      <c r="D1104" s="4">
        <v>1</v>
      </c>
      <c r="E1104" s="4" t="str">
        <f>"21707394197"</f>
        <v>21707394197</v>
      </c>
      <c r="F1104" s="4" t="s">
        <v>17</v>
      </c>
      <c r="G1104" s="4" t="s">
        <v>18</v>
      </c>
      <c r="H1104" s="4" t="s">
        <v>40</v>
      </c>
      <c r="I1104" s="4" t="s">
        <v>870</v>
      </c>
      <c r="J1104" s="4" t="s">
        <v>1062</v>
      </c>
      <c r="K1104" s="4" t="s">
        <v>1189</v>
      </c>
      <c r="L1104" s="5">
        <v>0.4604166666666667</v>
      </c>
      <c r="M1104" s="4" t="s">
        <v>1423</v>
      </c>
      <c r="N1104" s="6" t="s">
        <v>23</v>
      </c>
      <c r="O1104" s="4" t="s">
        <v>24</v>
      </c>
    </row>
    <row r="1105" spans="1:15" x14ac:dyDescent="0.25">
      <c r="A1105" s="4" t="s">
        <v>15</v>
      </c>
      <c r="B1105" s="4" t="str">
        <f>"FES1162750509"</f>
        <v>FES1162750509</v>
      </c>
      <c r="C1105" s="4" t="s">
        <v>1015</v>
      </c>
      <c r="D1105" s="4">
        <v>1</v>
      </c>
      <c r="E1105" s="4" t="str">
        <f>"217073911"</f>
        <v>217073911</v>
      </c>
      <c r="F1105" s="4" t="s">
        <v>17</v>
      </c>
      <c r="G1105" s="4" t="s">
        <v>18</v>
      </c>
      <c r="H1105" s="4" t="s">
        <v>85</v>
      </c>
      <c r="I1105" s="4" t="s">
        <v>207</v>
      </c>
      <c r="J1105" s="4" t="s">
        <v>1209</v>
      </c>
      <c r="K1105" s="4" t="s">
        <v>1189</v>
      </c>
      <c r="L1105" s="5">
        <v>0.68888888888888899</v>
      </c>
      <c r="M1105" s="4" t="s">
        <v>1321</v>
      </c>
      <c r="N1105" s="6" t="s">
        <v>23</v>
      </c>
      <c r="O1105" s="4" t="s">
        <v>24</v>
      </c>
    </row>
    <row r="1106" spans="1:15" x14ac:dyDescent="0.25">
      <c r="A1106" s="4" t="s">
        <v>15</v>
      </c>
      <c r="B1106" s="4" t="str">
        <f>"FES1162750392"</f>
        <v>FES1162750392</v>
      </c>
      <c r="C1106" s="4" t="s">
        <v>1015</v>
      </c>
      <c r="D1106" s="4">
        <v>1</v>
      </c>
      <c r="E1106" s="4" t="str">
        <f>"2170739111"</f>
        <v>2170739111</v>
      </c>
      <c r="F1106" s="4" t="s">
        <v>17</v>
      </c>
      <c r="G1106" s="4" t="s">
        <v>18</v>
      </c>
      <c r="H1106" s="4" t="s">
        <v>85</v>
      </c>
      <c r="I1106" s="4" t="s">
        <v>207</v>
      </c>
      <c r="J1106" s="4" t="s">
        <v>1209</v>
      </c>
      <c r="K1106" s="4" t="s">
        <v>1189</v>
      </c>
      <c r="L1106" s="5">
        <v>0.68958333333333333</v>
      </c>
      <c r="M1106" s="4" t="s">
        <v>1321</v>
      </c>
      <c r="N1106" s="6" t="s">
        <v>23</v>
      </c>
      <c r="O1106" s="4" t="s">
        <v>24</v>
      </c>
    </row>
    <row r="1107" spans="1:15" x14ac:dyDescent="0.25">
      <c r="A1107" s="4" t="s">
        <v>15</v>
      </c>
      <c r="B1107" s="4" t="str">
        <f>"FES1162750610"</f>
        <v>FES1162750610</v>
      </c>
      <c r="C1107" s="4" t="s">
        <v>1015</v>
      </c>
      <c r="D1107" s="4">
        <v>1</v>
      </c>
      <c r="E1107" s="4" t="str">
        <f>"21707340739"</f>
        <v>21707340739</v>
      </c>
      <c r="F1107" s="4" t="s">
        <v>17</v>
      </c>
      <c r="G1107" s="4" t="s">
        <v>18</v>
      </c>
      <c r="H1107" s="4" t="s">
        <v>85</v>
      </c>
      <c r="I1107" s="4" t="s">
        <v>144</v>
      </c>
      <c r="J1107" s="4" t="s">
        <v>407</v>
      </c>
      <c r="K1107" s="4" t="s">
        <v>1189</v>
      </c>
      <c r="L1107" s="5">
        <v>0.53333333333333333</v>
      </c>
      <c r="M1107" s="4" t="s">
        <v>1012</v>
      </c>
      <c r="N1107" s="6" t="s">
        <v>23</v>
      </c>
      <c r="O1107" s="4" t="s">
        <v>24</v>
      </c>
    </row>
    <row r="1108" spans="1:15" x14ac:dyDescent="0.25">
      <c r="A1108" s="4" t="s">
        <v>15</v>
      </c>
      <c r="B1108" s="4" t="str">
        <f>"FES1162750604"</f>
        <v>FES1162750604</v>
      </c>
      <c r="C1108" s="4" t="s">
        <v>1015</v>
      </c>
      <c r="D1108" s="4">
        <v>1</v>
      </c>
      <c r="E1108" s="4" t="str">
        <f>"2170740729"</f>
        <v>2170740729</v>
      </c>
      <c r="F1108" s="4" t="s">
        <v>17</v>
      </c>
      <c r="G1108" s="4" t="s">
        <v>18</v>
      </c>
      <c r="H1108" s="4" t="s">
        <v>40</v>
      </c>
      <c r="I1108" s="4" t="s">
        <v>41</v>
      </c>
      <c r="J1108" s="4" t="s">
        <v>99</v>
      </c>
      <c r="K1108" s="4" t="s">
        <v>1294</v>
      </c>
      <c r="L1108" s="5">
        <v>0.36736111111111108</v>
      </c>
      <c r="M1108" s="4" t="s">
        <v>1295</v>
      </c>
      <c r="N1108" s="6" t="s">
        <v>23</v>
      </c>
      <c r="O1108" s="4" t="s">
        <v>24</v>
      </c>
    </row>
    <row r="1109" spans="1:15" x14ac:dyDescent="0.25">
      <c r="A1109" s="4" t="s">
        <v>15</v>
      </c>
      <c r="B1109" s="4" t="str">
        <f>"FES1162750598"</f>
        <v>FES1162750598</v>
      </c>
      <c r="C1109" s="4" t="s">
        <v>1015</v>
      </c>
      <c r="D1109" s="4">
        <v>1</v>
      </c>
      <c r="E1109" s="4" t="str">
        <f>"2170740679"</f>
        <v>2170740679</v>
      </c>
      <c r="F1109" s="4" t="s">
        <v>17</v>
      </c>
      <c r="G1109" s="4" t="s">
        <v>18</v>
      </c>
      <c r="H1109" s="4" t="s">
        <v>85</v>
      </c>
      <c r="I1109" s="4" t="s">
        <v>144</v>
      </c>
      <c r="J1109" s="4" t="s">
        <v>1210</v>
      </c>
      <c r="K1109" s="4" t="s">
        <v>1189</v>
      </c>
      <c r="L1109" s="5">
        <v>0.53194444444444444</v>
      </c>
      <c r="M1109" s="4" t="s">
        <v>496</v>
      </c>
      <c r="N1109" s="6" t="s">
        <v>23</v>
      </c>
      <c r="O1109" s="4" t="s">
        <v>24</v>
      </c>
    </row>
    <row r="1110" spans="1:15" x14ac:dyDescent="0.25">
      <c r="A1110" s="4" t="s">
        <v>15</v>
      </c>
      <c r="B1110" s="4" t="str">
        <f>"FES1162750505"</f>
        <v>FES1162750505</v>
      </c>
      <c r="C1110" s="4" t="s">
        <v>1015</v>
      </c>
      <c r="D1110" s="4">
        <v>1</v>
      </c>
      <c r="E1110" s="4" t="str">
        <f>"2170739090"</f>
        <v>2170739090</v>
      </c>
      <c r="F1110" s="4" t="s">
        <v>17</v>
      </c>
      <c r="G1110" s="4" t="s">
        <v>18</v>
      </c>
      <c r="H1110" s="4" t="s">
        <v>18</v>
      </c>
      <c r="I1110" s="4" t="s">
        <v>29</v>
      </c>
      <c r="J1110" s="4" t="s">
        <v>298</v>
      </c>
      <c r="K1110" s="4" t="s">
        <v>1189</v>
      </c>
      <c r="L1110" s="5">
        <v>0.43194444444444446</v>
      </c>
      <c r="M1110" s="4" t="s">
        <v>1322</v>
      </c>
      <c r="N1110" s="6" t="s">
        <v>23</v>
      </c>
      <c r="O1110" s="4" t="s">
        <v>24</v>
      </c>
    </row>
    <row r="1111" spans="1:15" x14ac:dyDescent="0.25">
      <c r="A1111" s="4" t="s">
        <v>15</v>
      </c>
      <c r="B1111" s="4" t="str">
        <f>"FES1162750608"</f>
        <v>FES1162750608</v>
      </c>
      <c r="C1111" s="4" t="s">
        <v>1015</v>
      </c>
      <c r="D1111" s="4">
        <v>1</v>
      </c>
      <c r="E1111" s="4" t="str">
        <f>"2170740736"</f>
        <v>2170740736</v>
      </c>
      <c r="F1111" s="4" t="s">
        <v>17</v>
      </c>
      <c r="G1111" s="4" t="s">
        <v>18</v>
      </c>
      <c r="H1111" s="4" t="s">
        <v>85</v>
      </c>
      <c r="I1111" s="4" t="s">
        <v>144</v>
      </c>
      <c r="J1111" s="4" t="s">
        <v>210</v>
      </c>
      <c r="K1111" s="4" t="s">
        <v>1189</v>
      </c>
      <c r="L1111" s="5">
        <v>0.46249999999999997</v>
      </c>
      <c r="M1111" s="4" t="s">
        <v>1296</v>
      </c>
      <c r="N1111" s="6" t="s">
        <v>23</v>
      </c>
      <c r="O1111" s="4" t="s">
        <v>24</v>
      </c>
    </row>
    <row r="1112" spans="1:15" x14ac:dyDescent="0.25">
      <c r="A1112" s="4" t="s">
        <v>15</v>
      </c>
      <c r="B1112" s="4" t="str">
        <f>"FES1162750580"</f>
        <v>FES1162750580</v>
      </c>
      <c r="C1112" s="4" t="s">
        <v>1015</v>
      </c>
      <c r="D1112" s="4">
        <v>1</v>
      </c>
      <c r="E1112" s="4" t="str">
        <f>"2170739789"</f>
        <v>2170739789</v>
      </c>
      <c r="F1112" s="4" t="s">
        <v>17</v>
      </c>
      <c r="G1112" s="4" t="s">
        <v>18</v>
      </c>
      <c r="H1112" s="4" t="s">
        <v>85</v>
      </c>
      <c r="I1112" s="4" t="s">
        <v>207</v>
      </c>
      <c r="J1112" s="4" t="s">
        <v>245</v>
      </c>
      <c r="K1112" s="4" t="s">
        <v>1189</v>
      </c>
      <c r="L1112" s="5">
        <v>0.46458333333333335</v>
      </c>
      <c r="M1112" s="4" t="s">
        <v>1323</v>
      </c>
      <c r="N1112" s="6" t="s">
        <v>23</v>
      </c>
      <c r="O1112" s="4" t="s">
        <v>24</v>
      </c>
    </row>
    <row r="1113" spans="1:15" x14ac:dyDescent="0.25">
      <c r="A1113" s="4" t="s">
        <v>15</v>
      </c>
      <c r="B1113" s="4" t="str">
        <f>"FES1162750476"</f>
        <v>FES1162750476</v>
      </c>
      <c r="C1113" s="4" t="s">
        <v>1015</v>
      </c>
      <c r="D1113" s="4">
        <v>1</v>
      </c>
      <c r="E1113" s="4" t="str">
        <f>"21707379976"</f>
        <v>21707379976</v>
      </c>
      <c r="F1113" s="4" t="s">
        <v>17</v>
      </c>
      <c r="G1113" s="4" t="s">
        <v>18</v>
      </c>
      <c r="H1113" s="4" t="s">
        <v>85</v>
      </c>
      <c r="I1113" s="4" t="s">
        <v>144</v>
      </c>
      <c r="J1113" s="4" t="s">
        <v>1211</v>
      </c>
      <c r="K1113" s="4" t="s">
        <v>1294</v>
      </c>
      <c r="L1113" s="5">
        <v>0.35069444444444442</v>
      </c>
      <c r="M1113" s="4" t="s">
        <v>1324</v>
      </c>
      <c r="N1113" s="6" t="s">
        <v>23</v>
      </c>
      <c r="O1113" s="4" t="s">
        <v>24</v>
      </c>
    </row>
    <row r="1114" spans="1:15" x14ac:dyDescent="0.25">
      <c r="A1114" s="4" t="s">
        <v>15</v>
      </c>
      <c r="B1114" s="4" t="str">
        <f>"FES1162750596"</f>
        <v>FES1162750596</v>
      </c>
      <c r="C1114" s="4" t="s">
        <v>1015</v>
      </c>
      <c r="D1114" s="4">
        <v>1</v>
      </c>
      <c r="E1114" s="4" t="str">
        <f>"2170740725"</f>
        <v>2170740725</v>
      </c>
      <c r="F1114" s="4" t="s">
        <v>17</v>
      </c>
      <c r="G1114" s="4" t="s">
        <v>18</v>
      </c>
      <c r="H1114" s="4" t="s">
        <v>85</v>
      </c>
      <c r="I1114" s="4" t="s">
        <v>408</v>
      </c>
      <c r="J1114" s="4" t="s">
        <v>1191</v>
      </c>
      <c r="K1114" s="4" t="s">
        <v>1189</v>
      </c>
      <c r="L1114" s="5">
        <v>0.60347222222222219</v>
      </c>
      <c r="M1114" s="4" t="s">
        <v>1268</v>
      </c>
      <c r="N1114" s="6" t="s">
        <v>23</v>
      </c>
      <c r="O1114" s="4" t="s">
        <v>24</v>
      </c>
    </row>
    <row r="1115" spans="1:15" x14ac:dyDescent="0.25">
      <c r="A1115" s="4" t="s">
        <v>15</v>
      </c>
      <c r="B1115" s="4" t="str">
        <f>"FES1162750507"</f>
        <v>FES1162750507</v>
      </c>
      <c r="C1115" s="4" t="s">
        <v>1015</v>
      </c>
      <c r="D1115" s="4">
        <v>1</v>
      </c>
      <c r="E1115" s="4" t="str">
        <f>"2170739097"</f>
        <v>2170739097</v>
      </c>
      <c r="F1115" s="4" t="s">
        <v>17</v>
      </c>
      <c r="G1115" s="4" t="s">
        <v>18</v>
      </c>
      <c r="H1115" s="4" t="s">
        <v>25</v>
      </c>
      <c r="I1115" s="4" t="s">
        <v>26</v>
      </c>
      <c r="J1115" s="4" t="s">
        <v>411</v>
      </c>
      <c r="K1115" s="4" t="s">
        <v>1189</v>
      </c>
      <c r="L1115" s="5">
        <v>0.40138888888888885</v>
      </c>
      <c r="M1115" s="4" t="s">
        <v>1151</v>
      </c>
      <c r="N1115" s="6" t="s">
        <v>23</v>
      </c>
      <c r="O1115" s="4" t="s">
        <v>24</v>
      </c>
    </row>
    <row r="1116" spans="1:15" x14ac:dyDescent="0.25">
      <c r="A1116" s="4" t="s">
        <v>15</v>
      </c>
      <c r="B1116" s="4" t="str">
        <f>"FES1162750603"</f>
        <v>FES1162750603</v>
      </c>
      <c r="C1116" s="4" t="s">
        <v>1015</v>
      </c>
      <c r="D1116" s="4">
        <v>1</v>
      </c>
      <c r="E1116" s="4" t="str">
        <f>"2170740728"</f>
        <v>2170740728</v>
      </c>
      <c r="F1116" s="4" t="s">
        <v>17</v>
      </c>
      <c r="G1116" s="4" t="s">
        <v>18</v>
      </c>
      <c r="H1116" s="4" t="s">
        <v>85</v>
      </c>
      <c r="I1116" s="4" t="s">
        <v>408</v>
      </c>
      <c r="J1116" s="4" t="s">
        <v>1191</v>
      </c>
      <c r="K1116" s="4" t="s">
        <v>1189</v>
      </c>
      <c r="L1116" s="5">
        <v>0.60347222222222219</v>
      </c>
      <c r="M1116" s="4" t="s">
        <v>1268</v>
      </c>
      <c r="N1116" s="6" t="s">
        <v>23</v>
      </c>
      <c r="O1116" s="4" t="s">
        <v>24</v>
      </c>
    </row>
    <row r="1117" spans="1:15" x14ac:dyDescent="0.25">
      <c r="A1117" s="4" t="s">
        <v>15</v>
      </c>
      <c r="B1117" s="4" t="str">
        <f>"FES1162750435"</f>
        <v>FES1162750435</v>
      </c>
      <c r="C1117" s="4" t="s">
        <v>1015</v>
      </c>
      <c r="D1117" s="4">
        <v>1</v>
      </c>
      <c r="E1117" s="4" t="str">
        <f>"2170740656"</f>
        <v>2170740656</v>
      </c>
      <c r="F1117" s="4" t="s">
        <v>17</v>
      </c>
      <c r="G1117" s="4" t="s">
        <v>18</v>
      </c>
      <c r="H1117" s="4" t="s">
        <v>85</v>
      </c>
      <c r="I1117" s="4" t="s">
        <v>144</v>
      </c>
      <c r="J1117" s="4" t="s">
        <v>878</v>
      </c>
      <c r="K1117" s="4" t="s">
        <v>1189</v>
      </c>
      <c r="L1117" s="5">
        <v>0.44305555555555554</v>
      </c>
      <c r="M1117" s="4" t="s">
        <v>1298</v>
      </c>
      <c r="N1117" s="6" t="s">
        <v>23</v>
      </c>
      <c r="O1117" s="4" t="s">
        <v>24</v>
      </c>
    </row>
    <row r="1118" spans="1:15" x14ac:dyDescent="0.25">
      <c r="A1118" s="4" t="s">
        <v>15</v>
      </c>
      <c r="B1118" s="4" t="str">
        <f>"FES1162750442"</f>
        <v>FES1162750442</v>
      </c>
      <c r="C1118" s="4" t="s">
        <v>1015</v>
      </c>
      <c r="D1118" s="4">
        <v>1</v>
      </c>
      <c r="E1118" s="4" t="str">
        <f>"2170740679"</f>
        <v>2170740679</v>
      </c>
      <c r="F1118" s="4" t="s">
        <v>17</v>
      </c>
      <c r="G1118" s="4" t="s">
        <v>18</v>
      </c>
      <c r="H1118" s="4" t="s">
        <v>48</v>
      </c>
      <c r="I1118" s="4" t="s">
        <v>73</v>
      </c>
      <c r="J1118" s="4" t="s">
        <v>160</v>
      </c>
      <c r="K1118" s="4" t="s">
        <v>1189</v>
      </c>
      <c r="L1118" s="5">
        <v>0.4993055555555555</v>
      </c>
      <c r="M1118" s="4" t="s">
        <v>161</v>
      </c>
      <c r="N1118" s="6" t="s">
        <v>23</v>
      </c>
      <c r="O1118" s="4" t="s">
        <v>24</v>
      </c>
    </row>
    <row r="1119" spans="1:15" x14ac:dyDescent="0.25">
      <c r="A1119" s="4" t="s">
        <v>15</v>
      </c>
      <c r="B1119" s="4" t="str">
        <f>"FES1162750499"</f>
        <v>FES1162750499</v>
      </c>
      <c r="C1119" s="4" t="s">
        <v>1015</v>
      </c>
      <c r="D1119" s="4">
        <v>1</v>
      </c>
      <c r="E1119" s="4" t="str">
        <f>"2170738598"</f>
        <v>2170738598</v>
      </c>
      <c r="F1119" s="4" t="s">
        <v>17</v>
      </c>
      <c r="G1119" s="4" t="s">
        <v>18</v>
      </c>
      <c r="H1119" s="4" t="s">
        <v>85</v>
      </c>
      <c r="I1119" s="4" t="s">
        <v>144</v>
      </c>
      <c r="J1119" s="4" t="s">
        <v>1212</v>
      </c>
      <c r="K1119" s="4" t="s">
        <v>1189</v>
      </c>
      <c r="L1119" s="5">
        <v>0.46666666666666662</v>
      </c>
      <c r="M1119" s="4" t="s">
        <v>1325</v>
      </c>
      <c r="N1119" s="6" t="s">
        <v>23</v>
      </c>
      <c r="O1119" s="4" t="s">
        <v>24</v>
      </c>
    </row>
    <row r="1120" spans="1:15" x14ac:dyDescent="0.25">
      <c r="A1120" s="4" t="s">
        <v>15</v>
      </c>
      <c r="B1120" s="4" t="str">
        <f>"019911311242"</f>
        <v>019911311242</v>
      </c>
      <c r="C1120" s="4" t="s">
        <v>1015</v>
      </c>
      <c r="D1120" s="4">
        <v>1</v>
      </c>
      <c r="E1120" s="4" t="str">
        <f>"1703"</f>
        <v>1703</v>
      </c>
      <c r="F1120" s="4" t="s">
        <v>1162</v>
      </c>
      <c r="G1120" s="4" t="s">
        <v>48</v>
      </c>
      <c r="H1120" s="4" t="s">
        <v>1163</v>
      </c>
      <c r="I1120" s="4" t="s">
        <v>29</v>
      </c>
      <c r="J1120" s="4" t="s">
        <v>722</v>
      </c>
      <c r="K1120" s="4" t="s">
        <v>1189</v>
      </c>
      <c r="L1120" s="5">
        <v>0.46666666666666662</v>
      </c>
      <c r="M1120" s="4" t="s">
        <v>1422</v>
      </c>
      <c r="N1120" s="6" t="s">
        <v>23</v>
      </c>
      <c r="O1120" s="4" t="s">
        <v>1213</v>
      </c>
    </row>
    <row r="1121" spans="1:15" x14ac:dyDescent="0.25">
      <c r="A1121" s="11" t="s">
        <v>15</v>
      </c>
      <c r="B1121" s="11" t="str">
        <f>"FES1162750573"</f>
        <v>FES1162750573</v>
      </c>
      <c r="C1121" s="11" t="s">
        <v>1015</v>
      </c>
      <c r="D1121" s="11">
        <v>1</v>
      </c>
      <c r="E1121" s="11" t="str">
        <f>"2170739615"</f>
        <v>2170739615</v>
      </c>
      <c r="F1121" s="11" t="s">
        <v>17</v>
      </c>
      <c r="G1121" s="11" t="s">
        <v>18</v>
      </c>
      <c r="H1121" s="11" t="s">
        <v>18</v>
      </c>
      <c r="I1121" s="11" t="s">
        <v>19</v>
      </c>
      <c r="J1121" s="11" t="s">
        <v>20</v>
      </c>
      <c r="K1121" s="11" t="s">
        <v>1189</v>
      </c>
      <c r="L1121" s="12">
        <v>0.40416666666666662</v>
      </c>
      <c r="M1121" s="11" t="s">
        <v>128</v>
      </c>
      <c r="N1121" s="13" t="s">
        <v>23</v>
      </c>
      <c r="O1121" s="11" t="s">
        <v>24</v>
      </c>
    </row>
    <row r="1122" spans="1:15" x14ac:dyDescent="0.25">
      <c r="A1122" s="11" t="s">
        <v>15</v>
      </c>
      <c r="B1122" s="11" t="str">
        <f>"FES1162750494"</f>
        <v>FES1162750494</v>
      </c>
      <c r="C1122" s="11" t="s">
        <v>1015</v>
      </c>
      <c r="D1122" s="11">
        <v>1</v>
      </c>
      <c r="E1122" s="11" t="str">
        <f>"2170740514"</f>
        <v>2170740514</v>
      </c>
      <c r="F1122" s="11" t="s">
        <v>17</v>
      </c>
      <c r="G1122" s="11" t="s">
        <v>18</v>
      </c>
      <c r="H1122" s="11" t="s">
        <v>40</v>
      </c>
      <c r="I1122" s="11" t="s">
        <v>41</v>
      </c>
      <c r="J1122" s="11" t="s">
        <v>1214</v>
      </c>
      <c r="K1122" s="11" t="s">
        <v>1189</v>
      </c>
      <c r="L1122" s="12">
        <v>0.40416666666666662</v>
      </c>
      <c r="M1122" s="11" t="s">
        <v>1553</v>
      </c>
      <c r="N1122" s="11" t="s">
        <v>23</v>
      </c>
      <c r="O1122" s="11" t="s">
        <v>24</v>
      </c>
    </row>
    <row r="1123" spans="1:15" x14ac:dyDescent="0.25">
      <c r="A1123" s="11" t="s">
        <v>15</v>
      </c>
      <c r="B1123" s="11" t="str">
        <f>"FES1162750518"</f>
        <v>FES1162750518</v>
      </c>
      <c r="C1123" s="11" t="s">
        <v>1015</v>
      </c>
      <c r="D1123" s="11">
        <v>1</v>
      </c>
      <c r="E1123" s="11" t="str">
        <f>"2170739174"</f>
        <v>2170739174</v>
      </c>
      <c r="F1123" s="11" t="s">
        <v>17</v>
      </c>
      <c r="G1123" s="11" t="s">
        <v>18</v>
      </c>
      <c r="H1123" s="11" t="s">
        <v>85</v>
      </c>
      <c r="I1123" s="11" t="s">
        <v>144</v>
      </c>
      <c r="J1123" s="11" t="s">
        <v>210</v>
      </c>
      <c r="K1123" s="11" t="s">
        <v>1189</v>
      </c>
      <c r="L1123" s="12">
        <v>0.46249999999999997</v>
      </c>
      <c r="M1123" s="11" t="s">
        <v>1296</v>
      </c>
      <c r="N1123" s="13" t="s">
        <v>23</v>
      </c>
      <c r="O1123" s="11" t="s">
        <v>24</v>
      </c>
    </row>
    <row r="1124" spans="1:15" x14ac:dyDescent="0.25">
      <c r="A1124" s="11" t="s">
        <v>15</v>
      </c>
      <c r="B1124" s="11" t="str">
        <f>"FES1162750606"</f>
        <v>FES1162750606</v>
      </c>
      <c r="C1124" s="11" t="s">
        <v>1015</v>
      </c>
      <c r="D1124" s="11">
        <v>1</v>
      </c>
      <c r="E1124" s="11" t="str">
        <f>"2170740733"</f>
        <v>2170740733</v>
      </c>
      <c r="F1124" s="11" t="s">
        <v>17</v>
      </c>
      <c r="G1124" s="11" t="s">
        <v>18</v>
      </c>
      <c r="H1124" s="11" t="s">
        <v>85</v>
      </c>
      <c r="I1124" s="11" t="s">
        <v>144</v>
      </c>
      <c r="J1124" s="11" t="s">
        <v>210</v>
      </c>
      <c r="K1124" s="11" t="s">
        <v>1189</v>
      </c>
      <c r="L1124" s="12">
        <v>0.46249999999999997</v>
      </c>
      <c r="M1124" s="11" t="s">
        <v>1296</v>
      </c>
      <c r="N1124" s="13" t="s">
        <v>23</v>
      </c>
      <c r="O1124" s="11" t="s">
        <v>24</v>
      </c>
    </row>
    <row r="1125" spans="1:15" x14ac:dyDescent="0.25">
      <c r="A1125" s="11" t="s">
        <v>15</v>
      </c>
      <c r="B1125" s="11" t="str">
        <f>"FES1162750532"</f>
        <v>FES1162750532</v>
      </c>
      <c r="C1125" s="11" t="s">
        <v>1015</v>
      </c>
      <c r="D1125" s="11">
        <v>1</v>
      </c>
      <c r="E1125" s="11" t="str">
        <f>"2170739297"</f>
        <v>2170739297</v>
      </c>
      <c r="F1125" s="11" t="s">
        <v>17</v>
      </c>
      <c r="G1125" s="11" t="s">
        <v>18</v>
      </c>
      <c r="H1125" s="11" t="s">
        <v>18</v>
      </c>
      <c r="I1125" s="11" t="s">
        <v>309</v>
      </c>
      <c r="J1125" s="11" t="s">
        <v>1215</v>
      </c>
      <c r="K1125" s="11" t="s">
        <v>1189</v>
      </c>
      <c r="L1125" s="12">
        <v>0.33333333333333331</v>
      </c>
      <c r="M1125" s="11" t="s">
        <v>1326</v>
      </c>
      <c r="N1125" s="13" t="s">
        <v>23</v>
      </c>
      <c r="O1125" s="11" t="s">
        <v>24</v>
      </c>
    </row>
    <row r="1126" spans="1:15" x14ac:dyDescent="0.25">
      <c r="A1126" s="4" t="s">
        <v>15</v>
      </c>
      <c r="B1126" s="4" t="str">
        <f>"FES1162750563"</f>
        <v>FES1162750563</v>
      </c>
      <c r="C1126" s="4" t="s">
        <v>1015</v>
      </c>
      <c r="D1126" s="4">
        <v>1</v>
      </c>
      <c r="E1126" s="4" t="str">
        <f>"2170739546"</f>
        <v>2170739546</v>
      </c>
      <c r="F1126" s="4" t="s">
        <v>17</v>
      </c>
      <c r="G1126" s="4" t="s">
        <v>18</v>
      </c>
      <c r="H1126" s="4" t="s">
        <v>18</v>
      </c>
      <c r="I1126" s="4" t="s">
        <v>29</v>
      </c>
      <c r="J1126" s="4" t="s">
        <v>271</v>
      </c>
      <c r="K1126" s="4" t="s">
        <v>1189</v>
      </c>
      <c r="L1126" s="5">
        <v>0.31944444444444448</v>
      </c>
      <c r="M1126" s="4" t="s">
        <v>1327</v>
      </c>
      <c r="N1126" s="6" t="s">
        <v>23</v>
      </c>
      <c r="O1126" s="4" t="s">
        <v>24</v>
      </c>
    </row>
    <row r="1127" spans="1:15" x14ac:dyDescent="0.25">
      <c r="A1127" s="4" t="s">
        <v>15</v>
      </c>
      <c r="B1127" s="4" t="str">
        <f>"FES1162750490"</f>
        <v>FES1162750490</v>
      </c>
      <c r="C1127" s="4" t="s">
        <v>1015</v>
      </c>
      <c r="D1127" s="4">
        <v>1</v>
      </c>
      <c r="E1127" s="4" t="str">
        <f>"2170738995"</f>
        <v>2170738995</v>
      </c>
      <c r="F1127" s="4" t="s">
        <v>17</v>
      </c>
      <c r="G1127" s="4" t="s">
        <v>18</v>
      </c>
      <c r="H1127" s="4" t="s">
        <v>18</v>
      </c>
      <c r="I1127" s="4" t="s">
        <v>219</v>
      </c>
      <c r="J1127" s="4" t="s">
        <v>901</v>
      </c>
      <c r="K1127" s="4" t="s">
        <v>1189</v>
      </c>
      <c r="L1127" s="5">
        <v>0.375</v>
      </c>
      <c r="M1127" s="4" t="s">
        <v>65</v>
      </c>
      <c r="N1127" s="6" t="s">
        <v>23</v>
      </c>
      <c r="O1127" s="4" t="s">
        <v>24</v>
      </c>
    </row>
    <row r="1128" spans="1:15" x14ac:dyDescent="0.25">
      <c r="A1128" s="4" t="s">
        <v>15</v>
      </c>
      <c r="B1128" s="4" t="str">
        <f>"FES1162750391"</f>
        <v>FES1162750391</v>
      </c>
      <c r="C1128" s="4" t="s">
        <v>1015</v>
      </c>
      <c r="D1128" s="4">
        <v>1</v>
      </c>
      <c r="E1128" s="4" t="str">
        <f>"2170739074"</f>
        <v>2170739074</v>
      </c>
      <c r="F1128" s="4" t="s">
        <v>17</v>
      </c>
      <c r="G1128" s="4" t="s">
        <v>18</v>
      </c>
      <c r="H1128" s="4" t="s">
        <v>18</v>
      </c>
      <c r="I1128" s="4" t="s">
        <v>29</v>
      </c>
      <c r="J1128" s="4" t="s">
        <v>190</v>
      </c>
      <c r="K1128" s="4" t="s">
        <v>1189</v>
      </c>
      <c r="L1128" s="5">
        <v>0.33124999999999999</v>
      </c>
      <c r="M1128" s="4" t="s">
        <v>1216</v>
      </c>
      <c r="N1128" s="6" t="s">
        <v>23</v>
      </c>
      <c r="O1128" s="4" t="s">
        <v>24</v>
      </c>
    </row>
    <row r="1129" spans="1:15" x14ac:dyDescent="0.25">
      <c r="A1129" s="4" t="s">
        <v>15</v>
      </c>
      <c r="B1129" s="4" t="str">
        <f>"FES1162750566"</f>
        <v>FES1162750566</v>
      </c>
      <c r="C1129" s="4" t="s">
        <v>1015</v>
      </c>
      <c r="D1129" s="4">
        <v>1</v>
      </c>
      <c r="E1129" s="4" t="str">
        <f>"2170739576"</f>
        <v>2170739576</v>
      </c>
      <c r="F1129" s="4" t="s">
        <v>17</v>
      </c>
      <c r="G1129" s="4" t="s">
        <v>18</v>
      </c>
      <c r="H1129" s="4" t="s">
        <v>18</v>
      </c>
      <c r="I1129" s="4" t="s">
        <v>121</v>
      </c>
      <c r="J1129" s="4" t="s">
        <v>403</v>
      </c>
      <c r="K1129" s="4" t="s">
        <v>1189</v>
      </c>
      <c r="L1129" s="5">
        <v>0.33333333333333331</v>
      </c>
      <c r="M1129" s="4" t="s">
        <v>1328</v>
      </c>
      <c r="N1129" s="6" t="s">
        <v>23</v>
      </c>
      <c r="O1129" s="4" t="s">
        <v>24</v>
      </c>
    </row>
    <row r="1130" spans="1:15" x14ac:dyDescent="0.25">
      <c r="A1130" s="4" t="s">
        <v>15</v>
      </c>
      <c r="B1130" s="4" t="str">
        <f>"FES1162750396"</f>
        <v>FES1162750396</v>
      </c>
      <c r="C1130" s="4" t="s">
        <v>1015</v>
      </c>
      <c r="D1130" s="4">
        <v>1</v>
      </c>
      <c r="E1130" s="4" t="str">
        <f>"2170739518"</f>
        <v>2170739518</v>
      </c>
      <c r="F1130" s="4" t="s">
        <v>17</v>
      </c>
      <c r="G1130" s="4" t="s">
        <v>18</v>
      </c>
      <c r="H1130" s="4" t="s">
        <v>18</v>
      </c>
      <c r="I1130" s="4" t="s">
        <v>97</v>
      </c>
      <c r="J1130" s="4" t="s">
        <v>313</v>
      </c>
      <c r="K1130" s="4" t="s">
        <v>1189</v>
      </c>
      <c r="L1130" s="5">
        <v>0.26666666666666666</v>
      </c>
      <c r="M1130" s="4" t="s">
        <v>1329</v>
      </c>
      <c r="N1130" s="6" t="s">
        <v>23</v>
      </c>
      <c r="O1130" s="4" t="s">
        <v>24</v>
      </c>
    </row>
    <row r="1131" spans="1:15" x14ac:dyDescent="0.25">
      <c r="A1131" s="4" t="s">
        <v>15</v>
      </c>
      <c r="B1131" s="4" t="str">
        <f>"FES1162750586"</f>
        <v>FES1162750586</v>
      </c>
      <c r="C1131" s="4" t="s">
        <v>1015</v>
      </c>
      <c r="D1131" s="4">
        <v>1</v>
      </c>
      <c r="E1131" s="4" t="str">
        <f>"2170740083"</f>
        <v>2170740083</v>
      </c>
      <c r="F1131" s="4" t="s">
        <v>17</v>
      </c>
      <c r="G1131" s="4" t="s">
        <v>18</v>
      </c>
      <c r="H1131" s="4" t="s">
        <v>18</v>
      </c>
      <c r="I1131" s="4" t="s">
        <v>97</v>
      </c>
      <c r="J1131" s="4" t="s">
        <v>859</v>
      </c>
      <c r="K1131" s="4" t="s">
        <v>1189</v>
      </c>
      <c r="L1131" s="5">
        <v>0.3430555555555555</v>
      </c>
      <c r="M1131" s="4" t="s">
        <v>1022</v>
      </c>
      <c r="N1131" s="6" t="s">
        <v>23</v>
      </c>
      <c r="O1131" s="4" t="s">
        <v>24</v>
      </c>
    </row>
    <row r="1132" spans="1:15" x14ac:dyDescent="0.25">
      <c r="A1132" s="4" t="s">
        <v>15</v>
      </c>
      <c r="B1132" s="4" t="str">
        <f>"FES1162750485"</f>
        <v>FES1162750485</v>
      </c>
      <c r="C1132" s="4" t="s">
        <v>1015</v>
      </c>
      <c r="D1132" s="4">
        <v>1</v>
      </c>
      <c r="E1132" s="4" t="str">
        <f>"2170750485"</f>
        <v>2170750485</v>
      </c>
      <c r="F1132" s="4" t="s">
        <v>17</v>
      </c>
      <c r="G1132" s="4" t="s">
        <v>18</v>
      </c>
      <c r="H1132" s="4" t="s">
        <v>40</v>
      </c>
      <c r="I1132" s="4" t="s">
        <v>41</v>
      </c>
      <c r="J1132" s="4" t="s">
        <v>99</v>
      </c>
      <c r="K1132" s="4" t="s">
        <v>1294</v>
      </c>
      <c r="L1132" s="5">
        <v>0.36736111111111108</v>
      </c>
      <c r="M1132" s="4" t="s">
        <v>1295</v>
      </c>
      <c r="N1132" s="6" t="s">
        <v>23</v>
      </c>
      <c r="O1132" s="4" t="s">
        <v>24</v>
      </c>
    </row>
    <row r="1133" spans="1:15" x14ac:dyDescent="0.25">
      <c r="A1133" s="4" t="s">
        <v>15</v>
      </c>
      <c r="B1133" s="4" t="str">
        <f>"FES1162750502"</f>
        <v>FES1162750502</v>
      </c>
      <c r="C1133" s="4" t="s">
        <v>1015</v>
      </c>
      <c r="D1133" s="4">
        <v>1</v>
      </c>
      <c r="E1133" s="4" t="str">
        <f>"2170739075"</f>
        <v>2170739075</v>
      </c>
      <c r="F1133" s="4" t="s">
        <v>17</v>
      </c>
      <c r="G1133" s="4" t="s">
        <v>18</v>
      </c>
      <c r="H1133" s="4" t="s">
        <v>18</v>
      </c>
      <c r="I1133" s="4" t="s">
        <v>29</v>
      </c>
      <c r="J1133" s="4" t="s">
        <v>302</v>
      </c>
      <c r="K1133" s="4" t="s">
        <v>1189</v>
      </c>
      <c r="L1133" s="5">
        <v>0.33333333333333331</v>
      </c>
      <c r="M1133" s="4" t="s">
        <v>462</v>
      </c>
      <c r="N1133" s="6" t="s">
        <v>23</v>
      </c>
      <c r="O1133" s="4" t="s">
        <v>24</v>
      </c>
    </row>
    <row r="1134" spans="1:15" x14ac:dyDescent="0.25">
      <c r="A1134" s="4" t="s">
        <v>15</v>
      </c>
      <c r="B1134" s="4" t="str">
        <f>"FES1162750525"</f>
        <v>FES1162750525</v>
      </c>
      <c r="C1134" s="4" t="s">
        <v>1015</v>
      </c>
      <c r="D1134" s="4">
        <v>1</v>
      </c>
      <c r="E1134" s="4" t="str">
        <f>"2170737924"</f>
        <v>2170737924</v>
      </c>
      <c r="F1134" s="4" t="s">
        <v>17</v>
      </c>
      <c r="G1134" s="4" t="s">
        <v>18</v>
      </c>
      <c r="H1134" s="4" t="s">
        <v>18</v>
      </c>
      <c r="I1134" s="4" t="s">
        <v>19</v>
      </c>
      <c r="J1134" s="4" t="s">
        <v>346</v>
      </c>
      <c r="K1134" s="4" t="s">
        <v>1189</v>
      </c>
      <c r="L1134" s="5">
        <v>0.375</v>
      </c>
      <c r="M1134" s="4" t="s">
        <v>1330</v>
      </c>
      <c r="N1134" s="6" t="s">
        <v>23</v>
      </c>
      <c r="O1134" s="4" t="s">
        <v>24</v>
      </c>
    </row>
    <row r="1135" spans="1:15" x14ac:dyDescent="0.25">
      <c r="A1135" s="4" t="s">
        <v>15</v>
      </c>
      <c r="B1135" s="4" t="str">
        <f>"FES1162750504"</f>
        <v>FES1162750504</v>
      </c>
      <c r="C1135" s="4" t="s">
        <v>1015</v>
      </c>
      <c r="D1135" s="4">
        <v>1</v>
      </c>
      <c r="E1135" s="4" t="str">
        <f>"2170739077"</f>
        <v>2170739077</v>
      </c>
      <c r="F1135" s="4" t="s">
        <v>17</v>
      </c>
      <c r="G1135" s="4" t="s">
        <v>18</v>
      </c>
      <c r="H1135" s="4" t="s">
        <v>18</v>
      </c>
      <c r="I1135" s="4" t="s">
        <v>147</v>
      </c>
      <c r="J1135" s="4" t="s">
        <v>1217</v>
      </c>
      <c r="K1135" s="4" t="s">
        <v>1189</v>
      </c>
      <c r="L1135" s="5">
        <v>0.49722222222222223</v>
      </c>
      <c r="M1135" s="4" t="s">
        <v>1331</v>
      </c>
      <c r="N1135" s="6" t="s">
        <v>23</v>
      </c>
      <c r="O1135" s="4" t="s">
        <v>24</v>
      </c>
    </row>
    <row r="1136" spans="1:15" x14ac:dyDescent="0.25">
      <c r="A1136" s="4" t="s">
        <v>15</v>
      </c>
      <c r="B1136" s="4" t="str">
        <f>"FES1162750591"</f>
        <v>FES1162750591</v>
      </c>
      <c r="C1136" s="4" t="s">
        <v>1015</v>
      </c>
      <c r="D1136" s="4">
        <v>1</v>
      </c>
      <c r="E1136" s="4" t="str">
        <f>"2170740716"</f>
        <v>2170740716</v>
      </c>
      <c r="F1136" s="4" t="s">
        <v>17</v>
      </c>
      <c r="G1136" s="4" t="s">
        <v>18</v>
      </c>
      <c r="H1136" s="4" t="s">
        <v>18</v>
      </c>
      <c r="I1136" s="4" t="s">
        <v>292</v>
      </c>
      <c r="J1136" s="4" t="s">
        <v>293</v>
      </c>
      <c r="K1136" s="4" t="s">
        <v>1189</v>
      </c>
      <c r="L1136" s="5">
        <v>0.33333333333333331</v>
      </c>
      <c r="M1136" s="4" t="s">
        <v>1332</v>
      </c>
      <c r="N1136" s="6" t="s">
        <v>23</v>
      </c>
      <c r="O1136" s="4" t="s">
        <v>24</v>
      </c>
    </row>
    <row r="1137" spans="1:15" x14ac:dyDescent="0.25">
      <c r="A1137" s="4" t="s">
        <v>15</v>
      </c>
      <c r="B1137" s="4" t="str">
        <f>"FES1162750385"</f>
        <v>FES1162750385</v>
      </c>
      <c r="C1137" s="4" t="s">
        <v>1015</v>
      </c>
      <c r="D1137" s="4">
        <v>1</v>
      </c>
      <c r="E1137" s="4" t="str">
        <f>"2170737724"</f>
        <v>2170737724</v>
      </c>
      <c r="F1137" s="4" t="s">
        <v>17</v>
      </c>
      <c r="G1137" s="4" t="s">
        <v>18</v>
      </c>
      <c r="H1137" s="4" t="s">
        <v>85</v>
      </c>
      <c r="I1137" s="4" t="s">
        <v>144</v>
      </c>
      <c r="J1137" s="4" t="s">
        <v>210</v>
      </c>
      <c r="K1137" s="4" t="s">
        <v>1189</v>
      </c>
      <c r="L1137" s="5">
        <v>0.46249999999999997</v>
      </c>
      <c r="M1137" s="4" t="s">
        <v>1296</v>
      </c>
      <c r="N1137" s="6" t="s">
        <v>23</v>
      </c>
      <c r="O1137" s="4" t="s">
        <v>24</v>
      </c>
    </row>
    <row r="1138" spans="1:15" x14ac:dyDescent="0.25">
      <c r="A1138" s="4" t="s">
        <v>15</v>
      </c>
      <c r="B1138" s="4" t="str">
        <f>"FES1162750624"</f>
        <v>FES1162750624</v>
      </c>
      <c r="C1138" s="4" t="s">
        <v>1015</v>
      </c>
      <c r="D1138" s="4">
        <v>2</v>
      </c>
      <c r="E1138" s="4" t="str">
        <f>"2170738737"</f>
        <v>2170738737</v>
      </c>
      <c r="F1138" s="4" t="s">
        <v>17</v>
      </c>
      <c r="G1138" s="4" t="s">
        <v>18</v>
      </c>
      <c r="H1138" s="4" t="s">
        <v>40</v>
      </c>
      <c r="I1138" s="4" t="s">
        <v>41</v>
      </c>
      <c r="J1138" s="4" t="s">
        <v>359</v>
      </c>
      <c r="K1138" s="4" t="s">
        <v>1189</v>
      </c>
      <c r="L1138" s="5">
        <v>0.46249999999999997</v>
      </c>
      <c r="M1138" s="4" t="s">
        <v>1419</v>
      </c>
      <c r="N1138" s="6" t="s">
        <v>23</v>
      </c>
      <c r="O1138" s="4" t="s">
        <v>24</v>
      </c>
    </row>
    <row r="1139" spans="1:15" x14ac:dyDescent="0.25">
      <c r="A1139" s="4" t="s">
        <v>15</v>
      </c>
      <c r="B1139" s="4" t="str">
        <f>"FES1162750658"</f>
        <v>FES1162750658</v>
      </c>
      <c r="C1139" s="4" t="s">
        <v>1015</v>
      </c>
      <c r="D1139" s="4">
        <v>1</v>
      </c>
      <c r="E1139" s="4" t="str">
        <f>"2170740776"</f>
        <v>2170740776</v>
      </c>
      <c r="F1139" s="4" t="s">
        <v>17</v>
      </c>
      <c r="G1139" s="4" t="s">
        <v>18</v>
      </c>
      <c r="H1139" s="4" t="s">
        <v>25</v>
      </c>
      <c r="I1139" s="4" t="s">
        <v>26</v>
      </c>
      <c r="J1139" s="4" t="s">
        <v>1218</v>
      </c>
      <c r="K1139" s="4" t="s">
        <v>1189</v>
      </c>
      <c r="L1139" s="5">
        <v>0.35416666666666669</v>
      </c>
      <c r="M1139" s="4" t="s">
        <v>1333</v>
      </c>
      <c r="N1139" s="6" t="s">
        <v>23</v>
      </c>
      <c r="O1139" s="4" t="s">
        <v>24</v>
      </c>
    </row>
    <row r="1140" spans="1:15" x14ac:dyDescent="0.25">
      <c r="A1140" s="4" t="s">
        <v>15</v>
      </c>
      <c r="B1140" s="4" t="str">
        <f>"FES1162750637"</f>
        <v>FES1162750637</v>
      </c>
      <c r="C1140" s="4" t="s">
        <v>1015</v>
      </c>
      <c r="D1140" s="4">
        <v>1</v>
      </c>
      <c r="E1140" s="4" t="str">
        <f>"2170740603"</f>
        <v>2170740603</v>
      </c>
      <c r="F1140" s="4" t="s">
        <v>17</v>
      </c>
      <c r="G1140" s="4" t="s">
        <v>18</v>
      </c>
      <c r="H1140" s="4" t="s">
        <v>25</v>
      </c>
      <c r="I1140" s="4" t="s">
        <v>281</v>
      </c>
      <c r="J1140" s="4" t="s">
        <v>624</v>
      </c>
      <c r="K1140" s="4" t="s">
        <v>1189</v>
      </c>
      <c r="L1140" s="5">
        <v>0.4201388888888889</v>
      </c>
      <c r="M1140" s="4" t="s">
        <v>1318</v>
      </c>
      <c r="N1140" s="6" t="s">
        <v>23</v>
      </c>
      <c r="O1140" s="4" t="s">
        <v>24</v>
      </c>
    </row>
    <row r="1141" spans="1:15" x14ac:dyDescent="0.25">
      <c r="A1141" s="4" t="s">
        <v>15</v>
      </c>
      <c r="B1141" s="4" t="str">
        <f>"FES1162750707"</f>
        <v>FES1162750707</v>
      </c>
      <c r="C1141" s="4" t="s">
        <v>1015</v>
      </c>
      <c r="D1141" s="4">
        <v>1</v>
      </c>
      <c r="E1141" s="4" t="str">
        <f>"2170739309"</f>
        <v>2170739309</v>
      </c>
      <c r="F1141" s="4" t="s">
        <v>17</v>
      </c>
      <c r="G1141" s="4" t="s">
        <v>18</v>
      </c>
      <c r="H1141" s="4" t="s">
        <v>18</v>
      </c>
      <c r="I1141" s="4" t="s">
        <v>29</v>
      </c>
      <c r="J1141" s="4" t="s">
        <v>573</v>
      </c>
      <c r="K1141" s="4" t="s">
        <v>1189</v>
      </c>
      <c r="L1141" s="5">
        <v>0.33333333333333331</v>
      </c>
      <c r="M1141" s="4" t="s">
        <v>128</v>
      </c>
      <c r="N1141" s="6" t="s">
        <v>23</v>
      </c>
      <c r="O1141" s="4" t="s">
        <v>24</v>
      </c>
    </row>
    <row r="1142" spans="1:15" x14ac:dyDescent="0.25">
      <c r="A1142" s="4" t="s">
        <v>15</v>
      </c>
      <c r="B1142" s="4" t="str">
        <f>"FES1162750656"</f>
        <v>FES1162750656</v>
      </c>
      <c r="C1142" s="4" t="s">
        <v>1015</v>
      </c>
      <c r="D1142" s="4">
        <v>1</v>
      </c>
      <c r="E1142" s="4" t="str">
        <f>"2170740773"</f>
        <v>2170740773</v>
      </c>
      <c r="F1142" s="4" t="s">
        <v>17</v>
      </c>
      <c r="G1142" s="4" t="s">
        <v>18</v>
      </c>
      <c r="H1142" s="4" t="s">
        <v>48</v>
      </c>
      <c r="I1142" s="4" t="s">
        <v>49</v>
      </c>
      <c r="J1142" s="4" t="s">
        <v>142</v>
      </c>
      <c r="K1142" s="4" t="s">
        <v>1189</v>
      </c>
      <c r="L1142" s="5">
        <v>0.42708333333333331</v>
      </c>
      <c r="M1142" s="4" t="s">
        <v>442</v>
      </c>
      <c r="N1142" s="6" t="s">
        <v>23</v>
      </c>
      <c r="O1142" s="4" t="s">
        <v>24</v>
      </c>
    </row>
    <row r="1143" spans="1:15" x14ac:dyDescent="0.25">
      <c r="A1143" s="4" t="s">
        <v>15</v>
      </c>
      <c r="B1143" s="4" t="str">
        <f>"FES1162750413"</f>
        <v>FES1162750413</v>
      </c>
      <c r="C1143" s="4" t="s">
        <v>1015</v>
      </c>
      <c r="D1143" s="4">
        <v>1</v>
      </c>
      <c r="E1143" s="4" t="str">
        <f>"2170740493"</f>
        <v>2170740493</v>
      </c>
      <c r="F1143" s="4" t="s">
        <v>17</v>
      </c>
      <c r="G1143" s="4" t="s">
        <v>18</v>
      </c>
      <c r="H1143" s="4" t="s">
        <v>18</v>
      </c>
      <c r="I1143" s="4" t="s">
        <v>311</v>
      </c>
      <c r="J1143" s="4" t="s">
        <v>1051</v>
      </c>
      <c r="K1143" s="4" t="s">
        <v>1189</v>
      </c>
      <c r="L1143" s="5">
        <v>0.33333333333333331</v>
      </c>
      <c r="M1143" s="4" t="s">
        <v>1334</v>
      </c>
      <c r="N1143" s="6" t="s">
        <v>23</v>
      </c>
      <c r="O1143" s="4" t="s">
        <v>24</v>
      </c>
    </row>
    <row r="1144" spans="1:15" x14ac:dyDescent="0.25">
      <c r="A1144" s="4" t="s">
        <v>15</v>
      </c>
      <c r="B1144" s="4" t="str">
        <f>"FES1162750621"</f>
        <v>FES1162750621</v>
      </c>
      <c r="C1144" s="4" t="s">
        <v>1015</v>
      </c>
      <c r="D1144" s="4">
        <v>1</v>
      </c>
      <c r="E1144" s="4" t="str">
        <f>"2170740745"</f>
        <v>2170740745</v>
      </c>
      <c r="F1144" s="4" t="s">
        <v>17</v>
      </c>
      <c r="G1144" s="4" t="s">
        <v>18</v>
      </c>
      <c r="H1144" s="4" t="s">
        <v>40</v>
      </c>
      <c r="I1144" s="4" t="s">
        <v>41</v>
      </c>
      <c r="J1144" s="4" t="s">
        <v>874</v>
      </c>
      <c r="K1144" s="4" t="s">
        <v>1189</v>
      </c>
      <c r="L1144" s="5">
        <v>0.33333333333333331</v>
      </c>
      <c r="M1144" s="4" t="s">
        <v>1421</v>
      </c>
      <c r="N1144" s="6" t="s">
        <v>23</v>
      </c>
      <c r="O1144" s="4" t="s">
        <v>24</v>
      </c>
    </row>
    <row r="1145" spans="1:15" x14ac:dyDescent="0.25">
      <c r="A1145" s="4" t="s">
        <v>15</v>
      </c>
      <c r="B1145" s="4" t="str">
        <f>"FES1162750552"</f>
        <v>FES1162750552</v>
      </c>
      <c r="C1145" s="4" t="s">
        <v>1015</v>
      </c>
      <c r="D1145" s="4">
        <v>1</v>
      </c>
      <c r="E1145" s="4" t="str">
        <f>"2170739458"</f>
        <v>2170739458</v>
      </c>
      <c r="F1145" s="4" t="s">
        <v>17</v>
      </c>
      <c r="G1145" s="4" t="s">
        <v>18</v>
      </c>
      <c r="H1145" s="4" t="s">
        <v>85</v>
      </c>
      <c r="I1145" s="4" t="s">
        <v>144</v>
      </c>
      <c r="J1145" s="4" t="s">
        <v>1212</v>
      </c>
      <c r="K1145" s="4" t="s">
        <v>1189</v>
      </c>
      <c r="L1145" s="5">
        <v>0.46666666666666662</v>
      </c>
      <c r="M1145" s="4" t="s">
        <v>1325</v>
      </c>
      <c r="N1145" s="6" t="s">
        <v>23</v>
      </c>
      <c r="O1145" s="4" t="s">
        <v>24</v>
      </c>
    </row>
    <row r="1146" spans="1:15" x14ac:dyDescent="0.25">
      <c r="A1146" s="4" t="s">
        <v>15</v>
      </c>
      <c r="B1146" s="4" t="str">
        <f>"FES1162750414"</f>
        <v>FES1162750414</v>
      </c>
      <c r="C1146" s="4" t="s">
        <v>1015</v>
      </c>
      <c r="D1146" s="4">
        <v>1</v>
      </c>
      <c r="E1146" s="4" t="str">
        <f>"2170740516"</f>
        <v>2170740516</v>
      </c>
      <c r="F1146" s="4" t="s">
        <v>17</v>
      </c>
      <c r="G1146" s="4" t="s">
        <v>18</v>
      </c>
      <c r="H1146" s="4" t="s">
        <v>85</v>
      </c>
      <c r="I1146" s="4" t="s">
        <v>144</v>
      </c>
      <c r="J1146" s="4" t="s">
        <v>1219</v>
      </c>
      <c r="K1146" s="4" t="s">
        <v>1189</v>
      </c>
      <c r="L1146" s="5">
        <v>0.64097222222222217</v>
      </c>
      <c r="M1146" s="4" t="s">
        <v>1335</v>
      </c>
      <c r="N1146" s="6" t="s">
        <v>23</v>
      </c>
      <c r="O1146" s="4" t="s">
        <v>24</v>
      </c>
    </row>
    <row r="1147" spans="1:15" x14ac:dyDescent="0.25">
      <c r="A1147" s="4" t="s">
        <v>15</v>
      </c>
      <c r="B1147" s="4" t="str">
        <f>"FES1162750508"</f>
        <v>FES1162750508</v>
      </c>
      <c r="C1147" s="4" t="s">
        <v>1015</v>
      </c>
      <c r="D1147" s="4">
        <v>1</v>
      </c>
      <c r="E1147" s="4" t="str">
        <f>"2170739104"</f>
        <v>2170739104</v>
      </c>
      <c r="F1147" s="4" t="s">
        <v>17</v>
      </c>
      <c r="G1147" s="4" t="s">
        <v>18</v>
      </c>
      <c r="H1147" s="4" t="s">
        <v>40</v>
      </c>
      <c r="I1147" s="4" t="s">
        <v>41</v>
      </c>
      <c r="J1147" s="4" t="s">
        <v>99</v>
      </c>
      <c r="K1147" s="4" t="s">
        <v>1294</v>
      </c>
      <c r="L1147" s="5">
        <v>0.36736111111111108</v>
      </c>
      <c r="M1147" s="4" t="s">
        <v>1295</v>
      </c>
      <c r="N1147" s="6" t="s">
        <v>23</v>
      </c>
      <c r="O1147" s="4" t="s">
        <v>24</v>
      </c>
    </row>
    <row r="1148" spans="1:15" x14ac:dyDescent="0.25">
      <c r="A1148" s="4" t="s">
        <v>15</v>
      </c>
      <c r="B1148" s="4" t="str">
        <f>"FES1162750467"</f>
        <v>FES1162750467</v>
      </c>
      <c r="C1148" s="4" t="s">
        <v>1015</v>
      </c>
      <c r="D1148" s="4">
        <v>1</v>
      </c>
      <c r="E1148" s="4" t="str">
        <f>"2170737743"</f>
        <v>2170737743</v>
      </c>
      <c r="F1148" s="4" t="s">
        <v>17</v>
      </c>
      <c r="G1148" s="4" t="s">
        <v>18</v>
      </c>
      <c r="H1148" s="4" t="s">
        <v>18</v>
      </c>
      <c r="I1148" s="4" t="s">
        <v>219</v>
      </c>
      <c r="J1148" s="4" t="s">
        <v>220</v>
      </c>
      <c r="K1148" s="4" t="s">
        <v>1189</v>
      </c>
      <c r="L1148" s="5">
        <v>0.375</v>
      </c>
      <c r="M1148" s="4" t="s">
        <v>469</v>
      </c>
      <c r="N1148" s="6" t="s">
        <v>23</v>
      </c>
      <c r="O1148" s="4" t="s">
        <v>24</v>
      </c>
    </row>
    <row r="1149" spans="1:15" x14ac:dyDescent="0.25">
      <c r="A1149" s="4" t="s">
        <v>15</v>
      </c>
      <c r="B1149" s="4" t="str">
        <f>"FES1162750645"</f>
        <v>FES1162750645</v>
      </c>
      <c r="C1149" s="4" t="s">
        <v>1015</v>
      </c>
      <c r="D1149" s="4">
        <v>1</v>
      </c>
      <c r="E1149" s="4" t="str">
        <f>"2170739166"</f>
        <v>2170739166</v>
      </c>
      <c r="F1149" s="4" t="s">
        <v>17</v>
      </c>
      <c r="G1149" s="4" t="s">
        <v>18</v>
      </c>
      <c r="H1149" s="4" t="s">
        <v>25</v>
      </c>
      <c r="I1149" s="4" t="s">
        <v>26</v>
      </c>
      <c r="J1149" s="4" t="s">
        <v>416</v>
      </c>
      <c r="K1149" s="4" t="s">
        <v>1189</v>
      </c>
      <c r="L1149" s="5">
        <v>0.39166666666666666</v>
      </c>
      <c r="M1149" s="4" t="s">
        <v>1336</v>
      </c>
      <c r="N1149" s="6" t="s">
        <v>23</v>
      </c>
      <c r="O1149" s="4" t="s">
        <v>24</v>
      </c>
    </row>
    <row r="1150" spans="1:15" x14ac:dyDescent="0.25">
      <c r="A1150" s="4" t="s">
        <v>15</v>
      </c>
      <c r="B1150" s="4" t="str">
        <f>"FES1162750501"</f>
        <v>FES1162750501</v>
      </c>
      <c r="C1150" s="4" t="s">
        <v>1015</v>
      </c>
      <c r="D1150" s="4">
        <v>1</v>
      </c>
      <c r="E1150" s="4" t="str">
        <f>"2170739014"</f>
        <v>2170739014</v>
      </c>
      <c r="F1150" s="4" t="s">
        <v>17</v>
      </c>
      <c r="G1150" s="4" t="s">
        <v>18</v>
      </c>
      <c r="H1150" s="4" t="s">
        <v>18</v>
      </c>
      <c r="I1150" s="4" t="s">
        <v>29</v>
      </c>
      <c r="J1150" s="4" t="s">
        <v>30</v>
      </c>
      <c r="K1150" s="4" t="s">
        <v>1189</v>
      </c>
      <c r="L1150" s="5">
        <v>0.36458333333333331</v>
      </c>
      <c r="M1150" s="4" t="s">
        <v>1265</v>
      </c>
      <c r="N1150" s="6" t="s">
        <v>23</v>
      </c>
      <c r="O1150" s="4" t="s">
        <v>24</v>
      </c>
    </row>
    <row r="1151" spans="1:15" x14ac:dyDescent="0.25">
      <c r="A1151" s="4" t="s">
        <v>15</v>
      </c>
      <c r="B1151" s="4" t="str">
        <f>"FES1162750553"</f>
        <v>FES1162750553</v>
      </c>
      <c r="C1151" s="4" t="s">
        <v>1015</v>
      </c>
      <c r="D1151" s="4">
        <v>1</v>
      </c>
      <c r="E1151" s="4" t="str">
        <f>"2170739463"</f>
        <v>2170739463</v>
      </c>
      <c r="F1151" s="4" t="s">
        <v>17</v>
      </c>
      <c r="G1151" s="4" t="s">
        <v>18</v>
      </c>
      <c r="H1151" s="4" t="s">
        <v>18</v>
      </c>
      <c r="I1151" s="4" t="s">
        <v>97</v>
      </c>
      <c r="J1151" s="4" t="s">
        <v>806</v>
      </c>
      <c r="K1151" s="4" t="s">
        <v>1189</v>
      </c>
      <c r="L1151" s="5">
        <v>0.34722222222222227</v>
      </c>
      <c r="M1151" s="4" t="s">
        <v>923</v>
      </c>
      <c r="N1151" s="6" t="s">
        <v>23</v>
      </c>
      <c r="O1151" s="4" t="s">
        <v>24</v>
      </c>
    </row>
    <row r="1152" spans="1:15" x14ac:dyDescent="0.25">
      <c r="A1152" s="4" t="s">
        <v>15</v>
      </c>
      <c r="B1152" s="4" t="str">
        <f>"FES1162750432"</f>
        <v>FES1162750432</v>
      </c>
      <c r="C1152" s="4" t="s">
        <v>1015</v>
      </c>
      <c r="D1152" s="4">
        <v>1</v>
      </c>
      <c r="E1152" s="4" t="str">
        <f>"2170740651"</f>
        <v>2170740651</v>
      </c>
      <c r="F1152" s="4" t="s">
        <v>17</v>
      </c>
      <c r="G1152" s="4" t="s">
        <v>18</v>
      </c>
      <c r="H1152" s="4" t="s">
        <v>18</v>
      </c>
      <c r="I1152" s="4" t="s">
        <v>311</v>
      </c>
      <c r="J1152" s="4" t="s">
        <v>1220</v>
      </c>
      <c r="K1152" s="4" t="s">
        <v>1189</v>
      </c>
      <c r="L1152" s="5">
        <v>0.33333333333333331</v>
      </c>
      <c r="M1152" s="4" t="s">
        <v>743</v>
      </c>
      <c r="N1152" s="6" t="s">
        <v>23</v>
      </c>
      <c r="O1152" s="4" t="s">
        <v>24</v>
      </c>
    </row>
    <row r="1153" spans="1:15" x14ac:dyDescent="0.25">
      <c r="A1153" s="4" t="s">
        <v>15</v>
      </c>
      <c r="B1153" s="4" t="str">
        <f>"FES1162750629"</f>
        <v>FES1162750629</v>
      </c>
      <c r="C1153" s="4" t="s">
        <v>1015</v>
      </c>
      <c r="D1153" s="4">
        <v>1</v>
      </c>
      <c r="E1153" s="4" t="str">
        <f>"2170740751"</f>
        <v>2170740751</v>
      </c>
      <c r="F1153" s="4" t="s">
        <v>17</v>
      </c>
      <c r="G1153" s="4" t="s">
        <v>18</v>
      </c>
      <c r="H1153" s="4" t="s">
        <v>48</v>
      </c>
      <c r="I1153" s="4" t="s">
        <v>49</v>
      </c>
      <c r="J1153" s="4" t="s">
        <v>252</v>
      </c>
      <c r="K1153" s="4" t="s">
        <v>1189</v>
      </c>
      <c r="L1153" s="5">
        <v>0.39513888888888887</v>
      </c>
      <c r="M1153" s="4" t="s">
        <v>1308</v>
      </c>
      <c r="N1153" s="6" t="s">
        <v>23</v>
      </c>
      <c r="O1153" s="4" t="s">
        <v>24</v>
      </c>
    </row>
    <row r="1154" spans="1:15" x14ac:dyDescent="0.25">
      <c r="A1154" s="4" t="s">
        <v>15</v>
      </c>
      <c r="B1154" s="4" t="str">
        <f>"FES1162750570"</f>
        <v>FES1162750570</v>
      </c>
      <c r="C1154" s="4" t="s">
        <v>1015</v>
      </c>
      <c r="D1154" s="4">
        <v>1</v>
      </c>
      <c r="E1154" s="4" t="str">
        <f>"2170739595"</f>
        <v>2170739595</v>
      </c>
      <c r="F1154" s="4" t="s">
        <v>17</v>
      </c>
      <c r="G1154" s="4" t="s">
        <v>18</v>
      </c>
      <c r="H1154" s="4" t="s">
        <v>18</v>
      </c>
      <c r="I1154" s="4" t="s">
        <v>19</v>
      </c>
      <c r="J1154" s="4" t="s">
        <v>20</v>
      </c>
      <c r="K1154" s="4" t="s">
        <v>1189</v>
      </c>
      <c r="L1154" s="5">
        <v>0.4069444444444445</v>
      </c>
      <c r="M1154" s="4" t="s">
        <v>128</v>
      </c>
      <c r="N1154" s="6" t="s">
        <v>23</v>
      </c>
      <c r="O1154" s="4" t="s">
        <v>24</v>
      </c>
    </row>
    <row r="1155" spans="1:15" x14ac:dyDescent="0.25">
      <c r="A1155" s="4" t="s">
        <v>15</v>
      </c>
      <c r="B1155" s="4" t="str">
        <f>"FES1162750611"</f>
        <v>FES1162750611</v>
      </c>
      <c r="C1155" s="4" t="s">
        <v>1015</v>
      </c>
      <c r="D1155" s="4">
        <v>1</v>
      </c>
      <c r="E1155" s="4" t="str">
        <f>"2170740742"</f>
        <v>2170740742</v>
      </c>
      <c r="F1155" s="4" t="s">
        <v>17</v>
      </c>
      <c r="G1155" s="4" t="s">
        <v>18</v>
      </c>
      <c r="H1155" s="4" t="s">
        <v>48</v>
      </c>
      <c r="I1155" s="4" t="s">
        <v>49</v>
      </c>
      <c r="J1155" s="4" t="s">
        <v>158</v>
      </c>
      <c r="K1155" s="4" t="s">
        <v>1189</v>
      </c>
      <c r="L1155" s="5">
        <v>0.32708333333333334</v>
      </c>
      <c r="M1155" s="4" t="s">
        <v>1221</v>
      </c>
      <c r="N1155" s="6" t="s">
        <v>23</v>
      </c>
      <c r="O1155" s="4" t="s">
        <v>24</v>
      </c>
    </row>
    <row r="1156" spans="1:15" x14ac:dyDescent="0.25">
      <c r="A1156" s="4" t="s">
        <v>15</v>
      </c>
      <c r="B1156" s="4" t="str">
        <f>"FES1162750478"</f>
        <v>FES1162750478</v>
      </c>
      <c r="C1156" s="4" t="s">
        <v>1015</v>
      </c>
      <c r="D1156" s="4">
        <v>1</v>
      </c>
      <c r="E1156" s="4" t="str">
        <f>"2170740488"</f>
        <v>2170740488</v>
      </c>
      <c r="F1156" s="4" t="s">
        <v>17</v>
      </c>
      <c r="G1156" s="4" t="s">
        <v>18</v>
      </c>
      <c r="H1156" s="4" t="s">
        <v>18</v>
      </c>
      <c r="I1156" s="4" t="s">
        <v>309</v>
      </c>
      <c r="J1156" s="4" t="s">
        <v>1056</v>
      </c>
      <c r="K1156" s="4" t="s">
        <v>1189</v>
      </c>
      <c r="L1156" s="5">
        <v>0.33333333333333331</v>
      </c>
      <c r="M1156" s="4" t="s">
        <v>1337</v>
      </c>
      <c r="N1156" s="6" t="s">
        <v>23</v>
      </c>
      <c r="O1156" s="4" t="s">
        <v>24</v>
      </c>
    </row>
    <row r="1157" spans="1:15" x14ac:dyDescent="0.25">
      <c r="A1157" s="4" t="s">
        <v>15</v>
      </c>
      <c r="B1157" s="4" t="str">
        <f>"FES1162750647"</f>
        <v>FES1162750647</v>
      </c>
      <c r="C1157" s="4" t="s">
        <v>1015</v>
      </c>
      <c r="D1157" s="4">
        <v>1</v>
      </c>
      <c r="E1157" s="4" t="str">
        <f>"2170740760"</f>
        <v>2170740760</v>
      </c>
      <c r="F1157" s="4" t="s">
        <v>17</v>
      </c>
      <c r="G1157" s="4" t="s">
        <v>18</v>
      </c>
      <c r="H1157" s="4" t="s">
        <v>48</v>
      </c>
      <c r="I1157" s="4" t="s">
        <v>110</v>
      </c>
      <c r="J1157" s="4" t="s">
        <v>111</v>
      </c>
      <c r="K1157" s="4" t="s">
        <v>1189</v>
      </c>
      <c r="L1157" s="5">
        <v>0.33333333333333331</v>
      </c>
      <c r="M1157" s="4" t="s">
        <v>1420</v>
      </c>
      <c r="N1157" s="6" t="s">
        <v>23</v>
      </c>
      <c r="O1157" s="4" t="s">
        <v>24</v>
      </c>
    </row>
    <row r="1158" spans="1:15" x14ac:dyDescent="0.25">
      <c r="A1158" s="4" t="s">
        <v>15</v>
      </c>
      <c r="B1158" s="4" t="str">
        <f>"FES1162750472"</f>
        <v>FES1162750472</v>
      </c>
      <c r="C1158" s="4" t="s">
        <v>1015</v>
      </c>
      <c r="D1158" s="4">
        <v>1</v>
      </c>
      <c r="E1158" s="4" t="str">
        <f>"2170739652"</f>
        <v>2170739652</v>
      </c>
      <c r="F1158" s="4" t="s">
        <v>17</v>
      </c>
      <c r="G1158" s="4" t="s">
        <v>18</v>
      </c>
      <c r="H1158" s="4" t="s">
        <v>18</v>
      </c>
      <c r="I1158" s="4" t="s">
        <v>68</v>
      </c>
      <c r="J1158" s="4" t="s">
        <v>69</v>
      </c>
      <c r="K1158" s="4" t="s">
        <v>1189</v>
      </c>
      <c r="L1158" s="5">
        <v>0.3979166666666667</v>
      </c>
      <c r="M1158" s="4" t="s">
        <v>70</v>
      </c>
      <c r="N1158" s="6" t="s">
        <v>23</v>
      </c>
      <c r="O1158" s="4" t="s">
        <v>24</v>
      </c>
    </row>
    <row r="1159" spans="1:15" x14ac:dyDescent="0.25">
      <c r="A1159" s="4" t="s">
        <v>15</v>
      </c>
      <c r="B1159" s="4" t="str">
        <f>"FES1162750670"</f>
        <v>FES1162750670</v>
      </c>
      <c r="C1159" s="4" t="s">
        <v>1015</v>
      </c>
      <c r="D1159" s="4">
        <v>1</v>
      </c>
      <c r="E1159" s="4" t="str">
        <f>"2170740665"</f>
        <v>2170740665</v>
      </c>
      <c r="F1159" s="4" t="s">
        <v>17</v>
      </c>
      <c r="G1159" s="4" t="s">
        <v>18</v>
      </c>
      <c r="H1159" s="4" t="s">
        <v>48</v>
      </c>
      <c r="I1159" s="4" t="s">
        <v>199</v>
      </c>
      <c r="J1159" s="4" t="s">
        <v>560</v>
      </c>
      <c r="K1159" s="4" t="s">
        <v>1189</v>
      </c>
      <c r="L1159" s="5">
        <v>0.41666666666666669</v>
      </c>
      <c r="M1159" s="4" t="s">
        <v>667</v>
      </c>
      <c r="N1159" s="6" t="s">
        <v>23</v>
      </c>
      <c r="O1159" s="4" t="s">
        <v>24</v>
      </c>
    </row>
    <row r="1160" spans="1:15" x14ac:dyDescent="0.25">
      <c r="A1160" s="4" t="s">
        <v>15</v>
      </c>
      <c r="B1160" s="4" t="str">
        <f>"FES1162750383"</f>
        <v>FES1162750383</v>
      </c>
      <c r="C1160" s="4" t="s">
        <v>1015</v>
      </c>
      <c r="D1160" s="4">
        <v>1</v>
      </c>
      <c r="E1160" s="4" t="str">
        <f>"2170736843"</f>
        <v>2170736843</v>
      </c>
      <c r="F1160" s="4" t="s">
        <v>17</v>
      </c>
      <c r="G1160" s="4" t="s">
        <v>18</v>
      </c>
      <c r="H1160" s="4" t="s">
        <v>18</v>
      </c>
      <c r="I1160" s="4" t="s">
        <v>45</v>
      </c>
      <c r="J1160" s="4" t="s">
        <v>1222</v>
      </c>
      <c r="K1160" s="4" t="s">
        <v>1189</v>
      </c>
      <c r="L1160" s="5">
        <v>0.33333333333333331</v>
      </c>
      <c r="M1160" s="4" t="s">
        <v>1338</v>
      </c>
      <c r="N1160" s="6" t="s">
        <v>23</v>
      </c>
      <c r="O1160" s="4" t="s">
        <v>24</v>
      </c>
    </row>
    <row r="1161" spans="1:15" x14ac:dyDescent="0.25">
      <c r="A1161" s="4" t="s">
        <v>15</v>
      </c>
      <c r="B1161" s="4" t="str">
        <f>"FES1162750590"</f>
        <v>FES1162750590</v>
      </c>
      <c r="C1161" s="4" t="s">
        <v>1015</v>
      </c>
      <c r="D1161" s="4">
        <v>1</v>
      </c>
      <c r="E1161" s="4" t="str">
        <f>"2170740657"</f>
        <v>2170740657</v>
      </c>
      <c r="F1161" s="4" t="s">
        <v>17</v>
      </c>
      <c r="G1161" s="4" t="s">
        <v>18</v>
      </c>
      <c r="H1161" s="4" t="s">
        <v>18</v>
      </c>
      <c r="I1161" s="4" t="s">
        <v>97</v>
      </c>
      <c r="J1161" s="4" t="s">
        <v>1202</v>
      </c>
      <c r="K1161" s="4" t="s">
        <v>1189</v>
      </c>
      <c r="L1161" s="5">
        <v>0.41319444444444442</v>
      </c>
      <c r="M1161" s="4" t="s">
        <v>1289</v>
      </c>
      <c r="N1161" s="6" t="s">
        <v>23</v>
      </c>
      <c r="O1161" s="4" t="s">
        <v>24</v>
      </c>
    </row>
    <row r="1162" spans="1:15" x14ac:dyDescent="0.25">
      <c r="A1162" s="4" t="s">
        <v>15</v>
      </c>
      <c r="B1162" s="4" t="str">
        <f>"FES1162750449"</f>
        <v>FES1162750449</v>
      </c>
      <c r="C1162" s="4" t="s">
        <v>1015</v>
      </c>
      <c r="D1162" s="4">
        <v>1</v>
      </c>
      <c r="E1162" s="4" t="str">
        <f>"2170740691"</f>
        <v>2170740691</v>
      </c>
      <c r="F1162" s="4" t="s">
        <v>17</v>
      </c>
      <c r="G1162" s="4" t="s">
        <v>18</v>
      </c>
      <c r="H1162" s="4" t="s">
        <v>18</v>
      </c>
      <c r="I1162" s="4" t="s">
        <v>292</v>
      </c>
      <c r="J1162" s="4" t="s">
        <v>293</v>
      </c>
      <c r="K1162" s="4" t="s">
        <v>1189</v>
      </c>
      <c r="L1162" s="5">
        <v>0.33333333333333331</v>
      </c>
      <c r="M1162" s="4" t="s">
        <v>1332</v>
      </c>
      <c r="N1162" s="6" t="s">
        <v>23</v>
      </c>
      <c r="O1162" s="4" t="s">
        <v>24</v>
      </c>
    </row>
    <row r="1163" spans="1:15" x14ac:dyDescent="0.25">
      <c r="A1163" s="4" t="s">
        <v>15</v>
      </c>
      <c r="B1163" s="4" t="str">
        <f>"FES1162750437"</f>
        <v>FES1162750437</v>
      </c>
      <c r="C1163" s="4" t="s">
        <v>1015</v>
      </c>
      <c r="D1163" s="4">
        <v>1</v>
      </c>
      <c r="E1163" s="4" t="str">
        <f>"2170740663"</f>
        <v>2170740663</v>
      </c>
      <c r="F1163" s="4" t="s">
        <v>17</v>
      </c>
      <c r="G1163" s="4" t="s">
        <v>18</v>
      </c>
      <c r="H1163" s="4" t="s">
        <v>18</v>
      </c>
      <c r="I1163" s="4" t="s">
        <v>307</v>
      </c>
      <c r="J1163" s="4" t="s">
        <v>308</v>
      </c>
      <c r="K1163" s="4" t="s">
        <v>1189</v>
      </c>
      <c r="L1163" s="5">
        <v>0.41666666666666669</v>
      </c>
      <c r="M1163" s="4" t="s">
        <v>1276</v>
      </c>
      <c r="N1163" s="6" t="s">
        <v>23</v>
      </c>
      <c r="O1163" s="4" t="s">
        <v>24</v>
      </c>
    </row>
    <row r="1164" spans="1:15" x14ac:dyDescent="0.25">
      <c r="A1164" s="4" t="s">
        <v>15</v>
      </c>
      <c r="B1164" s="4" t="str">
        <f>"FES1162750519"</f>
        <v>FES1162750519</v>
      </c>
      <c r="C1164" s="4" t="s">
        <v>1015</v>
      </c>
      <c r="D1164" s="4">
        <v>1</v>
      </c>
      <c r="E1164" s="4" t="str">
        <f>"2170739175"</f>
        <v>2170739175</v>
      </c>
      <c r="F1164" s="4" t="s">
        <v>17</v>
      </c>
      <c r="G1164" s="4" t="s">
        <v>18</v>
      </c>
      <c r="H1164" s="4" t="s">
        <v>32</v>
      </c>
      <c r="I1164" s="4" t="s">
        <v>140</v>
      </c>
      <c r="J1164" s="4" t="s">
        <v>303</v>
      </c>
      <c r="K1164" s="4" t="s">
        <v>1189</v>
      </c>
      <c r="L1164" s="5">
        <v>0.5625</v>
      </c>
      <c r="M1164" s="4" t="s">
        <v>1339</v>
      </c>
      <c r="N1164" s="6" t="s">
        <v>23</v>
      </c>
      <c r="O1164" s="4" t="s">
        <v>24</v>
      </c>
    </row>
    <row r="1165" spans="1:15" x14ac:dyDescent="0.25">
      <c r="A1165" s="4" t="s">
        <v>15</v>
      </c>
      <c r="B1165" s="4" t="str">
        <f>"FES1162750568"</f>
        <v>FES1162750568</v>
      </c>
      <c r="C1165" s="4" t="s">
        <v>1015</v>
      </c>
      <c r="D1165" s="4">
        <v>1</v>
      </c>
      <c r="E1165" s="4" t="str">
        <f>"2170739587"</f>
        <v>2170739587</v>
      </c>
      <c r="F1165" s="4" t="s">
        <v>17</v>
      </c>
      <c r="G1165" s="4" t="s">
        <v>18</v>
      </c>
      <c r="H1165" s="4" t="s">
        <v>32</v>
      </c>
      <c r="I1165" s="4" t="s">
        <v>33</v>
      </c>
      <c r="J1165" s="4" t="s">
        <v>797</v>
      </c>
      <c r="K1165" s="4" t="s">
        <v>1189</v>
      </c>
      <c r="L1165" s="5">
        <v>0.4236111111111111</v>
      </c>
      <c r="M1165" s="4" t="s">
        <v>1340</v>
      </c>
      <c r="N1165" s="6" t="s">
        <v>23</v>
      </c>
      <c r="O1165" s="4" t="s">
        <v>24</v>
      </c>
    </row>
    <row r="1166" spans="1:15" x14ac:dyDescent="0.25">
      <c r="A1166" s="4" t="s">
        <v>15</v>
      </c>
      <c r="B1166" s="4" t="str">
        <f>"FES1162750543"</f>
        <v>FES1162750543</v>
      </c>
      <c r="C1166" s="4" t="s">
        <v>1015</v>
      </c>
      <c r="D1166" s="4">
        <v>1</v>
      </c>
      <c r="E1166" s="4" t="str">
        <f>"2170739416"</f>
        <v>2170739416</v>
      </c>
      <c r="F1166" s="4" t="s">
        <v>17</v>
      </c>
      <c r="G1166" s="4" t="s">
        <v>18</v>
      </c>
      <c r="H1166" s="4" t="s">
        <v>18</v>
      </c>
      <c r="I1166" s="4" t="s">
        <v>19</v>
      </c>
      <c r="J1166" s="4" t="s">
        <v>400</v>
      </c>
      <c r="K1166" s="4" t="s">
        <v>1189</v>
      </c>
      <c r="L1166" s="5">
        <v>0.375</v>
      </c>
      <c r="M1166" s="4" t="s">
        <v>65</v>
      </c>
      <c r="N1166" s="6" t="s">
        <v>23</v>
      </c>
      <c r="O1166" s="4" t="s">
        <v>24</v>
      </c>
    </row>
    <row r="1167" spans="1:15" x14ac:dyDescent="0.25">
      <c r="A1167" s="4" t="s">
        <v>15</v>
      </c>
      <c r="B1167" s="4" t="str">
        <f>"FES1162750520"</f>
        <v>FES1162750520</v>
      </c>
      <c r="C1167" s="4" t="s">
        <v>1015</v>
      </c>
      <c r="D1167" s="4">
        <v>1</v>
      </c>
      <c r="E1167" s="4" t="str">
        <f>"2170739183"</f>
        <v>2170739183</v>
      </c>
      <c r="F1167" s="4" t="s">
        <v>17</v>
      </c>
      <c r="G1167" s="4" t="s">
        <v>18</v>
      </c>
      <c r="H1167" s="4" t="s">
        <v>32</v>
      </c>
      <c r="I1167" s="4" t="s">
        <v>140</v>
      </c>
      <c r="J1167" s="4" t="s">
        <v>303</v>
      </c>
      <c r="K1167" s="4" t="s">
        <v>1189</v>
      </c>
      <c r="L1167" s="5">
        <v>0.5625</v>
      </c>
      <c r="M1167" s="4" t="s">
        <v>1339</v>
      </c>
      <c r="N1167" s="6" t="s">
        <v>23</v>
      </c>
      <c r="O1167" s="4" t="s">
        <v>24</v>
      </c>
    </row>
    <row r="1168" spans="1:15" x14ac:dyDescent="0.25">
      <c r="A1168" s="4" t="s">
        <v>15</v>
      </c>
      <c r="B1168" s="4" t="str">
        <f>"FES1162750497"</f>
        <v>FES1162750497</v>
      </c>
      <c r="C1168" s="4" t="s">
        <v>1015</v>
      </c>
      <c r="D1168" s="4">
        <v>1</v>
      </c>
      <c r="E1168" s="4" t="str">
        <f>"2170738098"</f>
        <v>2170738098</v>
      </c>
      <c r="F1168" s="4" t="s">
        <v>17</v>
      </c>
      <c r="G1168" s="4" t="s">
        <v>18</v>
      </c>
      <c r="H1168" s="4" t="s">
        <v>18</v>
      </c>
      <c r="I1168" s="4" t="s">
        <v>29</v>
      </c>
      <c r="J1168" s="4" t="s">
        <v>173</v>
      </c>
      <c r="K1168" s="4" t="s">
        <v>1189</v>
      </c>
      <c r="L1168" s="5">
        <v>0.29166666666666669</v>
      </c>
      <c r="M1168" s="4" t="s">
        <v>1341</v>
      </c>
      <c r="N1168" s="6" t="s">
        <v>23</v>
      </c>
      <c r="O1168" s="4" t="s">
        <v>24</v>
      </c>
    </row>
    <row r="1169" spans="1:15" x14ac:dyDescent="0.25">
      <c r="A1169" s="4" t="s">
        <v>15</v>
      </c>
      <c r="B1169" s="4" t="str">
        <f>"FES1162750517"</f>
        <v>FES1162750517</v>
      </c>
      <c r="C1169" s="4" t="s">
        <v>1015</v>
      </c>
      <c r="D1169" s="4">
        <v>1</v>
      </c>
      <c r="E1169" s="4" t="str">
        <f>"2170739163"</f>
        <v>2170739163</v>
      </c>
      <c r="F1169" s="4" t="s">
        <v>17</v>
      </c>
      <c r="G1169" s="4" t="s">
        <v>18</v>
      </c>
      <c r="H1169" s="4" t="s">
        <v>32</v>
      </c>
      <c r="I1169" s="4" t="s">
        <v>33</v>
      </c>
      <c r="J1169" s="4" t="s">
        <v>1203</v>
      </c>
      <c r="K1169" s="4" t="s">
        <v>1189</v>
      </c>
      <c r="L1169" s="5">
        <v>0.35416666666666669</v>
      </c>
      <c r="M1169" s="4" t="s">
        <v>1342</v>
      </c>
      <c r="N1169" s="6" t="s">
        <v>23</v>
      </c>
      <c r="O1169" s="4" t="s">
        <v>24</v>
      </c>
    </row>
    <row r="1170" spans="1:15" x14ac:dyDescent="0.25">
      <c r="A1170" s="4" t="s">
        <v>15</v>
      </c>
      <c r="B1170" s="4" t="str">
        <f>"FES1162750546"</f>
        <v>FES1162750546</v>
      </c>
      <c r="C1170" s="4" t="s">
        <v>1015</v>
      </c>
      <c r="D1170" s="4">
        <v>1</v>
      </c>
      <c r="E1170" s="4" t="str">
        <f>"2170739428"</f>
        <v>2170739428</v>
      </c>
      <c r="F1170" s="4" t="s">
        <v>17</v>
      </c>
      <c r="G1170" s="4" t="s">
        <v>18</v>
      </c>
      <c r="H1170" s="4" t="s">
        <v>32</v>
      </c>
      <c r="I1170" s="4" t="s">
        <v>33</v>
      </c>
      <c r="J1170" s="4" t="s">
        <v>797</v>
      </c>
      <c r="K1170" s="4" t="s">
        <v>1189</v>
      </c>
      <c r="L1170" s="5">
        <v>0.4236111111111111</v>
      </c>
      <c r="M1170" s="4" t="s">
        <v>1340</v>
      </c>
      <c r="N1170" s="6" t="s">
        <v>23</v>
      </c>
      <c r="O1170" s="4" t="s">
        <v>24</v>
      </c>
    </row>
    <row r="1171" spans="1:15" x14ac:dyDescent="0.25">
      <c r="A1171" s="4" t="s">
        <v>15</v>
      </c>
      <c r="B1171" s="4" t="str">
        <f>"FES1162750612"</f>
        <v>FES1162750612</v>
      </c>
      <c r="C1171" s="4" t="s">
        <v>1015</v>
      </c>
      <c r="D1171" s="4">
        <v>1</v>
      </c>
      <c r="E1171" s="4" t="str">
        <f>"2170731855"</f>
        <v>2170731855</v>
      </c>
      <c r="F1171" s="4" t="s">
        <v>17</v>
      </c>
      <c r="G1171" s="4" t="s">
        <v>18</v>
      </c>
      <c r="H1171" s="4" t="s">
        <v>25</v>
      </c>
      <c r="I1171" s="4" t="s">
        <v>26</v>
      </c>
      <c r="J1171" s="4" t="s">
        <v>1192</v>
      </c>
      <c r="K1171" s="4" t="s">
        <v>1189</v>
      </c>
      <c r="L1171" s="5">
        <v>0.37847222222222227</v>
      </c>
      <c r="M1171" s="4" t="s">
        <v>1270</v>
      </c>
      <c r="N1171" s="6" t="s">
        <v>23</v>
      </c>
      <c r="O1171" s="4" t="s">
        <v>24</v>
      </c>
    </row>
    <row r="1172" spans="1:15" x14ac:dyDescent="0.25">
      <c r="A1172" s="4" t="s">
        <v>15</v>
      </c>
      <c r="B1172" s="4" t="str">
        <f>"FES1162750625"</f>
        <v>FES1162750625</v>
      </c>
      <c r="C1172" s="4" t="s">
        <v>1015</v>
      </c>
      <c r="D1172" s="4">
        <v>1</v>
      </c>
      <c r="E1172" s="4" t="str">
        <f>"2170739536"</f>
        <v>2170739536</v>
      </c>
      <c r="F1172" s="4" t="s">
        <v>17</v>
      </c>
      <c r="G1172" s="4" t="s">
        <v>18</v>
      </c>
      <c r="H1172" s="4" t="s">
        <v>25</v>
      </c>
      <c r="I1172" s="4" t="s">
        <v>26</v>
      </c>
      <c r="J1172" s="4" t="s">
        <v>283</v>
      </c>
      <c r="K1172" s="4" t="s">
        <v>1189</v>
      </c>
      <c r="L1172" s="5">
        <v>0.41597222222222219</v>
      </c>
      <c r="M1172" s="4" t="s">
        <v>937</v>
      </c>
      <c r="N1172" s="6" t="s">
        <v>23</v>
      </c>
      <c r="O1172" s="4" t="s">
        <v>24</v>
      </c>
    </row>
    <row r="1173" spans="1:15" x14ac:dyDescent="0.25">
      <c r="A1173" s="4" t="s">
        <v>15</v>
      </c>
      <c r="B1173" s="4" t="str">
        <f>"FES1162750512"</f>
        <v>FES1162750512</v>
      </c>
      <c r="C1173" s="4" t="s">
        <v>1015</v>
      </c>
      <c r="D1173" s="4">
        <v>1</v>
      </c>
      <c r="E1173" s="4" t="str">
        <f>"2170739136"</f>
        <v>2170739136</v>
      </c>
      <c r="F1173" s="4" t="s">
        <v>17</v>
      </c>
      <c r="G1173" s="4" t="s">
        <v>18</v>
      </c>
      <c r="H1173" s="4" t="s">
        <v>85</v>
      </c>
      <c r="I1173" s="4" t="s">
        <v>144</v>
      </c>
      <c r="J1173" s="4" t="s">
        <v>593</v>
      </c>
      <c r="K1173" s="4" t="s">
        <v>1189</v>
      </c>
      <c r="L1173" s="5">
        <v>0.69305555555555554</v>
      </c>
      <c r="M1173" s="4" t="s">
        <v>1343</v>
      </c>
      <c r="N1173" s="6" t="s">
        <v>23</v>
      </c>
      <c r="O1173" s="4" t="s">
        <v>24</v>
      </c>
    </row>
    <row r="1174" spans="1:15" x14ac:dyDescent="0.25">
      <c r="A1174" s="4" t="s">
        <v>15</v>
      </c>
      <c r="B1174" s="4" t="str">
        <f>"FES1162750556"</f>
        <v>FES1162750556</v>
      </c>
      <c r="C1174" s="4" t="s">
        <v>1015</v>
      </c>
      <c r="D1174" s="4">
        <v>1</v>
      </c>
      <c r="E1174" s="4" t="str">
        <f>"2170739490"</f>
        <v>2170739490</v>
      </c>
      <c r="F1174" s="4" t="s">
        <v>17</v>
      </c>
      <c r="G1174" s="4" t="s">
        <v>18</v>
      </c>
      <c r="H1174" s="4" t="s">
        <v>48</v>
      </c>
      <c r="I1174" s="4" t="s">
        <v>108</v>
      </c>
      <c r="J1174" s="4" t="s">
        <v>109</v>
      </c>
      <c r="K1174" s="4" t="s">
        <v>1189</v>
      </c>
      <c r="L1174" s="5">
        <v>0.53402777777777777</v>
      </c>
      <c r="M1174" s="4" t="s">
        <v>1263</v>
      </c>
      <c r="N1174" s="6" t="s">
        <v>23</v>
      </c>
      <c r="O1174" s="4" t="s">
        <v>24</v>
      </c>
    </row>
    <row r="1175" spans="1:15" x14ac:dyDescent="0.25">
      <c r="A1175" s="4" t="s">
        <v>15</v>
      </c>
      <c r="B1175" s="4" t="str">
        <f>"FES1162750482"</f>
        <v>FES1162750482</v>
      </c>
      <c r="C1175" s="4" t="s">
        <v>1015</v>
      </c>
      <c r="D1175" s="4">
        <v>1</v>
      </c>
      <c r="E1175" s="4" t="str">
        <f>"2170738942"</f>
        <v>2170738942</v>
      </c>
      <c r="F1175" s="4" t="s">
        <v>17</v>
      </c>
      <c r="G1175" s="4" t="s">
        <v>18</v>
      </c>
      <c r="H1175" s="4" t="s">
        <v>85</v>
      </c>
      <c r="I1175" s="4" t="s">
        <v>144</v>
      </c>
      <c r="J1175" s="4" t="s">
        <v>291</v>
      </c>
      <c r="K1175" s="4" t="s">
        <v>1189</v>
      </c>
      <c r="L1175" s="5">
        <v>0.45347222222222222</v>
      </c>
      <c r="M1175" s="4" t="s">
        <v>1344</v>
      </c>
      <c r="N1175" s="6" t="s">
        <v>23</v>
      </c>
      <c r="O1175" s="4" t="s">
        <v>24</v>
      </c>
    </row>
    <row r="1176" spans="1:15" x14ac:dyDescent="0.25">
      <c r="A1176" s="4" t="s">
        <v>15</v>
      </c>
      <c r="B1176" s="4" t="str">
        <f>"FES1162750407"</f>
        <v>FES1162750407</v>
      </c>
      <c r="C1176" s="4" t="s">
        <v>1015</v>
      </c>
      <c r="D1176" s="4">
        <v>1</v>
      </c>
      <c r="E1176" s="4" t="str">
        <f>"2170740120"</f>
        <v>2170740120</v>
      </c>
      <c r="F1176" s="4" t="s">
        <v>17</v>
      </c>
      <c r="G1176" s="4" t="s">
        <v>18</v>
      </c>
      <c r="H1176" s="4" t="s">
        <v>40</v>
      </c>
      <c r="I1176" s="4" t="s">
        <v>41</v>
      </c>
      <c r="J1176" s="4" t="s">
        <v>359</v>
      </c>
      <c r="K1176" s="4" t="s">
        <v>1189</v>
      </c>
      <c r="L1176" s="5">
        <v>0.45347222222222222</v>
      </c>
      <c r="M1176" s="4" t="s">
        <v>1419</v>
      </c>
      <c r="N1176" s="6" t="s">
        <v>23</v>
      </c>
      <c r="O1176" s="4" t="s">
        <v>24</v>
      </c>
    </row>
    <row r="1177" spans="1:15" x14ac:dyDescent="0.25">
      <c r="A1177" s="4" t="s">
        <v>15</v>
      </c>
      <c r="B1177" s="4" t="str">
        <f>"FES1162750401"</f>
        <v>FES1162750401</v>
      </c>
      <c r="C1177" s="4" t="s">
        <v>1015</v>
      </c>
      <c r="D1177" s="4">
        <v>1</v>
      </c>
      <c r="E1177" s="4" t="str">
        <f>"2170739787"</f>
        <v>2170739787</v>
      </c>
      <c r="F1177" s="4" t="s">
        <v>17</v>
      </c>
      <c r="G1177" s="4" t="s">
        <v>18</v>
      </c>
      <c r="H1177" s="4" t="s">
        <v>85</v>
      </c>
      <c r="I1177" s="4" t="s">
        <v>207</v>
      </c>
      <c r="J1177" s="4" t="s">
        <v>245</v>
      </c>
      <c r="K1177" s="4" t="s">
        <v>1189</v>
      </c>
      <c r="L1177" s="5">
        <v>0.46388888888888885</v>
      </c>
      <c r="M1177" s="4" t="s">
        <v>1323</v>
      </c>
      <c r="N1177" s="6" t="s">
        <v>23</v>
      </c>
      <c r="O1177" s="4" t="s">
        <v>24</v>
      </c>
    </row>
    <row r="1178" spans="1:15" x14ac:dyDescent="0.25">
      <c r="A1178" s="4" t="s">
        <v>15</v>
      </c>
      <c r="B1178" s="4" t="str">
        <f>"FES1162750599"</f>
        <v>FES1162750599</v>
      </c>
      <c r="C1178" s="4" t="s">
        <v>1015</v>
      </c>
      <c r="D1178" s="4">
        <v>1</v>
      </c>
      <c r="E1178" s="4" t="str">
        <f>"2170740698"</f>
        <v>2170740698</v>
      </c>
      <c r="F1178" s="4" t="s">
        <v>17</v>
      </c>
      <c r="G1178" s="4" t="s">
        <v>18</v>
      </c>
      <c r="H1178" s="4" t="s">
        <v>85</v>
      </c>
      <c r="I1178" s="4" t="s">
        <v>144</v>
      </c>
      <c r="J1178" s="4" t="s">
        <v>1210</v>
      </c>
      <c r="K1178" s="4" t="s">
        <v>1189</v>
      </c>
      <c r="L1178" s="5">
        <v>0.53125</v>
      </c>
      <c r="M1178" s="4" t="s">
        <v>496</v>
      </c>
      <c r="N1178" s="6" t="s">
        <v>23</v>
      </c>
      <c r="O1178" s="4" t="s">
        <v>24</v>
      </c>
    </row>
    <row r="1179" spans="1:15" x14ac:dyDescent="0.25">
      <c r="A1179" s="4" t="s">
        <v>15</v>
      </c>
      <c r="B1179" s="4" t="str">
        <f>"FES1162750605"</f>
        <v>FES1162750605</v>
      </c>
      <c r="C1179" s="4" t="s">
        <v>1015</v>
      </c>
      <c r="D1179" s="4">
        <v>1</v>
      </c>
      <c r="E1179" s="4" t="str">
        <f>"2170740730"</f>
        <v>2170740730</v>
      </c>
      <c r="F1179" s="4" t="s">
        <v>17</v>
      </c>
      <c r="G1179" s="4" t="s">
        <v>18</v>
      </c>
      <c r="H1179" s="4" t="s">
        <v>18</v>
      </c>
      <c r="I1179" s="4" t="s">
        <v>29</v>
      </c>
      <c r="J1179" s="4" t="s">
        <v>1223</v>
      </c>
      <c r="K1179" s="4" t="s">
        <v>1189</v>
      </c>
      <c r="L1179" s="5">
        <v>0.41666666666666669</v>
      </c>
      <c r="M1179" s="4" t="s">
        <v>1345</v>
      </c>
      <c r="N1179" s="6" t="s">
        <v>23</v>
      </c>
      <c r="O1179" s="4" t="s">
        <v>24</v>
      </c>
    </row>
    <row r="1180" spans="1:15" x14ac:dyDescent="0.25">
      <c r="A1180" s="4" t="s">
        <v>15</v>
      </c>
      <c r="B1180" s="4" t="str">
        <f>"FES1162750615"</f>
        <v>FES1162750615</v>
      </c>
      <c r="C1180" s="4" t="s">
        <v>1015</v>
      </c>
      <c r="D1180" s="4">
        <v>1</v>
      </c>
      <c r="E1180" s="4" t="str">
        <f>"2170733110"</f>
        <v>2170733110</v>
      </c>
      <c r="F1180" s="4" t="s">
        <v>17</v>
      </c>
      <c r="G1180" s="4" t="s">
        <v>18</v>
      </c>
      <c r="H1180" s="4" t="s">
        <v>25</v>
      </c>
      <c r="I1180" s="4" t="s">
        <v>26</v>
      </c>
      <c r="J1180" s="4" t="s">
        <v>1192</v>
      </c>
      <c r="K1180" s="4" t="s">
        <v>1189</v>
      </c>
      <c r="L1180" s="5">
        <v>0.37847222222222227</v>
      </c>
      <c r="M1180" s="4" t="s">
        <v>1270</v>
      </c>
      <c r="N1180" s="6" t="s">
        <v>23</v>
      </c>
      <c r="O1180" s="4" t="s">
        <v>24</v>
      </c>
    </row>
    <row r="1181" spans="1:15" x14ac:dyDescent="0.25">
      <c r="A1181" s="4" t="s">
        <v>15</v>
      </c>
      <c r="B1181" s="4" t="str">
        <f>"FES1162750649"</f>
        <v>FES1162750649</v>
      </c>
      <c r="C1181" s="4" t="s">
        <v>1015</v>
      </c>
      <c r="D1181" s="4">
        <v>1</v>
      </c>
      <c r="E1181" s="4" t="str">
        <f>"2170740762"</f>
        <v>2170740762</v>
      </c>
      <c r="F1181" s="4" t="s">
        <v>17</v>
      </c>
      <c r="G1181" s="4" t="s">
        <v>18</v>
      </c>
      <c r="H1181" s="4" t="s">
        <v>32</v>
      </c>
      <c r="I1181" s="4" t="s">
        <v>33</v>
      </c>
      <c r="J1181" s="4" t="s">
        <v>856</v>
      </c>
      <c r="K1181" s="4" t="s">
        <v>1189</v>
      </c>
      <c r="L1181" s="5">
        <v>0.37152777777777773</v>
      </c>
      <c r="M1181" s="4" t="s">
        <v>1025</v>
      </c>
      <c r="N1181" s="6" t="s">
        <v>23</v>
      </c>
      <c r="O1181" s="4" t="s">
        <v>24</v>
      </c>
    </row>
    <row r="1182" spans="1:15" x14ac:dyDescent="0.25">
      <c r="A1182" s="4" t="s">
        <v>15</v>
      </c>
      <c r="B1182" s="4" t="str">
        <f>"FES1162750639"</f>
        <v>FES1162750639</v>
      </c>
      <c r="C1182" s="4" t="s">
        <v>1015</v>
      </c>
      <c r="D1182" s="4">
        <v>1</v>
      </c>
      <c r="E1182" s="4" t="str">
        <f>"2170740741"</f>
        <v>2170740741</v>
      </c>
      <c r="F1182" s="4" t="s">
        <v>17</v>
      </c>
      <c r="G1182" s="4" t="s">
        <v>18</v>
      </c>
      <c r="H1182" s="4" t="s">
        <v>18</v>
      </c>
      <c r="I1182" s="4" t="s">
        <v>19</v>
      </c>
      <c r="J1182" s="4" t="s">
        <v>20</v>
      </c>
      <c r="K1182" s="4" t="s">
        <v>1189</v>
      </c>
      <c r="L1182" s="5">
        <v>0.40625</v>
      </c>
      <c r="M1182" s="4" t="s">
        <v>128</v>
      </c>
      <c r="N1182" s="6" t="s">
        <v>23</v>
      </c>
      <c r="O1182" s="4" t="s">
        <v>24</v>
      </c>
    </row>
    <row r="1183" spans="1:15" x14ac:dyDescent="0.25">
      <c r="A1183" s="4" t="s">
        <v>15</v>
      </c>
      <c r="B1183" s="4" t="str">
        <f>"FES1162750715"</f>
        <v>FES1162750715</v>
      </c>
      <c r="C1183" s="4" t="s">
        <v>1015</v>
      </c>
      <c r="D1183" s="4">
        <v>1</v>
      </c>
      <c r="E1183" s="4" t="str">
        <f>"2170740827"</f>
        <v>2170740827</v>
      </c>
      <c r="F1183" s="4" t="s">
        <v>17</v>
      </c>
      <c r="G1183" s="4" t="s">
        <v>18</v>
      </c>
      <c r="H1183" s="4" t="s">
        <v>18</v>
      </c>
      <c r="I1183" s="4" t="s">
        <v>309</v>
      </c>
      <c r="J1183" s="4" t="s">
        <v>1056</v>
      </c>
      <c r="K1183" s="4" t="s">
        <v>1189</v>
      </c>
      <c r="L1183" s="5">
        <v>0.33333333333333331</v>
      </c>
      <c r="M1183" s="4" t="s">
        <v>1346</v>
      </c>
      <c r="N1183" s="6" t="s">
        <v>23</v>
      </c>
      <c r="O1183" s="4" t="s">
        <v>24</v>
      </c>
    </row>
    <row r="1184" spans="1:15" x14ac:dyDescent="0.25">
      <c r="A1184" s="4" t="s">
        <v>15</v>
      </c>
      <c r="B1184" s="4" t="str">
        <f>"FES1162750683"</f>
        <v>FES1162750683</v>
      </c>
      <c r="C1184" s="4" t="s">
        <v>1015</v>
      </c>
      <c r="D1184" s="4">
        <v>1</v>
      </c>
      <c r="E1184" s="4" t="str">
        <f>"2170740792"</f>
        <v>2170740792</v>
      </c>
      <c r="F1184" s="4" t="s">
        <v>17</v>
      </c>
      <c r="G1184" s="4" t="s">
        <v>18</v>
      </c>
      <c r="H1184" s="4" t="s">
        <v>18</v>
      </c>
      <c r="I1184" s="4" t="s">
        <v>290</v>
      </c>
      <c r="J1184" s="4" t="s">
        <v>1224</v>
      </c>
      <c r="K1184" s="4" t="s">
        <v>1189</v>
      </c>
      <c r="L1184" s="5">
        <v>0.33333333333333331</v>
      </c>
      <c r="M1184" s="4" t="s">
        <v>1418</v>
      </c>
      <c r="N1184" s="6" t="s">
        <v>23</v>
      </c>
      <c r="O1184" s="4" t="s">
        <v>24</v>
      </c>
    </row>
    <row r="1185" spans="1:15" x14ac:dyDescent="0.25">
      <c r="A1185" s="11" t="s">
        <v>15</v>
      </c>
      <c r="B1185" s="11" t="str">
        <f>"FES1162750433"</f>
        <v>FES1162750433</v>
      </c>
      <c r="C1185" s="11" t="s">
        <v>1015</v>
      </c>
      <c r="D1185" s="11">
        <v>1</v>
      </c>
      <c r="E1185" s="11" t="str">
        <f>"2170740652"</f>
        <v>2170740652</v>
      </c>
      <c r="F1185" s="11" t="s">
        <v>17</v>
      </c>
      <c r="G1185" s="11" t="s">
        <v>18</v>
      </c>
      <c r="H1185" s="11" t="s">
        <v>18</v>
      </c>
      <c r="I1185" s="11" t="s">
        <v>311</v>
      </c>
      <c r="J1185" s="11" t="s">
        <v>1220</v>
      </c>
      <c r="K1185" s="11" t="s">
        <v>1189</v>
      </c>
      <c r="L1185" s="12">
        <v>0.33333333333333331</v>
      </c>
      <c r="M1185" s="11" t="s">
        <v>743</v>
      </c>
      <c r="N1185" s="13" t="s">
        <v>23</v>
      </c>
      <c r="O1185" s="11" t="s">
        <v>24</v>
      </c>
    </row>
    <row r="1186" spans="1:15" x14ac:dyDescent="0.25">
      <c r="A1186" s="11" t="s">
        <v>15</v>
      </c>
      <c r="B1186" s="11" t="str">
        <f>"FES1162750686"</f>
        <v>FES1162750686</v>
      </c>
      <c r="C1186" s="11" t="s">
        <v>1015</v>
      </c>
      <c r="D1186" s="11">
        <v>1</v>
      </c>
      <c r="E1186" s="11" t="str">
        <f>"2170740795"</f>
        <v>2170740795</v>
      </c>
      <c r="F1186" s="11" t="s">
        <v>17</v>
      </c>
      <c r="G1186" s="11" t="s">
        <v>18</v>
      </c>
      <c r="H1186" s="11" t="s">
        <v>85</v>
      </c>
      <c r="I1186" s="11" t="s">
        <v>144</v>
      </c>
      <c r="J1186" s="11" t="s">
        <v>407</v>
      </c>
      <c r="K1186" s="11" t="s">
        <v>1189</v>
      </c>
      <c r="L1186" s="12">
        <v>0.53402777777777777</v>
      </c>
      <c r="M1186" s="11" t="s">
        <v>1012</v>
      </c>
      <c r="N1186" s="13" t="s">
        <v>23</v>
      </c>
      <c r="O1186" s="11" t="s">
        <v>24</v>
      </c>
    </row>
    <row r="1187" spans="1:15" x14ac:dyDescent="0.25">
      <c r="A1187" s="11" t="s">
        <v>15</v>
      </c>
      <c r="B1187" s="11" t="str">
        <f>"FES1162750561"</f>
        <v>FES1162750561</v>
      </c>
      <c r="C1187" s="11" t="s">
        <v>1015</v>
      </c>
      <c r="D1187" s="11">
        <v>1</v>
      </c>
      <c r="E1187" s="11" t="str">
        <f>"2170739531"</f>
        <v>2170739531</v>
      </c>
      <c r="F1187" s="11" t="s">
        <v>17</v>
      </c>
      <c r="G1187" s="11" t="s">
        <v>18</v>
      </c>
      <c r="H1187" s="11" t="s">
        <v>85</v>
      </c>
      <c r="I1187" s="11" t="s">
        <v>144</v>
      </c>
      <c r="J1187" s="11" t="s">
        <v>210</v>
      </c>
      <c r="K1187" s="11" t="s">
        <v>1189</v>
      </c>
      <c r="L1187" s="12">
        <v>0.46249999999999997</v>
      </c>
      <c r="M1187" s="11" t="s">
        <v>1296</v>
      </c>
      <c r="N1187" s="13" t="s">
        <v>23</v>
      </c>
      <c r="O1187" s="11" t="s">
        <v>24</v>
      </c>
    </row>
    <row r="1188" spans="1:15" x14ac:dyDescent="0.25">
      <c r="A1188" s="11" t="s">
        <v>15</v>
      </c>
      <c r="B1188" s="11" t="str">
        <f>"FES1162750576"</f>
        <v>FES1162750576</v>
      </c>
      <c r="C1188" s="11" t="s">
        <v>1015</v>
      </c>
      <c r="D1188" s="11">
        <v>1</v>
      </c>
      <c r="E1188" s="11" t="str">
        <f>"2170739365"</f>
        <v>2170739365</v>
      </c>
      <c r="F1188" s="11" t="s">
        <v>17</v>
      </c>
      <c r="G1188" s="11" t="s">
        <v>18</v>
      </c>
      <c r="H1188" s="11" t="s">
        <v>85</v>
      </c>
      <c r="I1188" s="11" t="s">
        <v>144</v>
      </c>
      <c r="J1188" s="11" t="s">
        <v>357</v>
      </c>
      <c r="K1188" s="11" t="s">
        <v>1189</v>
      </c>
      <c r="L1188" s="12">
        <v>0.46249999999999997</v>
      </c>
      <c r="M1188" s="11" t="s">
        <v>1552</v>
      </c>
      <c r="N1188" s="13" t="s">
        <v>23</v>
      </c>
      <c r="O1188" s="11" t="s">
        <v>965</v>
      </c>
    </row>
    <row r="1189" spans="1:15" x14ac:dyDescent="0.25">
      <c r="A1189" s="11" t="s">
        <v>15</v>
      </c>
      <c r="B1189" s="11" t="str">
        <f>"FES1162750397"</f>
        <v>FES1162750397</v>
      </c>
      <c r="C1189" s="11" t="s">
        <v>1015</v>
      </c>
      <c r="D1189" s="11">
        <v>1</v>
      </c>
      <c r="E1189" s="11" t="str">
        <f>"2170739531"</f>
        <v>2170739531</v>
      </c>
      <c r="F1189" s="11" t="s">
        <v>17</v>
      </c>
      <c r="G1189" s="11" t="s">
        <v>18</v>
      </c>
      <c r="H1189" s="11" t="s">
        <v>85</v>
      </c>
      <c r="I1189" s="11" t="s">
        <v>144</v>
      </c>
      <c r="J1189" s="11" t="s">
        <v>210</v>
      </c>
      <c r="K1189" s="11" t="s">
        <v>1189</v>
      </c>
      <c r="L1189" s="12">
        <v>0.46249999999999997</v>
      </c>
      <c r="M1189" s="11" t="s">
        <v>1296</v>
      </c>
      <c r="N1189" s="13" t="s">
        <v>23</v>
      </c>
      <c r="O1189" s="11" t="s">
        <v>24</v>
      </c>
    </row>
    <row r="1190" spans="1:15" x14ac:dyDescent="0.25">
      <c r="A1190" s="11" t="s">
        <v>15</v>
      </c>
      <c r="B1190" s="11" t="str">
        <f>"FES1162750682"</f>
        <v>FES1162750682</v>
      </c>
      <c r="C1190" s="11" t="s">
        <v>1015</v>
      </c>
      <c r="D1190" s="11">
        <v>1</v>
      </c>
      <c r="E1190" s="11" t="str">
        <f>"2170740779"</f>
        <v>2170740779</v>
      </c>
      <c r="F1190" s="11" t="s">
        <v>17</v>
      </c>
      <c r="G1190" s="11" t="s">
        <v>18</v>
      </c>
      <c r="H1190" s="11" t="s">
        <v>40</v>
      </c>
      <c r="I1190" s="11" t="s">
        <v>78</v>
      </c>
      <c r="J1190" s="11" t="s">
        <v>1225</v>
      </c>
      <c r="K1190" s="11" t="s">
        <v>1189</v>
      </c>
      <c r="L1190" s="12">
        <v>0.46249999999999997</v>
      </c>
      <c r="M1190" s="11" t="s">
        <v>1417</v>
      </c>
      <c r="N1190" s="13" t="s">
        <v>23</v>
      </c>
      <c r="O1190" s="11" t="s">
        <v>24</v>
      </c>
    </row>
    <row r="1191" spans="1:15" x14ac:dyDescent="0.25">
      <c r="A1191" s="11" t="s">
        <v>15</v>
      </c>
      <c r="B1191" s="11" t="str">
        <f>"FES1162750734"</f>
        <v>FES1162750734</v>
      </c>
      <c r="C1191" s="11" t="s">
        <v>1015</v>
      </c>
      <c r="D1191" s="11">
        <v>1</v>
      </c>
      <c r="E1191" s="11" t="str">
        <f>"2170739596"</f>
        <v>2170739596</v>
      </c>
      <c r="F1191" s="11" t="s">
        <v>17</v>
      </c>
      <c r="G1191" s="11" t="s">
        <v>18</v>
      </c>
      <c r="H1191" s="11" t="s">
        <v>25</v>
      </c>
      <c r="I1191" s="11" t="s">
        <v>92</v>
      </c>
      <c r="J1191" s="11" t="s">
        <v>623</v>
      </c>
      <c r="K1191" s="11" t="s">
        <v>1189</v>
      </c>
      <c r="L1191" s="12">
        <v>0.34375</v>
      </c>
      <c r="M1191" s="11" t="s">
        <v>1347</v>
      </c>
      <c r="N1191" s="13" t="s">
        <v>23</v>
      </c>
      <c r="O1191" s="11" t="s">
        <v>24</v>
      </c>
    </row>
    <row r="1192" spans="1:15" x14ac:dyDescent="0.25">
      <c r="A1192" s="11" t="s">
        <v>15</v>
      </c>
      <c r="B1192" s="11" t="str">
        <f>"FES1162750657"</f>
        <v>FES1162750657</v>
      </c>
      <c r="C1192" s="11" t="s">
        <v>1015</v>
      </c>
      <c r="D1192" s="11">
        <v>1</v>
      </c>
      <c r="E1192" s="11" t="str">
        <f>"2170740775"</f>
        <v>2170740775</v>
      </c>
      <c r="F1192" s="11" t="s">
        <v>17</v>
      </c>
      <c r="G1192" s="11" t="s">
        <v>18</v>
      </c>
      <c r="H1192" s="11" t="s">
        <v>40</v>
      </c>
      <c r="I1192" s="11" t="s">
        <v>41</v>
      </c>
      <c r="J1192" s="11" t="s">
        <v>852</v>
      </c>
      <c r="K1192" s="11" t="s">
        <v>1189</v>
      </c>
      <c r="L1192" s="12">
        <v>0.34375</v>
      </c>
      <c r="M1192" s="11" t="s">
        <v>1551</v>
      </c>
      <c r="N1192" s="13" t="s">
        <v>23</v>
      </c>
      <c r="O1192" s="11" t="s">
        <v>24</v>
      </c>
    </row>
    <row r="1193" spans="1:15" x14ac:dyDescent="0.25">
      <c r="A1193" s="11" t="s">
        <v>15</v>
      </c>
      <c r="B1193" s="11" t="str">
        <f>"FES1162750638"</f>
        <v>FES1162750638</v>
      </c>
      <c r="C1193" s="11" t="s">
        <v>1015</v>
      </c>
      <c r="D1193" s="11">
        <v>1</v>
      </c>
      <c r="E1193" s="11" t="str">
        <f>"2170740619"</f>
        <v>2170740619</v>
      </c>
      <c r="F1193" s="11" t="s">
        <v>17</v>
      </c>
      <c r="G1193" s="11" t="s">
        <v>18</v>
      </c>
      <c r="H1193" s="11" t="s">
        <v>48</v>
      </c>
      <c r="I1193" s="11" t="s">
        <v>108</v>
      </c>
      <c r="J1193" s="11" t="s">
        <v>109</v>
      </c>
      <c r="K1193" s="11" t="s">
        <v>1189</v>
      </c>
      <c r="L1193" s="12">
        <v>0.53263888888888888</v>
      </c>
      <c r="M1193" s="11" t="s">
        <v>1263</v>
      </c>
      <c r="N1193" s="13" t="s">
        <v>23</v>
      </c>
      <c r="O1193" s="11" t="s">
        <v>24</v>
      </c>
    </row>
    <row r="1194" spans="1:15" x14ac:dyDescent="0.25">
      <c r="A1194" s="11" t="s">
        <v>15</v>
      </c>
      <c r="B1194" s="11" t="str">
        <f>"FES1162750669"</f>
        <v>FES1162750669</v>
      </c>
      <c r="C1194" s="11" t="s">
        <v>1015</v>
      </c>
      <c r="D1194" s="11">
        <v>1</v>
      </c>
      <c r="E1194" s="11" t="str">
        <f>"2170740664"</f>
        <v>2170740664</v>
      </c>
      <c r="F1194" s="11" t="s">
        <v>17</v>
      </c>
      <c r="G1194" s="11" t="s">
        <v>18</v>
      </c>
      <c r="H1194" s="11" t="s">
        <v>85</v>
      </c>
      <c r="I1194" s="11" t="s">
        <v>144</v>
      </c>
      <c r="J1194" s="11" t="s">
        <v>255</v>
      </c>
      <c r="K1194" s="11" t="s">
        <v>1189</v>
      </c>
      <c r="L1194" s="12">
        <v>0.45277777777777778</v>
      </c>
      <c r="M1194" s="11" t="s">
        <v>658</v>
      </c>
      <c r="N1194" s="13" t="s">
        <v>23</v>
      </c>
      <c r="O1194" s="11" t="s">
        <v>24</v>
      </c>
    </row>
    <row r="1195" spans="1:15" x14ac:dyDescent="0.25">
      <c r="A1195" s="11" t="s">
        <v>15</v>
      </c>
      <c r="B1195" s="11" t="str">
        <f>"FES1162750667"</f>
        <v>FES1162750667</v>
      </c>
      <c r="C1195" s="11" t="s">
        <v>1015</v>
      </c>
      <c r="D1195" s="11">
        <v>1</v>
      </c>
      <c r="E1195" s="11" t="str">
        <f>"2170740660"</f>
        <v>2170740660</v>
      </c>
      <c r="F1195" s="11" t="s">
        <v>17</v>
      </c>
      <c r="G1195" s="11" t="s">
        <v>18</v>
      </c>
      <c r="H1195" s="11" t="s">
        <v>85</v>
      </c>
      <c r="I1195" s="11" t="s">
        <v>144</v>
      </c>
      <c r="J1195" s="11" t="s">
        <v>255</v>
      </c>
      <c r="K1195" s="11" t="s">
        <v>1189</v>
      </c>
      <c r="L1195" s="12">
        <v>0.45277777777777778</v>
      </c>
      <c r="M1195" s="11" t="s">
        <v>658</v>
      </c>
      <c r="N1195" s="13" t="s">
        <v>23</v>
      </c>
      <c r="O1195" s="11" t="s">
        <v>24</v>
      </c>
    </row>
    <row r="1196" spans="1:15" x14ac:dyDescent="0.25">
      <c r="A1196" s="11" t="s">
        <v>15</v>
      </c>
      <c r="B1196" s="11" t="str">
        <f>"FES1162750674"</f>
        <v>FES1162750674</v>
      </c>
      <c r="C1196" s="11" t="s">
        <v>1015</v>
      </c>
      <c r="D1196" s="11">
        <v>1</v>
      </c>
      <c r="E1196" s="11" t="str">
        <f>"2170740784"</f>
        <v>2170740784</v>
      </c>
      <c r="F1196" s="11" t="s">
        <v>17</v>
      </c>
      <c r="G1196" s="11" t="s">
        <v>18</v>
      </c>
      <c r="H1196" s="11" t="s">
        <v>85</v>
      </c>
      <c r="I1196" s="11" t="s">
        <v>144</v>
      </c>
      <c r="J1196" s="11" t="s">
        <v>210</v>
      </c>
      <c r="K1196" s="11" t="s">
        <v>1189</v>
      </c>
      <c r="L1196" s="12">
        <v>0.46249999999999997</v>
      </c>
      <c r="M1196" s="11" t="s">
        <v>1296</v>
      </c>
      <c r="N1196" s="13" t="s">
        <v>23</v>
      </c>
      <c r="O1196" s="11" t="s">
        <v>24</v>
      </c>
    </row>
    <row r="1197" spans="1:15" x14ac:dyDescent="0.25">
      <c r="A1197" s="4" t="s">
        <v>15</v>
      </c>
      <c r="B1197" s="4" t="str">
        <f>"FES1162750666"</f>
        <v>FES1162750666</v>
      </c>
      <c r="C1197" s="4" t="s">
        <v>1015</v>
      </c>
      <c r="D1197" s="4">
        <v>1</v>
      </c>
      <c r="E1197" s="4" t="str">
        <f>"2170740659"</f>
        <v>2170740659</v>
      </c>
      <c r="F1197" s="4" t="s">
        <v>17</v>
      </c>
      <c r="G1197" s="4" t="s">
        <v>18</v>
      </c>
      <c r="H1197" s="4" t="s">
        <v>85</v>
      </c>
      <c r="I1197" s="4" t="s">
        <v>144</v>
      </c>
      <c r="J1197" s="4" t="s">
        <v>255</v>
      </c>
      <c r="K1197" s="4" t="s">
        <v>1189</v>
      </c>
      <c r="L1197" s="5">
        <v>0.45277777777777778</v>
      </c>
      <c r="M1197" s="4" t="s">
        <v>658</v>
      </c>
      <c r="N1197" s="6" t="s">
        <v>23</v>
      </c>
      <c r="O1197" s="4" t="s">
        <v>24</v>
      </c>
    </row>
    <row r="1198" spans="1:15" x14ac:dyDescent="0.25">
      <c r="A1198" s="4" t="s">
        <v>15</v>
      </c>
      <c r="B1198" s="4" t="str">
        <f>"FES1162750668"</f>
        <v>FES1162750668</v>
      </c>
      <c r="C1198" s="4" t="s">
        <v>1015</v>
      </c>
      <c r="D1198" s="4">
        <v>1</v>
      </c>
      <c r="E1198" s="4" t="str">
        <f>"2170740661"</f>
        <v>2170740661</v>
      </c>
      <c r="F1198" s="4" t="s">
        <v>17</v>
      </c>
      <c r="G1198" s="4" t="s">
        <v>18</v>
      </c>
      <c r="H1198" s="4" t="s">
        <v>85</v>
      </c>
      <c r="I1198" s="4" t="s">
        <v>144</v>
      </c>
      <c r="J1198" s="4" t="s">
        <v>255</v>
      </c>
      <c r="K1198" s="4" t="s">
        <v>1189</v>
      </c>
      <c r="L1198" s="5">
        <v>0.45277777777777778</v>
      </c>
      <c r="M1198" s="4" t="s">
        <v>658</v>
      </c>
      <c r="N1198" s="6" t="s">
        <v>23</v>
      </c>
      <c r="O1198" s="4" t="s">
        <v>24</v>
      </c>
    </row>
    <row r="1199" spans="1:15" x14ac:dyDescent="0.25">
      <c r="A1199" s="4" t="s">
        <v>15</v>
      </c>
      <c r="B1199" s="4" t="str">
        <f>"FES1162750665"</f>
        <v>FES1162750665</v>
      </c>
      <c r="C1199" s="4" t="s">
        <v>1015</v>
      </c>
      <c r="D1199" s="4">
        <v>1</v>
      </c>
      <c r="E1199" s="4" t="str">
        <f>"2170740658"</f>
        <v>2170740658</v>
      </c>
      <c r="F1199" s="4" t="s">
        <v>17</v>
      </c>
      <c r="G1199" s="4" t="s">
        <v>18</v>
      </c>
      <c r="H1199" s="4" t="s">
        <v>85</v>
      </c>
      <c r="I1199" s="4" t="s">
        <v>144</v>
      </c>
      <c r="J1199" s="4" t="s">
        <v>255</v>
      </c>
      <c r="K1199" s="4" t="s">
        <v>1189</v>
      </c>
      <c r="L1199" s="5">
        <v>0.45277777777777778</v>
      </c>
      <c r="M1199" s="4" t="s">
        <v>658</v>
      </c>
      <c r="N1199" s="6" t="s">
        <v>23</v>
      </c>
      <c r="O1199" s="4" t="s">
        <v>24</v>
      </c>
    </row>
    <row r="1200" spans="1:15" x14ac:dyDescent="0.25">
      <c r="A1200" s="4" t="s">
        <v>15</v>
      </c>
      <c r="B1200" s="4" t="str">
        <f>"FES1162750492"</f>
        <v>FES1162750492</v>
      </c>
      <c r="C1200" s="4" t="s">
        <v>1015</v>
      </c>
      <c r="D1200" s="4">
        <v>1</v>
      </c>
      <c r="E1200" s="4" t="str">
        <f>"2170740714"</f>
        <v>2170740714</v>
      </c>
      <c r="F1200" s="4" t="s">
        <v>17</v>
      </c>
      <c r="G1200" s="4" t="s">
        <v>18</v>
      </c>
      <c r="H1200" s="4" t="s">
        <v>48</v>
      </c>
      <c r="I1200" s="4" t="s">
        <v>49</v>
      </c>
      <c r="J1200" s="4" t="s">
        <v>1226</v>
      </c>
      <c r="K1200" s="4" t="s">
        <v>1189</v>
      </c>
      <c r="L1200" s="5">
        <v>0.35416666666666669</v>
      </c>
      <c r="M1200" s="4" t="s">
        <v>1348</v>
      </c>
      <c r="N1200" s="6" t="s">
        <v>23</v>
      </c>
      <c r="O1200" s="4" t="s">
        <v>24</v>
      </c>
    </row>
    <row r="1201" spans="1:15" x14ac:dyDescent="0.25">
      <c r="A1201" s="4" t="s">
        <v>15</v>
      </c>
      <c r="B1201" s="4" t="str">
        <f>"FES1162750623"</f>
        <v>FES1162750623</v>
      </c>
      <c r="C1201" s="4" t="s">
        <v>1015</v>
      </c>
      <c r="D1201" s="4">
        <v>1</v>
      </c>
      <c r="E1201" s="4" t="str">
        <f>"2170738494"</f>
        <v>2170738494</v>
      </c>
      <c r="F1201" s="4" t="s">
        <v>17</v>
      </c>
      <c r="G1201" s="4" t="s">
        <v>18</v>
      </c>
      <c r="H1201" s="4" t="s">
        <v>48</v>
      </c>
      <c r="I1201" s="4" t="s">
        <v>73</v>
      </c>
      <c r="J1201" s="4" t="s">
        <v>779</v>
      </c>
      <c r="K1201" s="4" t="s">
        <v>1189</v>
      </c>
      <c r="L1201" s="5">
        <v>0.50138888888888888</v>
      </c>
      <c r="M1201" s="4" t="s">
        <v>1032</v>
      </c>
      <c r="N1201" s="6" t="s">
        <v>23</v>
      </c>
      <c r="O1201" s="4" t="s">
        <v>24</v>
      </c>
    </row>
    <row r="1202" spans="1:15" x14ac:dyDescent="0.25">
      <c r="A1202" s="4" t="s">
        <v>15</v>
      </c>
      <c r="B1202" s="4" t="str">
        <f>"FES1162750687"</f>
        <v>FES1162750687</v>
      </c>
      <c r="C1202" s="4" t="s">
        <v>1015</v>
      </c>
      <c r="D1202" s="4">
        <v>1</v>
      </c>
      <c r="E1202" s="4" t="str">
        <f>"2170740796"</f>
        <v>2170740796</v>
      </c>
      <c r="F1202" s="4" t="s">
        <v>17</v>
      </c>
      <c r="G1202" s="4" t="s">
        <v>18</v>
      </c>
      <c r="H1202" s="4" t="s">
        <v>48</v>
      </c>
      <c r="I1202" s="4" t="s">
        <v>49</v>
      </c>
      <c r="J1202" s="4" t="s">
        <v>252</v>
      </c>
      <c r="K1202" s="4" t="s">
        <v>1189</v>
      </c>
      <c r="L1202" s="5">
        <v>0.39652777777777781</v>
      </c>
      <c r="M1202" s="4" t="s">
        <v>1308</v>
      </c>
      <c r="N1202" s="6" t="s">
        <v>23</v>
      </c>
      <c r="O1202" s="4" t="s">
        <v>24</v>
      </c>
    </row>
    <row r="1203" spans="1:15" x14ac:dyDescent="0.25">
      <c r="A1203" s="4" t="s">
        <v>15</v>
      </c>
      <c r="B1203" s="4" t="str">
        <f>"FES1162750671"</f>
        <v>FES1162750671</v>
      </c>
      <c r="C1203" s="4" t="s">
        <v>1015</v>
      </c>
      <c r="D1203" s="4">
        <v>1</v>
      </c>
      <c r="E1203" s="4" t="str">
        <f>"217074066"</f>
        <v>217074066</v>
      </c>
      <c r="F1203" s="4" t="s">
        <v>17</v>
      </c>
      <c r="G1203" s="4" t="s">
        <v>18</v>
      </c>
      <c r="H1203" s="4" t="s">
        <v>48</v>
      </c>
      <c r="I1203" s="4" t="s">
        <v>199</v>
      </c>
      <c r="J1203" s="4" t="s">
        <v>560</v>
      </c>
      <c r="K1203" s="4" t="s">
        <v>1189</v>
      </c>
      <c r="L1203" s="5">
        <v>0.41666666666666669</v>
      </c>
      <c r="M1203" s="4" t="s">
        <v>667</v>
      </c>
      <c r="N1203" s="6" t="s">
        <v>23</v>
      </c>
      <c r="O1203" s="4" t="s">
        <v>24</v>
      </c>
    </row>
    <row r="1204" spans="1:15" x14ac:dyDescent="0.25">
      <c r="A1204" s="4" t="s">
        <v>15</v>
      </c>
      <c r="B1204" s="4" t="str">
        <f>"FES1162750676"</f>
        <v>FES1162750676</v>
      </c>
      <c r="C1204" s="4" t="s">
        <v>1015</v>
      </c>
      <c r="D1204" s="4">
        <v>1</v>
      </c>
      <c r="E1204" s="4" t="str">
        <f>"2170740788"</f>
        <v>2170740788</v>
      </c>
      <c r="F1204" s="4" t="s">
        <v>17</v>
      </c>
      <c r="G1204" s="4" t="s">
        <v>18</v>
      </c>
      <c r="H1204" s="4" t="s">
        <v>18</v>
      </c>
      <c r="I1204" s="4" t="s">
        <v>29</v>
      </c>
      <c r="J1204" s="4" t="s">
        <v>1227</v>
      </c>
      <c r="K1204" s="4" t="s">
        <v>1189</v>
      </c>
      <c r="L1204" s="5">
        <v>0.37361111111111112</v>
      </c>
      <c r="M1204" s="4" t="s">
        <v>1349</v>
      </c>
      <c r="N1204" s="6" t="s">
        <v>23</v>
      </c>
      <c r="O1204" s="4" t="s">
        <v>24</v>
      </c>
    </row>
    <row r="1205" spans="1:15" x14ac:dyDescent="0.25">
      <c r="A1205" s="4" t="s">
        <v>15</v>
      </c>
      <c r="B1205" s="4" t="str">
        <f>"FES1162750618"</f>
        <v>FES1162750618</v>
      </c>
      <c r="C1205" s="4" t="s">
        <v>1015</v>
      </c>
      <c r="D1205" s="4">
        <v>1</v>
      </c>
      <c r="E1205" s="4" t="str">
        <f>"2170734748"</f>
        <v>2170734748</v>
      </c>
      <c r="F1205" s="4" t="s">
        <v>1162</v>
      </c>
      <c r="G1205" s="4" t="s">
        <v>1163</v>
      </c>
      <c r="H1205" s="4" t="s">
        <v>25</v>
      </c>
      <c r="I1205" s="4" t="s">
        <v>26</v>
      </c>
      <c r="J1205" s="4" t="s">
        <v>1192</v>
      </c>
      <c r="K1205" s="4" t="s">
        <v>1189</v>
      </c>
      <c r="L1205" s="5">
        <v>0.36249999999999999</v>
      </c>
      <c r="M1205" s="4" t="s">
        <v>1270</v>
      </c>
      <c r="N1205" s="6" t="s">
        <v>23</v>
      </c>
      <c r="O1205" s="4" t="s">
        <v>24</v>
      </c>
    </row>
    <row r="1206" spans="1:15" x14ac:dyDescent="0.25">
      <c r="A1206" s="4" t="s">
        <v>15</v>
      </c>
      <c r="B1206" s="4" t="str">
        <f>"FES1162750702"</f>
        <v>FES1162750702</v>
      </c>
      <c r="C1206" s="4" t="s">
        <v>1015</v>
      </c>
      <c r="D1206" s="4">
        <v>1</v>
      </c>
      <c r="E1206" s="4" t="str">
        <f>"2170740800"</f>
        <v>2170740800</v>
      </c>
      <c r="F1206" s="4" t="s">
        <v>17</v>
      </c>
      <c r="G1206" s="4" t="s">
        <v>18</v>
      </c>
      <c r="H1206" s="4" t="s">
        <v>18</v>
      </c>
      <c r="I1206" s="4" t="s">
        <v>311</v>
      </c>
      <c r="J1206" s="4" t="s">
        <v>1051</v>
      </c>
      <c r="K1206" s="4" t="s">
        <v>1189</v>
      </c>
      <c r="L1206" s="5">
        <v>0.33333333333333331</v>
      </c>
      <c r="M1206" s="4" t="s">
        <v>1334</v>
      </c>
      <c r="N1206" s="6" t="s">
        <v>23</v>
      </c>
      <c r="O1206" s="4" t="s">
        <v>24</v>
      </c>
    </row>
    <row r="1207" spans="1:15" x14ac:dyDescent="0.25">
      <c r="A1207" s="4" t="s">
        <v>15</v>
      </c>
      <c r="B1207" s="4" t="str">
        <f>"FES1162750646"</f>
        <v>FES1162750646</v>
      </c>
      <c r="C1207" s="4" t="s">
        <v>1015</v>
      </c>
      <c r="D1207" s="4">
        <v>1</v>
      </c>
      <c r="E1207" s="4" t="str">
        <f>"2170738326"</f>
        <v>2170738326</v>
      </c>
      <c r="F1207" s="4" t="s">
        <v>17</v>
      </c>
      <c r="G1207" s="4" t="s">
        <v>18</v>
      </c>
      <c r="H1207" s="4" t="s">
        <v>18</v>
      </c>
      <c r="I1207" s="4" t="s">
        <v>121</v>
      </c>
      <c r="J1207" s="4" t="s">
        <v>1228</v>
      </c>
      <c r="K1207" s="4" t="s">
        <v>1189</v>
      </c>
      <c r="L1207" s="5">
        <v>0.41041666666666665</v>
      </c>
      <c r="M1207" s="4" t="s">
        <v>1350</v>
      </c>
      <c r="N1207" s="6" t="s">
        <v>23</v>
      </c>
      <c r="O1207" s="4" t="s">
        <v>24</v>
      </c>
    </row>
    <row r="1208" spans="1:15" x14ac:dyDescent="0.25">
      <c r="A1208" s="4" t="s">
        <v>15</v>
      </c>
      <c r="B1208" s="4" t="str">
        <f>"FES1162750503"</f>
        <v>FES1162750503</v>
      </c>
      <c r="C1208" s="4" t="s">
        <v>1015</v>
      </c>
      <c r="D1208" s="4">
        <v>1</v>
      </c>
      <c r="E1208" s="4" t="str">
        <f>"2170739076"</f>
        <v>2170739076</v>
      </c>
      <c r="F1208" s="4" t="s">
        <v>17</v>
      </c>
      <c r="G1208" s="4" t="s">
        <v>18</v>
      </c>
      <c r="H1208" s="4" t="s">
        <v>18</v>
      </c>
      <c r="I1208" s="4" t="s">
        <v>29</v>
      </c>
      <c r="J1208" s="4" t="s">
        <v>1229</v>
      </c>
      <c r="K1208" s="4" t="s">
        <v>1189</v>
      </c>
      <c r="L1208" s="5">
        <v>0.32291666666666669</v>
      </c>
      <c r="M1208" s="4" t="s">
        <v>1351</v>
      </c>
      <c r="N1208" s="6" t="s">
        <v>23</v>
      </c>
      <c r="O1208" s="4" t="s">
        <v>24</v>
      </c>
    </row>
    <row r="1209" spans="1:15" x14ac:dyDescent="0.25">
      <c r="A1209" s="4" t="s">
        <v>15</v>
      </c>
      <c r="B1209" s="4" t="str">
        <f>"FES1162750675"</f>
        <v>FES1162750675</v>
      </c>
      <c r="C1209" s="4" t="s">
        <v>1015</v>
      </c>
      <c r="D1209" s="4">
        <v>1</v>
      </c>
      <c r="E1209" s="4" t="str">
        <f>"2170740787"</f>
        <v>2170740787</v>
      </c>
      <c r="F1209" s="4" t="s">
        <v>17</v>
      </c>
      <c r="G1209" s="4" t="s">
        <v>18</v>
      </c>
      <c r="H1209" s="4" t="s">
        <v>85</v>
      </c>
      <c r="I1209" s="4" t="s">
        <v>207</v>
      </c>
      <c r="J1209" s="4" t="s">
        <v>1230</v>
      </c>
      <c r="K1209" s="4" t="s">
        <v>1189</v>
      </c>
      <c r="L1209" s="5">
        <v>0.45694444444444443</v>
      </c>
      <c r="M1209" s="4" t="s">
        <v>1352</v>
      </c>
      <c r="N1209" s="6" t="s">
        <v>23</v>
      </c>
      <c r="O1209" s="4" t="s">
        <v>24</v>
      </c>
    </row>
    <row r="1210" spans="1:15" x14ac:dyDescent="0.25">
      <c r="A1210" s="4" t="s">
        <v>15</v>
      </c>
      <c r="B1210" s="4" t="str">
        <f>"FES1162750408"</f>
        <v>FES1162750408</v>
      </c>
      <c r="C1210" s="4" t="s">
        <v>1015</v>
      </c>
      <c r="D1210" s="4">
        <v>1</v>
      </c>
      <c r="E1210" s="4" t="str">
        <f>""</f>
        <v/>
      </c>
      <c r="F1210" s="4" t="s">
        <v>17</v>
      </c>
      <c r="G1210" s="4" t="s">
        <v>18</v>
      </c>
      <c r="H1210" s="4" t="s">
        <v>40</v>
      </c>
      <c r="I1210" s="4" t="s">
        <v>41</v>
      </c>
      <c r="J1210" s="4" t="s">
        <v>1196</v>
      </c>
      <c r="K1210" s="4" t="s">
        <v>1189</v>
      </c>
      <c r="L1210" s="5">
        <v>0.45694444444444443</v>
      </c>
      <c r="M1210" s="4" t="s">
        <v>1416</v>
      </c>
      <c r="N1210" s="6" t="s">
        <v>23</v>
      </c>
      <c r="O1210" s="4">
        <v>2170740146</v>
      </c>
    </row>
    <row r="1211" spans="1:15" x14ac:dyDescent="0.25">
      <c r="A1211" s="4" t="s">
        <v>15</v>
      </c>
      <c r="B1211" s="4" t="str">
        <f>"FES1162750560"</f>
        <v>FES1162750560</v>
      </c>
      <c r="C1211" s="4" t="s">
        <v>1015</v>
      </c>
      <c r="D1211" s="4">
        <v>1</v>
      </c>
      <c r="E1211" s="4" t="str">
        <f>"2170739509"</f>
        <v>2170739509</v>
      </c>
      <c r="F1211" s="4" t="s">
        <v>17</v>
      </c>
      <c r="G1211" s="4" t="s">
        <v>18</v>
      </c>
      <c r="H1211" s="4" t="s">
        <v>85</v>
      </c>
      <c r="I1211" s="4" t="s">
        <v>207</v>
      </c>
      <c r="J1211" s="4" t="s">
        <v>1231</v>
      </c>
      <c r="K1211" s="4" t="s">
        <v>1189</v>
      </c>
      <c r="L1211" s="5">
        <v>0.62986111111111109</v>
      </c>
      <c r="M1211" s="4" t="s">
        <v>1353</v>
      </c>
      <c r="N1211" s="6" t="s">
        <v>23</v>
      </c>
      <c r="O1211" s="4" t="s">
        <v>24</v>
      </c>
    </row>
    <row r="1212" spans="1:15" x14ac:dyDescent="0.25">
      <c r="A1212" s="4" t="s">
        <v>15</v>
      </c>
      <c r="B1212" s="4" t="str">
        <f>"FES1162750673"</f>
        <v>FES1162750673</v>
      </c>
      <c r="C1212" s="4" t="s">
        <v>1015</v>
      </c>
      <c r="D1212" s="4">
        <v>1</v>
      </c>
      <c r="E1212" s="4" t="str">
        <f>"2170740783"</f>
        <v>2170740783</v>
      </c>
      <c r="F1212" s="4" t="s">
        <v>17</v>
      </c>
      <c r="G1212" s="4" t="s">
        <v>18</v>
      </c>
      <c r="H1212" s="4" t="s">
        <v>85</v>
      </c>
      <c r="I1212" s="4" t="s">
        <v>362</v>
      </c>
      <c r="J1212" s="4" t="s">
        <v>363</v>
      </c>
      <c r="K1212" s="4" t="s">
        <v>1189</v>
      </c>
      <c r="L1212" s="5">
        <v>0.47638888888888892</v>
      </c>
      <c r="M1212" s="4" t="s">
        <v>1275</v>
      </c>
      <c r="N1212" s="6" t="s">
        <v>23</v>
      </c>
      <c r="O1212" s="4" t="s">
        <v>24</v>
      </c>
    </row>
    <row r="1213" spans="1:15" x14ac:dyDescent="0.25">
      <c r="A1213" s="4" t="s">
        <v>15</v>
      </c>
      <c r="B1213" s="4" t="str">
        <f>"FES1162750452"</f>
        <v>FES1162750452</v>
      </c>
      <c r="C1213" s="4" t="s">
        <v>1015</v>
      </c>
      <c r="D1213" s="4">
        <v>2</v>
      </c>
      <c r="E1213" s="4" t="str">
        <f>"2170736838"</f>
        <v>2170736838</v>
      </c>
      <c r="F1213" s="4" t="s">
        <v>1162</v>
      </c>
      <c r="G1213" s="4" t="s">
        <v>1163</v>
      </c>
      <c r="H1213" s="4" t="s">
        <v>1163</v>
      </c>
      <c r="I1213" s="4" t="s">
        <v>307</v>
      </c>
      <c r="J1213" s="4" t="s">
        <v>1232</v>
      </c>
      <c r="K1213" s="4" t="s">
        <v>1189</v>
      </c>
      <c r="L1213" s="5">
        <v>0.33333333333333331</v>
      </c>
      <c r="M1213" s="4" t="s">
        <v>466</v>
      </c>
      <c r="N1213" s="6" t="s">
        <v>23</v>
      </c>
      <c r="O1213" s="4" t="s">
        <v>24</v>
      </c>
    </row>
    <row r="1214" spans="1:15" x14ac:dyDescent="0.25">
      <c r="A1214" s="4" t="s">
        <v>15</v>
      </c>
      <c r="B1214" s="4" t="str">
        <f>"FES1162750690"</f>
        <v>FES1162750690</v>
      </c>
      <c r="C1214" s="4" t="s">
        <v>1015</v>
      </c>
      <c r="D1214" s="4">
        <v>1</v>
      </c>
      <c r="E1214" s="4" t="str">
        <f>"2170740802"</f>
        <v>2170740802</v>
      </c>
      <c r="F1214" s="4" t="s">
        <v>17</v>
      </c>
      <c r="G1214" s="4" t="s">
        <v>18</v>
      </c>
      <c r="H1214" s="4" t="s">
        <v>326</v>
      </c>
      <c r="I1214" s="4" t="s">
        <v>327</v>
      </c>
      <c r="J1214" s="4" t="s">
        <v>1233</v>
      </c>
      <c r="K1214" s="4" t="s">
        <v>1189</v>
      </c>
      <c r="L1214" s="5">
        <v>0.59583333333333333</v>
      </c>
      <c r="M1214" s="4" t="s">
        <v>944</v>
      </c>
      <c r="N1214" s="6" t="s">
        <v>23</v>
      </c>
      <c r="O1214" s="4" t="s">
        <v>24</v>
      </c>
    </row>
    <row r="1215" spans="1:15" x14ac:dyDescent="0.25">
      <c r="A1215" s="4" t="s">
        <v>15</v>
      </c>
      <c r="B1215" s="4" t="str">
        <f>"FES1162750567"</f>
        <v>FES1162750567</v>
      </c>
      <c r="C1215" s="4" t="s">
        <v>1015</v>
      </c>
      <c r="D1215" s="4">
        <v>1</v>
      </c>
      <c r="E1215" s="4" t="str">
        <f>"2170739583"</f>
        <v>2170739583</v>
      </c>
      <c r="F1215" s="4" t="s">
        <v>17</v>
      </c>
      <c r="G1215" s="4" t="s">
        <v>18</v>
      </c>
      <c r="H1215" s="4" t="s">
        <v>85</v>
      </c>
      <c r="I1215" s="4" t="s">
        <v>207</v>
      </c>
      <c r="J1215" s="4" t="s">
        <v>1234</v>
      </c>
      <c r="K1215" s="4" t="s">
        <v>1189</v>
      </c>
      <c r="L1215" s="5">
        <v>0.47638888888888892</v>
      </c>
      <c r="M1215" s="4" t="s">
        <v>510</v>
      </c>
      <c r="N1215" s="6" t="s">
        <v>23</v>
      </c>
      <c r="O1215" s="4" t="s">
        <v>24</v>
      </c>
    </row>
    <row r="1216" spans="1:15" x14ac:dyDescent="0.25">
      <c r="A1216" s="4" t="s">
        <v>15</v>
      </c>
      <c r="B1216" s="4" t="str">
        <f>"FES1162750386"</f>
        <v>FES1162750386</v>
      </c>
      <c r="C1216" s="4" t="s">
        <v>1015</v>
      </c>
      <c r="D1216" s="4">
        <v>1</v>
      </c>
      <c r="E1216" s="4" t="str">
        <f>"2170738290"</f>
        <v>2170738290</v>
      </c>
      <c r="F1216" s="4" t="s">
        <v>17</v>
      </c>
      <c r="G1216" s="4" t="s">
        <v>18</v>
      </c>
      <c r="H1216" s="4" t="s">
        <v>40</v>
      </c>
      <c r="I1216" s="4" t="s">
        <v>870</v>
      </c>
      <c r="J1216" s="4" t="s">
        <v>869</v>
      </c>
      <c r="K1216" s="4" t="s">
        <v>1189</v>
      </c>
      <c r="L1216" s="5">
        <v>0.47638888888888892</v>
      </c>
      <c r="M1216" s="4" t="s">
        <v>1415</v>
      </c>
      <c r="N1216" s="6" t="s">
        <v>23</v>
      </c>
      <c r="O1216" s="4" t="s">
        <v>24</v>
      </c>
    </row>
    <row r="1217" spans="1:15" x14ac:dyDescent="0.25">
      <c r="A1217" s="4" t="s">
        <v>15</v>
      </c>
      <c r="B1217" s="4" t="str">
        <f>"FES1162750513"</f>
        <v>FES1162750513</v>
      </c>
      <c r="C1217" s="4" t="s">
        <v>1015</v>
      </c>
      <c r="D1217" s="4">
        <v>1</v>
      </c>
      <c r="E1217" s="4" t="str">
        <f>"2170739140"</f>
        <v>2170739140</v>
      </c>
      <c r="F1217" s="4" t="s">
        <v>17</v>
      </c>
      <c r="G1217" s="4" t="s">
        <v>18</v>
      </c>
      <c r="H1217" s="4" t="s">
        <v>32</v>
      </c>
      <c r="I1217" s="4" t="s">
        <v>33</v>
      </c>
      <c r="J1217" s="4" t="s">
        <v>567</v>
      </c>
      <c r="K1217" s="4" t="s">
        <v>1189</v>
      </c>
      <c r="L1217" s="5">
        <v>0.41666666666666669</v>
      </c>
      <c r="M1217" s="4" t="s">
        <v>1354</v>
      </c>
      <c r="N1217" s="6" t="s">
        <v>23</v>
      </c>
      <c r="O1217" s="4" t="s">
        <v>24</v>
      </c>
    </row>
    <row r="1218" spans="1:15" x14ac:dyDescent="0.25">
      <c r="A1218" s="4" t="s">
        <v>15</v>
      </c>
      <c r="B1218" s="4" t="str">
        <f>"FES1162750412"</f>
        <v>FES1162750412</v>
      </c>
      <c r="C1218" s="4" t="s">
        <v>1015</v>
      </c>
      <c r="D1218" s="4">
        <v>1</v>
      </c>
      <c r="E1218" s="4" t="str">
        <f>"2170740459"</f>
        <v>2170740459</v>
      </c>
      <c r="F1218" s="4" t="s">
        <v>17</v>
      </c>
      <c r="G1218" s="4" t="s">
        <v>18</v>
      </c>
      <c r="H1218" s="4" t="s">
        <v>32</v>
      </c>
      <c r="I1218" s="4" t="s">
        <v>33</v>
      </c>
      <c r="J1218" s="4" t="s">
        <v>1203</v>
      </c>
      <c r="K1218" s="4" t="s">
        <v>1189</v>
      </c>
      <c r="L1218" s="5">
        <v>0.35416666666666669</v>
      </c>
      <c r="M1218" s="4" t="s">
        <v>1342</v>
      </c>
      <c r="N1218" s="6" t="s">
        <v>23</v>
      </c>
      <c r="O1218" s="4" t="s">
        <v>24</v>
      </c>
    </row>
    <row r="1219" spans="1:15" x14ac:dyDescent="0.25">
      <c r="A1219" s="4" t="s">
        <v>15</v>
      </c>
      <c r="B1219" s="4" t="str">
        <f>"FES1162750684"</f>
        <v>FES1162750684</v>
      </c>
      <c r="C1219" s="4" t="s">
        <v>1015</v>
      </c>
      <c r="D1219" s="4">
        <v>1</v>
      </c>
      <c r="E1219" s="4" t="str">
        <f>"2170740793"</f>
        <v>2170740793</v>
      </c>
      <c r="F1219" s="4" t="s">
        <v>1162</v>
      </c>
      <c r="G1219" s="4" t="s">
        <v>1163</v>
      </c>
      <c r="H1219" s="4" t="s">
        <v>48</v>
      </c>
      <c r="I1219" s="4" t="s">
        <v>110</v>
      </c>
      <c r="J1219" s="4" t="s">
        <v>1235</v>
      </c>
      <c r="K1219" s="4" t="s">
        <v>1189</v>
      </c>
      <c r="L1219" s="5">
        <v>0.35416666666666669</v>
      </c>
      <c r="M1219" s="4" t="s">
        <v>1414</v>
      </c>
      <c r="N1219" s="6" t="s">
        <v>23</v>
      </c>
      <c r="O1219" s="4" t="s">
        <v>166</v>
      </c>
    </row>
    <row r="1220" spans="1:15" x14ac:dyDescent="0.25">
      <c r="A1220" s="4" t="s">
        <v>15</v>
      </c>
      <c r="B1220" s="4" t="str">
        <f>"FES1162750514"</f>
        <v>FES1162750514</v>
      </c>
      <c r="C1220" s="4" t="s">
        <v>1015</v>
      </c>
      <c r="D1220" s="4">
        <v>1</v>
      </c>
      <c r="E1220" s="4" t="str">
        <f>"2170739150"</f>
        <v>2170739150</v>
      </c>
      <c r="F1220" s="4" t="s">
        <v>17</v>
      </c>
      <c r="G1220" s="4" t="s">
        <v>18</v>
      </c>
      <c r="H1220" s="4" t="s">
        <v>32</v>
      </c>
      <c r="I1220" s="4" t="s">
        <v>33</v>
      </c>
      <c r="J1220" s="4" t="s">
        <v>317</v>
      </c>
      <c r="K1220" s="4" t="s">
        <v>1189</v>
      </c>
      <c r="L1220" s="5">
        <v>0.40069444444444446</v>
      </c>
      <c r="M1220" s="4" t="s">
        <v>474</v>
      </c>
      <c r="N1220" s="6" t="s">
        <v>23</v>
      </c>
      <c r="O1220" s="4" t="s">
        <v>24</v>
      </c>
    </row>
    <row r="1221" spans="1:15" x14ac:dyDescent="0.25">
      <c r="A1221" s="15" t="s">
        <v>15</v>
      </c>
      <c r="B1221" s="15" t="str">
        <f>"FES1162750614"</f>
        <v>FES1162750614</v>
      </c>
      <c r="C1221" s="15" t="s">
        <v>1015</v>
      </c>
      <c r="D1221" s="15">
        <v>2</v>
      </c>
      <c r="E1221" s="15" t="str">
        <f>"2170732991"</f>
        <v>2170732991</v>
      </c>
      <c r="F1221" s="15" t="s">
        <v>17</v>
      </c>
      <c r="G1221" s="15" t="s">
        <v>18</v>
      </c>
      <c r="H1221" s="15" t="s">
        <v>52</v>
      </c>
      <c r="I1221" s="15" t="s">
        <v>1236</v>
      </c>
      <c r="J1221" s="15" t="s">
        <v>1237</v>
      </c>
      <c r="K1221" s="15" t="s">
        <v>43</v>
      </c>
      <c r="L1221" s="15"/>
      <c r="M1221" s="15" t="s">
        <v>44</v>
      </c>
      <c r="N1221" s="15" t="s">
        <v>419</v>
      </c>
      <c r="O1221" s="15" t="s">
        <v>24</v>
      </c>
    </row>
    <row r="1222" spans="1:15" x14ac:dyDescent="0.25">
      <c r="A1222" s="4" t="s">
        <v>15</v>
      </c>
      <c r="B1222" s="4" t="str">
        <f>"FES1162750516"</f>
        <v>FES1162750516</v>
      </c>
      <c r="C1222" s="4" t="s">
        <v>1015</v>
      </c>
      <c r="D1222" s="4">
        <v>1</v>
      </c>
      <c r="E1222" s="4" t="str">
        <f>"2170739160"</f>
        <v>2170739160</v>
      </c>
      <c r="F1222" s="4" t="s">
        <v>17</v>
      </c>
      <c r="G1222" s="4" t="s">
        <v>18</v>
      </c>
      <c r="H1222" s="4" t="s">
        <v>32</v>
      </c>
      <c r="I1222" s="4" t="s">
        <v>33</v>
      </c>
      <c r="J1222" s="4" t="s">
        <v>317</v>
      </c>
      <c r="K1222" s="4" t="s">
        <v>1189</v>
      </c>
      <c r="L1222" s="5">
        <v>0.33333333333333331</v>
      </c>
      <c r="M1222" s="4" t="s">
        <v>1413</v>
      </c>
      <c r="N1222" s="4" t="s">
        <v>23</v>
      </c>
      <c r="O1222" s="4" t="s">
        <v>24</v>
      </c>
    </row>
    <row r="1223" spans="1:15" x14ac:dyDescent="0.25">
      <c r="A1223" s="4" t="s">
        <v>15</v>
      </c>
      <c r="B1223" s="4" t="str">
        <f>"FES1162750711"</f>
        <v>FES1162750711</v>
      </c>
      <c r="C1223" s="4" t="s">
        <v>1015</v>
      </c>
      <c r="D1223" s="4">
        <v>1</v>
      </c>
      <c r="E1223" s="4" t="str">
        <f>"2170740823"</f>
        <v>2170740823</v>
      </c>
      <c r="F1223" s="4" t="s">
        <v>17</v>
      </c>
      <c r="G1223" s="4" t="s">
        <v>18</v>
      </c>
      <c r="H1223" s="4" t="s">
        <v>25</v>
      </c>
      <c r="I1223" s="4" t="s">
        <v>92</v>
      </c>
      <c r="J1223" s="4" t="s">
        <v>93</v>
      </c>
      <c r="K1223" s="4" t="s">
        <v>1189</v>
      </c>
      <c r="L1223" s="5">
        <v>0.34027777777777773</v>
      </c>
      <c r="M1223" s="4" t="s">
        <v>496</v>
      </c>
      <c r="N1223" s="6" t="s">
        <v>23</v>
      </c>
      <c r="O1223" s="4" t="s">
        <v>24</v>
      </c>
    </row>
    <row r="1224" spans="1:15" x14ac:dyDescent="0.25">
      <c r="A1224" s="4" t="s">
        <v>15</v>
      </c>
      <c r="B1224" s="4" t="str">
        <f>"FES1162750548"</f>
        <v>FES1162750548</v>
      </c>
      <c r="C1224" s="4" t="s">
        <v>1015</v>
      </c>
      <c r="D1224" s="4">
        <v>1</v>
      </c>
      <c r="E1224" s="4" t="str">
        <f>"2170739439"</f>
        <v>2170739439</v>
      </c>
      <c r="F1224" s="4" t="s">
        <v>17</v>
      </c>
      <c r="G1224" s="4" t="s">
        <v>18</v>
      </c>
      <c r="H1224" s="4" t="s">
        <v>18</v>
      </c>
      <c r="I1224" s="4" t="s">
        <v>68</v>
      </c>
      <c r="J1224" s="4" t="s">
        <v>1238</v>
      </c>
      <c r="K1224" s="4" t="s">
        <v>1189</v>
      </c>
      <c r="L1224" s="5">
        <v>0.40972222222222227</v>
      </c>
      <c r="M1224" s="4" t="s">
        <v>1355</v>
      </c>
      <c r="N1224" s="6" t="s">
        <v>23</v>
      </c>
      <c r="O1224" s="4" t="s">
        <v>24</v>
      </c>
    </row>
    <row r="1225" spans="1:15" x14ac:dyDescent="0.25">
      <c r="A1225" s="4" t="s">
        <v>15</v>
      </c>
      <c r="B1225" s="4" t="str">
        <f>"FES1162750537"</f>
        <v>FES1162750537</v>
      </c>
      <c r="C1225" s="4" t="s">
        <v>1015</v>
      </c>
      <c r="D1225" s="4">
        <v>1</v>
      </c>
      <c r="E1225" s="4" t="str">
        <f>"2170739367"</f>
        <v>2170739367</v>
      </c>
      <c r="F1225" s="4" t="s">
        <v>17</v>
      </c>
      <c r="G1225" s="4" t="s">
        <v>18</v>
      </c>
      <c r="H1225" s="4" t="s">
        <v>18</v>
      </c>
      <c r="I1225" s="4" t="s">
        <v>29</v>
      </c>
      <c r="J1225" s="4" t="s">
        <v>299</v>
      </c>
      <c r="K1225" s="4" t="s">
        <v>1189</v>
      </c>
      <c r="L1225" s="5">
        <v>0.30555555555555552</v>
      </c>
      <c r="M1225" s="4" t="s">
        <v>1356</v>
      </c>
      <c r="N1225" s="6" t="s">
        <v>23</v>
      </c>
      <c r="O1225" s="4" t="s">
        <v>24</v>
      </c>
    </row>
    <row r="1226" spans="1:15" x14ac:dyDescent="0.25">
      <c r="A1226" s="4" t="s">
        <v>15</v>
      </c>
      <c r="B1226" s="4" t="str">
        <f>"FES1162750630"</f>
        <v>FES1162750630</v>
      </c>
      <c r="C1226" s="4" t="s">
        <v>1015</v>
      </c>
      <c r="D1226" s="4">
        <v>1</v>
      </c>
      <c r="E1226" s="4" t="str">
        <f>"2170740752"</f>
        <v>2170740752</v>
      </c>
      <c r="F1226" s="4" t="s">
        <v>17</v>
      </c>
      <c r="G1226" s="4" t="s">
        <v>18</v>
      </c>
      <c r="H1226" s="4" t="s">
        <v>36</v>
      </c>
      <c r="I1226" s="4" t="s">
        <v>842</v>
      </c>
      <c r="J1226" s="4" t="s">
        <v>1197</v>
      </c>
      <c r="K1226" s="4" t="s">
        <v>1189</v>
      </c>
      <c r="L1226" s="5">
        <v>0.39027777777777778</v>
      </c>
      <c r="M1226" s="4" t="s">
        <v>1033</v>
      </c>
      <c r="N1226" s="6" t="s">
        <v>23</v>
      </c>
      <c r="O1226" s="4" t="s">
        <v>24</v>
      </c>
    </row>
    <row r="1227" spans="1:15" x14ac:dyDescent="0.25">
      <c r="A1227" s="4" t="s">
        <v>15</v>
      </c>
      <c r="B1227" s="4" t="str">
        <f>"FES1162750718"</f>
        <v>FES1162750718</v>
      </c>
      <c r="C1227" s="4" t="s">
        <v>1015</v>
      </c>
      <c r="D1227" s="4">
        <v>1</v>
      </c>
      <c r="E1227" s="4" t="str">
        <f>"2170740835"</f>
        <v>2170740835</v>
      </c>
      <c r="F1227" s="4" t="s">
        <v>17</v>
      </c>
      <c r="G1227" s="4" t="s">
        <v>18</v>
      </c>
      <c r="H1227" s="4" t="s">
        <v>32</v>
      </c>
      <c r="I1227" s="4" t="s">
        <v>33</v>
      </c>
      <c r="J1227" s="4" t="s">
        <v>1239</v>
      </c>
      <c r="K1227" s="4" t="s">
        <v>1189</v>
      </c>
      <c r="L1227" s="5">
        <v>0.40972222222222227</v>
      </c>
      <c r="M1227" s="4" t="s">
        <v>170</v>
      </c>
      <c r="N1227" s="6" t="s">
        <v>23</v>
      </c>
      <c r="O1227" s="4" t="s">
        <v>24</v>
      </c>
    </row>
    <row r="1228" spans="1:15" x14ac:dyDescent="0.25">
      <c r="A1228" s="4" t="s">
        <v>15</v>
      </c>
      <c r="B1228" s="4" t="str">
        <f>"FES1162750663"</f>
        <v>FES1162750663</v>
      </c>
      <c r="C1228" s="4" t="s">
        <v>1015</v>
      </c>
      <c r="D1228" s="4">
        <v>1</v>
      </c>
      <c r="E1228" s="4" t="str">
        <f>"2170737088"</f>
        <v>2170737088</v>
      </c>
      <c r="F1228" s="4" t="s">
        <v>17</v>
      </c>
      <c r="G1228" s="4" t="s">
        <v>18</v>
      </c>
      <c r="H1228" s="4" t="s">
        <v>32</v>
      </c>
      <c r="I1228" s="4" t="s">
        <v>33</v>
      </c>
      <c r="J1228" s="4" t="s">
        <v>1240</v>
      </c>
      <c r="K1228" s="4" t="s">
        <v>1189</v>
      </c>
      <c r="L1228" s="5">
        <v>0.40069444444444446</v>
      </c>
      <c r="M1228" s="4" t="s">
        <v>1357</v>
      </c>
      <c r="N1228" s="6" t="s">
        <v>23</v>
      </c>
      <c r="O1228" s="4" t="s">
        <v>24</v>
      </c>
    </row>
    <row r="1229" spans="1:15" x14ac:dyDescent="0.25">
      <c r="A1229" s="4" t="s">
        <v>15</v>
      </c>
      <c r="B1229" s="4" t="str">
        <f>"FES1162750693"</f>
        <v>FES1162750693</v>
      </c>
      <c r="C1229" s="4" t="s">
        <v>1015</v>
      </c>
      <c r="D1229" s="4">
        <v>1</v>
      </c>
      <c r="E1229" s="4" t="str">
        <f>"2170740532"</f>
        <v>2170740532</v>
      </c>
      <c r="F1229" s="4" t="s">
        <v>17</v>
      </c>
      <c r="G1229" s="4" t="s">
        <v>18</v>
      </c>
      <c r="H1229" s="4" t="s">
        <v>85</v>
      </c>
      <c r="I1229" s="4" t="s">
        <v>144</v>
      </c>
      <c r="J1229" s="4" t="s">
        <v>255</v>
      </c>
      <c r="K1229" s="4" t="s">
        <v>1189</v>
      </c>
      <c r="L1229" s="5">
        <v>0.53194444444444444</v>
      </c>
      <c r="M1229" s="4" t="s">
        <v>1297</v>
      </c>
      <c r="N1229" s="6" t="s">
        <v>23</v>
      </c>
      <c r="O1229" s="4" t="s">
        <v>24</v>
      </c>
    </row>
    <row r="1230" spans="1:15" x14ac:dyDescent="0.25">
      <c r="A1230" s="4" t="s">
        <v>15</v>
      </c>
      <c r="B1230" s="4" t="str">
        <f>"FES1162750703"</f>
        <v>FES1162750703</v>
      </c>
      <c r="C1230" s="4" t="s">
        <v>1015</v>
      </c>
      <c r="D1230" s="4">
        <v>1</v>
      </c>
      <c r="E1230" s="4" t="str">
        <f>"2170740813"</f>
        <v>2170740813</v>
      </c>
      <c r="F1230" s="4" t="s">
        <v>17</v>
      </c>
      <c r="G1230" s="4" t="s">
        <v>18</v>
      </c>
      <c r="H1230" s="4" t="s">
        <v>48</v>
      </c>
      <c r="I1230" s="4" t="s">
        <v>49</v>
      </c>
      <c r="J1230" s="4" t="s">
        <v>100</v>
      </c>
      <c r="K1230" s="4" t="s">
        <v>1189</v>
      </c>
      <c r="L1230" s="5">
        <v>0.38611111111111113</v>
      </c>
      <c r="M1230" s="4" t="s">
        <v>1313</v>
      </c>
      <c r="N1230" s="6" t="s">
        <v>23</v>
      </c>
      <c r="O1230" s="4" t="s">
        <v>24</v>
      </c>
    </row>
    <row r="1231" spans="1:15" x14ac:dyDescent="0.25">
      <c r="A1231" s="4" t="s">
        <v>15</v>
      </c>
      <c r="B1231" s="4" t="str">
        <f>"FES1162750729"</f>
        <v>FES1162750729</v>
      </c>
      <c r="C1231" s="4" t="s">
        <v>1015</v>
      </c>
      <c r="D1231" s="4">
        <v>1</v>
      </c>
      <c r="E1231" s="4" t="str">
        <f>"2170740702"</f>
        <v>2170740702</v>
      </c>
      <c r="F1231" s="4" t="s">
        <v>17</v>
      </c>
      <c r="G1231" s="4" t="s">
        <v>18</v>
      </c>
      <c r="H1231" s="4" t="s">
        <v>18</v>
      </c>
      <c r="I1231" s="4" t="s">
        <v>29</v>
      </c>
      <c r="J1231" s="4" t="s">
        <v>788</v>
      </c>
      <c r="K1231" s="4" t="s">
        <v>1189</v>
      </c>
      <c r="L1231" s="5">
        <v>0.31805555555555554</v>
      </c>
      <c r="M1231" s="4" t="s">
        <v>1190</v>
      </c>
      <c r="N1231" s="6" t="s">
        <v>23</v>
      </c>
      <c r="O1231" s="4" t="s">
        <v>24</v>
      </c>
    </row>
    <row r="1232" spans="1:15" x14ac:dyDescent="0.25">
      <c r="A1232" s="4" t="s">
        <v>15</v>
      </c>
      <c r="B1232" s="4" t="str">
        <f>"FES1162750662"</f>
        <v>FES1162750662</v>
      </c>
      <c r="C1232" s="4" t="s">
        <v>1015</v>
      </c>
      <c r="D1232" s="4">
        <v>1</v>
      </c>
      <c r="E1232" s="4" t="str">
        <f>"217073650"</f>
        <v>217073650</v>
      </c>
      <c r="F1232" s="4" t="s">
        <v>17</v>
      </c>
      <c r="G1232" s="4" t="s">
        <v>18</v>
      </c>
      <c r="H1232" s="4" t="s">
        <v>18</v>
      </c>
      <c r="I1232" s="4" t="s">
        <v>126</v>
      </c>
      <c r="J1232" s="4" t="s">
        <v>1241</v>
      </c>
      <c r="K1232" s="4" t="s">
        <v>1189</v>
      </c>
      <c r="L1232" s="5">
        <v>0.31805555555555554</v>
      </c>
      <c r="M1232" s="4" t="s">
        <v>1412</v>
      </c>
      <c r="N1232" s="4" t="s">
        <v>23</v>
      </c>
      <c r="O1232" s="4" t="s">
        <v>24</v>
      </c>
    </row>
    <row r="1233" spans="1:15" x14ac:dyDescent="0.25">
      <c r="A1233" s="4" t="s">
        <v>15</v>
      </c>
      <c r="B1233" s="4" t="str">
        <f>"FES1162750732"</f>
        <v>FES1162750732</v>
      </c>
      <c r="C1233" s="4" t="s">
        <v>1015</v>
      </c>
      <c r="D1233" s="4">
        <v>1</v>
      </c>
      <c r="E1233" s="4" t="str">
        <f>"2170740836"</f>
        <v>2170740836</v>
      </c>
      <c r="F1233" s="4" t="s">
        <v>17</v>
      </c>
      <c r="G1233" s="4" t="s">
        <v>18</v>
      </c>
      <c r="H1233" s="4" t="s">
        <v>32</v>
      </c>
      <c r="I1233" s="4" t="s">
        <v>33</v>
      </c>
      <c r="J1233" s="4" t="s">
        <v>317</v>
      </c>
      <c r="K1233" s="4" t="s">
        <v>1189</v>
      </c>
      <c r="L1233" s="5">
        <v>0.40069444444444446</v>
      </c>
      <c r="M1233" s="4" t="s">
        <v>474</v>
      </c>
      <c r="N1233" s="6" t="s">
        <v>23</v>
      </c>
      <c r="O1233" s="4" t="s">
        <v>24</v>
      </c>
    </row>
    <row r="1234" spans="1:15" x14ac:dyDescent="0.25">
      <c r="A1234" s="4" t="s">
        <v>15</v>
      </c>
      <c r="B1234" s="4" t="str">
        <f>"FES1162750738"</f>
        <v>FES1162750738</v>
      </c>
      <c r="C1234" s="4" t="s">
        <v>1015</v>
      </c>
      <c r="D1234" s="4">
        <v>1</v>
      </c>
      <c r="E1234" s="4" t="str">
        <f>"2170740747"</f>
        <v>2170740747</v>
      </c>
      <c r="F1234" s="4" t="s">
        <v>17</v>
      </c>
      <c r="G1234" s="4" t="s">
        <v>18</v>
      </c>
      <c r="H1234" s="4" t="s">
        <v>18</v>
      </c>
      <c r="I1234" s="4" t="s">
        <v>19</v>
      </c>
      <c r="J1234" s="4" t="s">
        <v>20</v>
      </c>
      <c r="K1234" s="4" t="s">
        <v>1189</v>
      </c>
      <c r="L1234" s="5">
        <v>0.40486111111111112</v>
      </c>
      <c r="M1234" s="4" t="s">
        <v>128</v>
      </c>
      <c r="N1234" s="6" t="s">
        <v>23</v>
      </c>
      <c r="O1234" s="4" t="s">
        <v>24</v>
      </c>
    </row>
    <row r="1235" spans="1:15" x14ac:dyDescent="0.25">
      <c r="A1235" s="4" t="s">
        <v>15</v>
      </c>
      <c r="B1235" s="4" t="str">
        <f>"FES1162750468"</f>
        <v>FES1162750468</v>
      </c>
      <c r="C1235" s="4" t="s">
        <v>1015</v>
      </c>
      <c r="D1235" s="4">
        <v>1</v>
      </c>
      <c r="E1235" s="4" t="str">
        <f>"2170738304"</f>
        <v>2170738304</v>
      </c>
      <c r="F1235" s="4" t="s">
        <v>17</v>
      </c>
      <c r="G1235" s="4" t="s">
        <v>18</v>
      </c>
      <c r="H1235" s="4" t="s">
        <v>18</v>
      </c>
      <c r="I1235" s="4" t="s">
        <v>29</v>
      </c>
      <c r="J1235" s="4" t="s">
        <v>591</v>
      </c>
      <c r="K1235" s="4" t="s">
        <v>1189</v>
      </c>
      <c r="L1235" s="5">
        <v>0.37361111111111112</v>
      </c>
      <c r="M1235" s="4" t="s">
        <v>696</v>
      </c>
      <c r="N1235" s="6" t="s">
        <v>23</v>
      </c>
      <c r="O1235" s="4" t="s">
        <v>24</v>
      </c>
    </row>
    <row r="1236" spans="1:15" x14ac:dyDescent="0.25">
      <c r="A1236" s="4" t="s">
        <v>15</v>
      </c>
      <c r="B1236" s="4" t="str">
        <f>"FES1162750406"</f>
        <v>FES1162750406</v>
      </c>
      <c r="C1236" s="4" t="s">
        <v>1015</v>
      </c>
      <c r="D1236" s="4">
        <v>1</v>
      </c>
      <c r="E1236" s="4" t="str">
        <f>"2170739989"</f>
        <v>2170739989</v>
      </c>
      <c r="F1236" s="4" t="s">
        <v>17</v>
      </c>
      <c r="G1236" s="4" t="s">
        <v>18</v>
      </c>
      <c r="H1236" s="4" t="s">
        <v>18</v>
      </c>
      <c r="I1236" s="4" t="s">
        <v>29</v>
      </c>
      <c r="J1236" s="4" t="s">
        <v>30</v>
      </c>
      <c r="K1236" s="4" t="s">
        <v>1189</v>
      </c>
      <c r="L1236" s="5">
        <v>0.36458333333333331</v>
      </c>
      <c r="M1236" s="4" t="s">
        <v>1265</v>
      </c>
      <c r="N1236" s="6" t="s">
        <v>23</v>
      </c>
      <c r="O1236" s="4" t="s">
        <v>24</v>
      </c>
    </row>
    <row r="1237" spans="1:15" x14ac:dyDescent="0.25">
      <c r="A1237" s="4" t="s">
        <v>15</v>
      </c>
      <c r="B1237" s="4" t="str">
        <f>"FES1162750704"</f>
        <v>FES1162750704</v>
      </c>
      <c r="C1237" s="4" t="s">
        <v>1015</v>
      </c>
      <c r="D1237" s="4">
        <v>1</v>
      </c>
      <c r="E1237" s="4" t="str">
        <f>"2170740815"</f>
        <v>2170740815</v>
      </c>
      <c r="F1237" s="4" t="s">
        <v>17</v>
      </c>
      <c r="G1237" s="4" t="s">
        <v>18</v>
      </c>
      <c r="H1237" s="4" t="s">
        <v>85</v>
      </c>
      <c r="I1237" s="4" t="s">
        <v>408</v>
      </c>
      <c r="J1237" s="4" t="s">
        <v>34</v>
      </c>
      <c r="K1237" s="4" t="s">
        <v>1189</v>
      </c>
      <c r="L1237" s="5">
        <v>0.60902777777777783</v>
      </c>
      <c r="M1237" s="4" t="s">
        <v>1358</v>
      </c>
      <c r="N1237" s="6" t="s">
        <v>23</v>
      </c>
      <c r="O1237" s="4" t="s">
        <v>24</v>
      </c>
    </row>
    <row r="1238" spans="1:15" x14ac:dyDescent="0.25">
      <c r="A1238" s="11" t="s">
        <v>15</v>
      </c>
      <c r="B1238" s="11" t="str">
        <f>"FES1162750735"</f>
        <v>FES1162750735</v>
      </c>
      <c r="C1238" s="11" t="s">
        <v>1015</v>
      </c>
      <c r="D1238" s="11">
        <v>1</v>
      </c>
      <c r="E1238" s="11" t="str">
        <f>"2170738796"</f>
        <v>2170738796</v>
      </c>
      <c r="F1238" s="11" t="s">
        <v>17</v>
      </c>
      <c r="G1238" s="11" t="s">
        <v>18</v>
      </c>
      <c r="H1238" s="11" t="s">
        <v>48</v>
      </c>
      <c r="I1238" s="11" t="s">
        <v>49</v>
      </c>
      <c r="J1238" s="11" t="s">
        <v>867</v>
      </c>
      <c r="K1238" s="11" t="s">
        <v>1189</v>
      </c>
      <c r="L1238" s="12">
        <v>0.41666666666666669</v>
      </c>
      <c r="M1238" s="11" t="s">
        <v>1178</v>
      </c>
      <c r="N1238" s="13" t="s">
        <v>23</v>
      </c>
      <c r="O1238" s="11" t="s">
        <v>24</v>
      </c>
    </row>
    <row r="1239" spans="1:15" x14ac:dyDescent="0.25">
      <c r="A1239" s="11" t="s">
        <v>15</v>
      </c>
      <c r="B1239" s="11" t="str">
        <f>"FES1162750701"</f>
        <v>FES1162750701</v>
      </c>
      <c r="C1239" s="11" t="s">
        <v>1015</v>
      </c>
      <c r="D1239" s="11">
        <v>1</v>
      </c>
      <c r="E1239" s="11" t="str">
        <f>"2170740798"</f>
        <v>2170740798</v>
      </c>
      <c r="F1239" s="11" t="s">
        <v>17</v>
      </c>
      <c r="G1239" s="11" t="s">
        <v>18</v>
      </c>
      <c r="H1239" s="11" t="s">
        <v>48</v>
      </c>
      <c r="I1239" s="11" t="s">
        <v>73</v>
      </c>
      <c r="J1239" s="11" t="s">
        <v>247</v>
      </c>
      <c r="K1239" s="11" t="s">
        <v>1189</v>
      </c>
      <c r="L1239" s="12">
        <v>0.48680555555555555</v>
      </c>
      <c r="M1239" s="11" t="s">
        <v>955</v>
      </c>
      <c r="N1239" s="13" t="s">
        <v>23</v>
      </c>
      <c r="O1239" s="11" t="s">
        <v>24</v>
      </c>
    </row>
    <row r="1240" spans="1:15" x14ac:dyDescent="0.25">
      <c r="A1240" s="11" t="s">
        <v>15</v>
      </c>
      <c r="B1240" s="11" t="str">
        <f>"FES1162750714"</f>
        <v>FES1162750714</v>
      </c>
      <c r="C1240" s="11" t="s">
        <v>1015</v>
      </c>
      <c r="D1240" s="11">
        <v>1</v>
      </c>
      <c r="E1240" s="11" t="str">
        <f>"2170740826"</f>
        <v>2170740826</v>
      </c>
      <c r="F1240" s="11" t="s">
        <v>17</v>
      </c>
      <c r="G1240" s="11" t="s">
        <v>18</v>
      </c>
      <c r="H1240" s="11" t="s">
        <v>48</v>
      </c>
      <c r="I1240" s="11" t="s">
        <v>49</v>
      </c>
      <c r="J1240" s="11" t="s">
        <v>602</v>
      </c>
      <c r="K1240" s="11" t="s">
        <v>1189</v>
      </c>
      <c r="L1240" s="12">
        <v>0.41666666666666669</v>
      </c>
      <c r="M1240" s="11" t="s">
        <v>1271</v>
      </c>
      <c r="N1240" s="13" t="s">
        <v>23</v>
      </c>
      <c r="O1240" s="11" t="s">
        <v>24</v>
      </c>
    </row>
    <row r="1241" spans="1:15" x14ac:dyDescent="0.25">
      <c r="A1241" s="11" t="s">
        <v>15</v>
      </c>
      <c r="B1241" s="11" t="str">
        <f>"FES1162750712"</f>
        <v>FES1162750712</v>
      </c>
      <c r="C1241" s="11" t="s">
        <v>1015</v>
      </c>
      <c r="D1241" s="11">
        <v>1</v>
      </c>
      <c r="E1241" s="11" t="str">
        <f>"2170740824"</f>
        <v>2170740824</v>
      </c>
      <c r="F1241" s="11" t="s">
        <v>17</v>
      </c>
      <c r="G1241" s="11" t="s">
        <v>18</v>
      </c>
      <c r="H1241" s="11" t="s">
        <v>48</v>
      </c>
      <c r="I1241" s="11" t="s">
        <v>49</v>
      </c>
      <c r="J1241" s="11" t="s">
        <v>100</v>
      </c>
      <c r="K1241" s="11" t="s">
        <v>1189</v>
      </c>
      <c r="L1241" s="12">
        <v>0.38680555555555557</v>
      </c>
      <c r="M1241" s="11" t="s">
        <v>1359</v>
      </c>
      <c r="N1241" s="13" t="s">
        <v>23</v>
      </c>
      <c r="O1241" s="11" t="s">
        <v>24</v>
      </c>
    </row>
    <row r="1242" spans="1:15" x14ac:dyDescent="0.25">
      <c r="A1242" s="11" t="s">
        <v>15</v>
      </c>
      <c r="B1242" s="11" t="str">
        <f>"FES1162750697"</f>
        <v>FES1162750697</v>
      </c>
      <c r="C1242" s="11" t="s">
        <v>1015</v>
      </c>
      <c r="D1242" s="11">
        <v>1</v>
      </c>
      <c r="E1242" s="11" t="str">
        <f>"2170740809"</f>
        <v>2170740809</v>
      </c>
      <c r="F1242" s="11" t="s">
        <v>17</v>
      </c>
      <c r="G1242" s="11" t="s">
        <v>18</v>
      </c>
      <c r="H1242" s="11" t="s">
        <v>40</v>
      </c>
      <c r="I1242" s="11" t="s">
        <v>41</v>
      </c>
      <c r="J1242" s="11" t="s">
        <v>852</v>
      </c>
      <c r="K1242" s="11" t="s">
        <v>1189</v>
      </c>
      <c r="L1242" s="12">
        <v>0.38680555555555557</v>
      </c>
      <c r="M1242" s="11" t="s">
        <v>1551</v>
      </c>
      <c r="N1242" s="13" t="s">
        <v>23</v>
      </c>
      <c r="O1242" s="11" t="s">
        <v>24</v>
      </c>
    </row>
    <row r="1243" spans="1:15" x14ac:dyDescent="0.25">
      <c r="A1243" s="11" t="s">
        <v>15</v>
      </c>
      <c r="B1243" s="11" t="str">
        <f>"FES1162750692"</f>
        <v>FES1162750692</v>
      </c>
      <c r="C1243" s="11" t="s">
        <v>1015</v>
      </c>
      <c r="D1243" s="11">
        <v>1</v>
      </c>
      <c r="E1243" s="11" t="str">
        <f>"2170740472"</f>
        <v>2170740472</v>
      </c>
      <c r="F1243" s="11" t="s">
        <v>17</v>
      </c>
      <c r="G1243" s="11" t="s">
        <v>18</v>
      </c>
      <c r="H1243" s="11" t="s">
        <v>40</v>
      </c>
      <c r="I1243" s="11" t="s">
        <v>41</v>
      </c>
      <c r="J1243" s="11" t="s">
        <v>255</v>
      </c>
      <c r="K1243" s="11" t="s">
        <v>1189</v>
      </c>
      <c r="L1243" s="12">
        <v>0.375</v>
      </c>
      <c r="M1243" s="11" t="s">
        <v>1411</v>
      </c>
      <c r="N1243" s="11" t="s">
        <v>23</v>
      </c>
      <c r="O1243" s="11" t="s">
        <v>24</v>
      </c>
    </row>
    <row r="1244" spans="1:15" x14ac:dyDescent="0.25">
      <c r="A1244" s="11" t="s">
        <v>15</v>
      </c>
      <c r="B1244" s="11" t="str">
        <f>"FES1162750708"</f>
        <v>FES1162750708</v>
      </c>
      <c r="C1244" s="11" t="s">
        <v>1015</v>
      </c>
      <c r="D1244" s="11">
        <v>1</v>
      </c>
      <c r="E1244" s="11" t="str">
        <f>"2170740820"</f>
        <v>2170740820</v>
      </c>
      <c r="F1244" s="11" t="s">
        <v>17</v>
      </c>
      <c r="G1244" s="11" t="s">
        <v>18</v>
      </c>
      <c r="H1244" s="11" t="s">
        <v>48</v>
      </c>
      <c r="I1244" s="11" t="s">
        <v>49</v>
      </c>
      <c r="J1244" s="11" t="s">
        <v>252</v>
      </c>
      <c r="K1244" s="11" t="s">
        <v>1189</v>
      </c>
      <c r="L1244" s="12">
        <v>0.39652777777777781</v>
      </c>
      <c r="M1244" s="11" t="s">
        <v>1308</v>
      </c>
      <c r="N1244" s="13" t="s">
        <v>23</v>
      </c>
      <c r="O1244" s="11" t="s">
        <v>24</v>
      </c>
    </row>
    <row r="1245" spans="1:15" x14ac:dyDescent="0.25">
      <c r="A1245" s="11" t="s">
        <v>15</v>
      </c>
      <c r="B1245" s="11" t="str">
        <f>"FES1162750652"</f>
        <v>FES1162750652</v>
      </c>
      <c r="C1245" s="11" t="s">
        <v>1015</v>
      </c>
      <c r="D1245" s="11">
        <v>1</v>
      </c>
      <c r="E1245" s="11" t="str">
        <f>"2170740771"</f>
        <v>2170740771</v>
      </c>
      <c r="F1245" s="11" t="s">
        <v>17</v>
      </c>
      <c r="G1245" s="11" t="s">
        <v>18</v>
      </c>
      <c r="H1245" s="11" t="s">
        <v>18</v>
      </c>
      <c r="I1245" s="11" t="s">
        <v>1242</v>
      </c>
      <c r="J1245" s="11" t="s">
        <v>1243</v>
      </c>
      <c r="K1245" s="11" t="s">
        <v>1189</v>
      </c>
      <c r="L1245" s="12">
        <v>0.33333333333333331</v>
      </c>
      <c r="M1245" s="11" t="s">
        <v>1360</v>
      </c>
      <c r="N1245" s="13" t="s">
        <v>23</v>
      </c>
      <c r="O1245" s="11" t="s">
        <v>24</v>
      </c>
    </row>
    <row r="1246" spans="1:15" x14ac:dyDescent="0.25">
      <c r="A1246" s="11" t="s">
        <v>15</v>
      </c>
      <c r="B1246" s="11" t="str">
        <f>"FES1162750724"</f>
        <v>FES1162750724</v>
      </c>
      <c r="C1246" s="11" t="s">
        <v>1015</v>
      </c>
      <c r="D1246" s="11">
        <v>1</v>
      </c>
      <c r="E1246" s="11" t="str">
        <f>"2170740244"</f>
        <v>2170740244</v>
      </c>
      <c r="F1246" s="11" t="s">
        <v>17</v>
      </c>
      <c r="G1246" s="11" t="s">
        <v>18</v>
      </c>
      <c r="H1246" s="11" t="s">
        <v>25</v>
      </c>
      <c r="I1246" s="11" t="s">
        <v>281</v>
      </c>
      <c r="J1246" s="11" t="s">
        <v>624</v>
      </c>
      <c r="K1246" s="11" t="s">
        <v>1189</v>
      </c>
      <c r="L1246" s="12">
        <v>0.4201388888888889</v>
      </c>
      <c r="M1246" s="11" t="s">
        <v>737</v>
      </c>
      <c r="N1246" s="13" t="s">
        <v>23</v>
      </c>
      <c r="O1246" s="11" t="s">
        <v>24</v>
      </c>
    </row>
    <row r="1247" spans="1:15" x14ac:dyDescent="0.25">
      <c r="A1247" s="11" t="s">
        <v>15</v>
      </c>
      <c r="B1247" s="11" t="str">
        <f>"FES1162750717"</f>
        <v>FES1162750717</v>
      </c>
      <c r="C1247" s="11" t="s">
        <v>1015</v>
      </c>
      <c r="D1247" s="11">
        <v>1</v>
      </c>
      <c r="E1247" s="11" t="str">
        <f>"2170740833"</f>
        <v>2170740833</v>
      </c>
      <c r="F1247" s="11" t="s">
        <v>17</v>
      </c>
      <c r="G1247" s="11" t="s">
        <v>18</v>
      </c>
      <c r="H1247" s="11" t="s">
        <v>48</v>
      </c>
      <c r="I1247" s="11" t="s">
        <v>108</v>
      </c>
      <c r="J1247" s="11" t="s">
        <v>109</v>
      </c>
      <c r="K1247" s="11" t="s">
        <v>1189</v>
      </c>
      <c r="L1247" s="12">
        <v>0.53194444444444444</v>
      </c>
      <c r="M1247" s="11" t="s">
        <v>1263</v>
      </c>
      <c r="N1247" s="13" t="s">
        <v>23</v>
      </c>
      <c r="O1247" s="11" t="s">
        <v>24</v>
      </c>
    </row>
    <row r="1248" spans="1:15" x14ac:dyDescent="0.25">
      <c r="A1248" s="11" t="s">
        <v>15</v>
      </c>
      <c r="B1248" s="11" t="str">
        <f>"FES1162750725"</f>
        <v>FES1162750725</v>
      </c>
      <c r="C1248" s="11" t="s">
        <v>1015</v>
      </c>
      <c r="D1248" s="11">
        <v>1</v>
      </c>
      <c r="E1248" s="11" t="str">
        <f>"2170740248"</f>
        <v>2170740248</v>
      </c>
      <c r="F1248" s="11" t="s">
        <v>17</v>
      </c>
      <c r="G1248" s="11" t="s">
        <v>18</v>
      </c>
      <c r="H1248" s="11" t="s">
        <v>48</v>
      </c>
      <c r="I1248" s="11" t="s">
        <v>49</v>
      </c>
      <c r="J1248" s="11" t="s">
        <v>119</v>
      </c>
      <c r="K1248" s="11" t="s">
        <v>1189</v>
      </c>
      <c r="L1248" s="12">
        <v>0.46666666666666662</v>
      </c>
      <c r="M1248" s="11" t="s">
        <v>1311</v>
      </c>
      <c r="N1248" s="13" t="s">
        <v>23</v>
      </c>
      <c r="O1248" s="11" t="s">
        <v>24</v>
      </c>
    </row>
    <row r="1249" spans="1:15" x14ac:dyDescent="0.25">
      <c r="A1249" s="11" t="s">
        <v>15</v>
      </c>
      <c r="B1249" s="11" t="str">
        <f>"FES1162750661"</f>
        <v>FES1162750661</v>
      </c>
      <c r="C1249" s="11" t="s">
        <v>1015</v>
      </c>
      <c r="D1249" s="11">
        <v>1</v>
      </c>
      <c r="E1249" s="11" t="str">
        <f>"2170740782"</f>
        <v>2170740782</v>
      </c>
      <c r="F1249" s="11" t="s">
        <v>17</v>
      </c>
      <c r="G1249" s="11" t="s">
        <v>18</v>
      </c>
      <c r="H1249" s="11" t="s">
        <v>18</v>
      </c>
      <c r="I1249" s="11" t="s">
        <v>147</v>
      </c>
      <c r="J1249" s="11" t="s">
        <v>1244</v>
      </c>
      <c r="K1249" s="11" t="s">
        <v>1189</v>
      </c>
      <c r="L1249" s="12">
        <v>0.33333333333333331</v>
      </c>
      <c r="M1249" s="11" t="s">
        <v>1361</v>
      </c>
      <c r="N1249" s="13" t="s">
        <v>23</v>
      </c>
      <c r="O1249" s="11" t="s">
        <v>24</v>
      </c>
    </row>
    <row r="1250" spans="1:15" x14ac:dyDescent="0.25">
      <c r="A1250" s="4" t="s">
        <v>15</v>
      </c>
      <c r="B1250" s="4" t="str">
        <f>"FES1162750706"</f>
        <v>FES1162750706</v>
      </c>
      <c r="C1250" s="4" t="s">
        <v>1015</v>
      </c>
      <c r="D1250" s="4">
        <v>1</v>
      </c>
      <c r="E1250" s="4" t="str">
        <f>"2170740817"</f>
        <v>2170740817</v>
      </c>
      <c r="F1250" s="4" t="s">
        <v>17</v>
      </c>
      <c r="G1250" s="4" t="s">
        <v>18</v>
      </c>
      <c r="H1250" s="4" t="s">
        <v>18</v>
      </c>
      <c r="I1250" s="4" t="s">
        <v>183</v>
      </c>
      <c r="J1250" s="4" t="s">
        <v>184</v>
      </c>
      <c r="K1250" s="4" t="s">
        <v>1189</v>
      </c>
      <c r="L1250" s="5">
        <v>0.3833333333333333</v>
      </c>
      <c r="M1250" s="4" t="s">
        <v>185</v>
      </c>
      <c r="N1250" s="6" t="s">
        <v>23</v>
      </c>
      <c r="O1250" s="4" t="s">
        <v>24</v>
      </c>
    </row>
    <row r="1251" spans="1:15" x14ac:dyDescent="0.25">
      <c r="A1251" s="4" t="s">
        <v>15</v>
      </c>
      <c r="B1251" s="4" t="str">
        <f>"FES1162750685"</f>
        <v>FES1162750685</v>
      </c>
      <c r="C1251" s="4" t="s">
        <v>1015</v>
      </c>
      <c r="D1251" s="4">
        <v>1</v>
      </c>
      <c r="E1251" s="4" t="str">
        <f>"2170740974"</f>
        <v>2170740974</v>
      </c>
      <c r="F1251" s="4" t="s">
        <v>17</v>
      </c>
      <c r="G1251" s="4" t="s">
        <v>18</v>
      </c>
      <c r="H1251" s="4" t="s">
        <v>18</v>
      </c>
      <c r="I1251" s="4" t="s">
        <v>45</v>
      </c>
      <c r="J1251" s="4" t="s">
        <v>1245</v>
      </c>
      <c r="K1251" s="4" t="s">
        <v>1189</v>
      </c>
      <c r="L1251" s="5">
        <v>0.4375</v>
      </c>
      <c r="M1251" s="4" t="s">
        <v>1362</v>
      </c>
      <c r="N1251" s="6" t="s">
        <v>23</v>
      </c>
      <c r="O1251" s="4" t="s">
        <v>24</v>
      </c>
    </row>
    <row r="1252" spans="1:15" x14ac:dyDescent="0.25">
      <c r="A1252" s="4" t="s">
        <v>15</v>
      </c>
      <c r="B1252" s="4" t="str">
        <f>"FES1162750710"</f>
        <v>FES1162750710</v>
      </c>
      <c r="C1252" s="4" t="s">
        <v>1015</v>
      </c>
      <c r="D1252" s="4">
        <v>1</v>
      </c>
      <c r="E1252" s="4" t="str">
        <f>"2170740828"</f>
        <v>2170740828</v>
      </c>
      <c r="F1252" s="4" t="s">
        <v>17</v>
      </c>
      <c r="G1252" s="4" t="s">
        <v>18</v>
      </c>
      <c r="H1252" s="4" t="s">
        <v>48</v>
      </c>
      <c r="I1252" s="4" t="s">
        <v>49</v>
      </c>
      <c r="J1252" s="4" t="s">
        <v>1246</v>
      </c>
      <c r="K1252" s="4" t="s">
        <v>1189</v>
      </c>
      <c r="L1252" s="5">
        <v>0.36805555555555558</v>
      </c>
      <c r="M1252" s="4" t="s">
        <v>485</v>
      </c>
      <c r="N1252" s="6" t="s">
        <v>23</v>
      </c>
      <c r="O1252" s="4" t="s">
        <v>24</v>
      </c>
    </row>
    <row r="1253" spans="1:15" x14ac:dyDescent="0.25">
      <c r="A1253" s="4" t="s">
        <v>15</v>
      </c>
      <c r="B1253" s="4" t="str">
        <f>"FES1162750660"</f>
        <v>FES1162750660</v>
      </c>
      <c r="C1253" s="4" t="s">
        <v>1015</v>
      </c>
      <c r="D1253" s="4">
        <v>1</v>
      </c>
      <c r="E1253" s="4" t="str">
        <f>"2170740781"</f>
        <v>2170740781</v>
      </c>
      <c r="F1253" s="4" t="s">
        <v>17</v>
      </c>
      <c r="G1253" s="4" t="s">
        <v>18</v>
      </c>
      <c r="H1253" s="4" t="s">
        <v>18</v>
      </c>
      <c r="I1253" s="4" t="s">
        <v>147</v>
      </c>
      <c r="J1253" s="4" t="s">
        <v>1244</v>
      </c>
      <c r="K1253" s="4" t="s">
        <v>1189</v>
      </c>
      <c r="L1253" s="5">
        <v>0.33333333333333331</v>
      </c>
      <c r="M1253" s="4" t="s">
        <v>1361</v>
      </c>
      <c r="N1253" s="6" t="s">
        <v>23</v>
      </c>
      <c r="O1253" s="4" t="s">
        <v>24</v>
      </c>
    </row>
    <row r="1254" spans="1:15" x14ac:dyDescent="0.25">
      <c r="A1254" s="4" t="s">
        <v>15</v>
      </c>
      <c r="B1254" s="4" t="str">
        <f>"FES1162750709"</f>
        <v>FES1162750709</v>
      </c>
      <c r="C1254" s="4" t="s">
        <v>1015</v>
      </c>
      <c r="D1254" s="4">
        <v>1</v>
      </c>
      <c r="E1254" s="4" t="str">
        <f>"2170740821"</f>
        <v>2170740821</v>
      </c>
      <c r="F1254" s="4" t="s">
        <v>17</v>
      </c>
      <c r="G1254" s="4" t="s">
        <v>18</v>
      </c>
      <c r="H1254" s="4" t="s">
        <v>85</v>
      </c>
      <c r="I1254" s="4" t="s">
        <v>207</v>
      </c>
      <c r="J1254" s="4" t="s">
        <v>1230</v>
      </c>
      <c r="K1254" s="4" t="s">
        <v>1189</v>
      </c>
      <c r="L1254" s="5">
        <v>0.4604166666666667</v>
      </c>
      <c r="M1254" s="4" t="s">
        <v>1363</v>
      </c>
      <c r="N1254" s="6" t="s">
        <v>23</v>
      </c>
      <c r="O1254" s="4" t="s">
        <v>24</v>
      </c>
    </row>
    <row r="1255" spans="1:15" x14ac:dyDescent="0.25">
      <c r="A1255" s="4" t="s">
        <v>15</v>
      </c>
      <c r="B1255" s="4" t="str">
        <f>"FES1162750672"</f>
        <v>FES1162750672</v>
      </c>
      <c r="C1255" s="4" t="s">
        <v>1015</v>
      </c>
      <c r="D1255" s="4">
        <v>1</v>
      </c>
      <c r="E1255" s="4" t="str">
        <f>"2170740667"</f>
        <v>2170740667</v>
      </c>
      <c r="F1255" s="4" t="s">
        <v>17</v>
      </c>
      <c r="G1255" s="4" t="s">
        <v>18</v>
      </c>
      <c r="H1255" s="4" t="s">
        <v>18</v>
      </c>
      <c r="I1255" s="4" t="s">
        <v>97</v>
      </c>
      <c r="J1255" s="4" t="s">
        <v>313</v>
      </c>
      <c r="K1255" s="4" t="s">
        <v>1189</v>
      </c>
      <c r="L1255" s="5">
        <v>0.26666666666666666</v>
      </c>
      <c r="M1255" s="4" t="s">
        <v>1329</v>
      </c>
      <c r="N1255" s="6" t="s">
        <v>23</v>
      </c>
      <c r="O1255" s="4" t="s">
        <v>24</v>
      </c>
    </row>
    <row r="1256" spans="1:15" x14ac:dyDescent="0.25">
      <c r="A1256" s="4" t="s">
        <v>15</v>
      </c>
      <c r="B1256" s="4" t="str">
        <f>"FES1162750721"</f>
        <v>FES1162750721</v>
      </c>
      <c r="C1256" s="4" t="s">
        <v>1015</v>
      </c>
      <c r="D1256" s="4">
        <v>1</v>
      </c>
      <c r="E1256" s="4" t="str">
        <f>"2170739903"</f>
        <v>2170739903</v>
      </c>
      <c r="F1256" s="4" t="s">
        <v>17</v>
      </c>
      <c r="G1256" s="4" t="s">
        <v>18</v>
      </c>
      <c r="H1256" s="4" t="s">
        <v>48</v>
      </c>
      <c r="I1256" s="4" t="s">
        <v>390</v>
      </c>
      <c r="J1256" s="4" t="s">
        <v>391</v>
      </c>
      <c r="K1256" s="4" t="s">
        <v>1189</v>
      </c>
      <c r="L1256" s="5">
        <v>0.43541666666666662</v>
      </c>
      <c r="M1256" s="4" t="s">
        <v>1364</v>
      </c>
      <c r="N1256" s="6" t="s">
        <v>23</v>
      </c>
      <c r="O1256" s="4" t="s">
        <v>24</v>
      </c>
    </row>
    <row r="1257" spans="1:15" x14ac:dyDescent="0.25">
      <c r="A1257" s="4" t="s">
        <v>15</v>
      </c>
      <c r="B1257" s="4" t="str">
        <f>"FES1162750636"</f>
        <v>FES1162750636</v>
      </c>
      <c r="C1257" s="4" t="s">
        <v>1015</v>
      </c>
      <c r="D1257" s="4">
        <v>1</v>
      </c>
      <c r="E1257" s="4" t="str">
        <f>"2170740569"</f>
        <v>2170740569</v>
      </c>
      <c r="F1257" s="4" t="s">
        <v>17</v>
      </c>
      <c r="G1257" s="4" t="s">
        <v>18</v>
      </c>
      <c r="H1257" s="4" t="s">
        <v>32</v>
      </c>
      <c r="I1257" s="4" t="s">
        <v>140</v>
      </c>
      <c r="J1257" s="4" t="s">
        <v>1247</v>
      </c>
      <c r="K1257" s="4" t="s">
        <v>1189</v>
      </c>
      <c r="L1257" s="5">
        <v>0.65902777777777777</v>
      </c>
      <c r="M1257" s="4" t="s">
        <v>1365</v>
      </c>
      <c r="N1257" s="6" t="s">
        <v>23</v>
      </c>
      <c r="O1257" s="4" t="s">
        <v>24</v>
      </c>
    </row>
    <row r="1258" spans="1:15" x14ac:dyDescent="0.25">
      <c r="A1258" s="4" t="s">
        <v>15</v>
      </c>
      <c r="B1258" s="4" t="str">
        <f>"FES1162750635"</f>
        <v>FES1162750635</v>
      </c>
      <c r="C1258" s="4" t="s">
        <v>1015</v>
      </c>
      <c r="D1258" s="4">
        <v>1</v>
      </c>
      <c r="E1258" s="4" t="str">
        <f>"2170740235"</f>
        <v>2170740235</v>
      </c>
      <c r="F1258" s="4" t="s">
        <v>17</v>
      </c>
      <c r="G1258" s="4" t="s">
        <v>18</v>
      </c>
      <c r="H1258" s="4" t="s">
        <v>32</v>
      </c>
      <c r="I1258" s="4" t="s">
        <v>140</v>
      </c>
      <c r="J1258" s="4" t="s">
        <v>1046</v>
      </c>
      <c r="K1258" s="4" t="s">
        <v>1189</v>
      </c>
      <c r="L1258" s="5">
        <v>0.53472222222222221</v>
      </c>
      <c r="M1258" s="4" t="s">
        <v>1366</v>
      </c>
      <c r="N1258" s="6" t="s">
        <v>23</v>
      </c>
      <c r="O1258" s="4" t="s">
        <v>24</v>
      </c>
    </row>
    <row r="1259" spans="1:15" x14ac:dyDescent="0.25">
      <c r="A1259" s="4" t="s">
        <v>15</v>
      </c>
      <c r="B1259" s="4" t="str">
        <f>"FES1162750728"</f>
        <v>FES1162750728</v>
      </c>
      <c r="C1259" s="4" t="s">
        <v>1015</v>
      </c>
      <c r="D1259" s="4">
        <v>1</v>
      </c>
      <c r="E1259" s="4" t="str">
        <f>"2170740474"</f>
        <v>2170740474</v>
      </c>
      <c r="F1259" s="4" t="s">
        <v>17</v>
      </c>
      <c r="G1259" s="4" t="s">
        <v>18</v>
      </c>
      <c r="H1259" s="4" t="s">
        <v>178</v>
      </c>
      <c r="I1259" s="4" t="s">
        <v>900</v>
      </c>
      <c r="J1259" s="4" t="s">
        <v>899</v>
      </c>
      <c r="K1259" s="4" t="s">
        <v>1189</v>
      </c>
      <c r="L1259" s="5">
        <v>0.39583333333333331</v>
      </c>
      <c r="M1259" s="4" t="s">
        <v>978</v>
      </c>
      <c r="N1259" s="6" t="s">
        <v>23</v>
      </c>
      <c r="O1259" s="4" t="s">
        <v>24</v>
      </c>
    </row>
    <row r="1260" spans="1:15" x14ac:dyDescent="0.25">
      <c r="A1260" s="4" t="s">
        <v>15</v>
      </c>
      <c r="B1260" s="4" t="str">
        <f>"FES1162750722"</f>
        <v>FES1162750722</v>
      </c>
      <c r="C1260" s="4" t="s">
        <v>1015</v>
      </c>
      <c r="D1260" s="4">
        <v>1</v>
      </c>
      <c r="E1260" s="4" t="str">
        <f>"2170740474"</f>
        <v>2170740474</v>
      </c>
      <c r="F1260" s="4" t="s">
        <v>17</v>
      </c>
      <c r="G1260" s="4" t="s">
        <v>18</v>
      </c>
      <c r="H1260" s="4" t="s">
        <v>18</v>
      </c>
      <c r="I1260" s="4" t="s">
        <v>97</v>
      </c>
      <c r="J1260" s="4" t="s">
        <v>603</v>
      </c>
      <c r="K1260" s="4" t="s">
        <v>1189</v>
      </c>
      <c r="L1260" s="5">
        <v>0.32083333333333336</v>
      </c>
      <c r="M1260" s="4" t="s">
        <v>714</v>
      </c>
      <c r="N1260" s="6" t="s">
        <v>23</v>
      </c>
      <c r="O1260" s="4" t="s">
        <v>24</v>
      </c>
    </row>
    <row r="1261" spans="1:15" x14ac:dyDescent="0.25">
      <c r="A1261" s="4" t="s">
        <v>15</v>
      </c>
      <c r="B1261" s="4" t="str">
        <f>"FES1162750679"</f>
        <v>FES1162750679</v>
      </c>
      <c r="C1261" s="4" t="s">
        <v>1015</v>
      </c>
      <c r="D1261" s="4">
        <v>1</v>
      </c>
      <c r="E1261" s="4" t="str">
        <f>"2170732898"</f>
        <v>2170732898</v>
      </c>
      <c r="F1261" s="4" t="s">
        <v>17</v>
      </c>
      <c r="G1261" s="4" t="s">
        <v>18</v>
      </c>
      <c r="H1261" s="4" t="s">
        <v>18</v>
      </c>
      <c r="I1261" s="4" t="s">
        <v>29</v>
      </c>
      <c r="J1261" s="4" t="s">
        <v>1248</v>
      </c>
      <c r="K1261" s="4" t="s">
        <v>1189</v>
      </c>
      <c r="L1261" s="5">
        <v>0.3125</v>
      </c>
      <c r="M1261" s="4" t="s">
        <v>1367</v>
      </c>
      <c r="N1261" s="6" t="s">
        <v>23</v>
      </c>
      <c r="O1261" s="4" t="s">
        <v>24</v>
      </c>
    </row>
    <row r="1262" spans="1:15" x14ac:dyDescent="0.25">
      <c r="A1262" s="4" t="s">
        <v>15</v>
      </c>
      <c r="B1262" s="4" t="str">
        <f>"FES1162750720"</f>
        <v>FES1162750720</v>
      </c>
      <c r="C1262" s="4" t="s">
        <v>1015</v>
      </c>
      <c r="D1262" s="4">
        <v>1</v>
      </c>
      <c r="E1262" s="4" t="str">
        <f>"2170739819"</f>
        <v>2170739819</v>
      </c>
      <c r="F1262" s="4" t="s">
        <v>17</v>
      </c>
      <c r="G1262" s="4" t="s">
        <v>18</v>
      </c>
      <c r="H1262" s="4" t="s">
        <v>25</v>
      </c>
      <c r="I1262" s="4" t="s">
        <v>26</v>
      </c>
      <c r="J1262" s="4" t="s">
        <v>202</v>
      </c>
      <c r="K1262" s="4" t="s">
        <v>1189</v>
      </c>
      <c r="L1262" s="5">
        <v>0.37013888888888885</v>
      </c>
      <c r="M1262" s="4" t="s">
        <v>1368</v>
      </c>
      <c r="N1262" s="6" t="s">
        <v>23</v>
      </c>
      <c r="O1262" s="4" t="s">
        <v>24</v>
      </c>
    </row>
    <row r="1263" spans="1:15" ht="15.75" thickBot="1" x14ac:dyDescent="0.3">
      <c r="A1263" s="7" t="s">
        <v>15</v>
      </c>
      <c r="B1263" s="7" t="str">
        <f>"FES1162750719"</f>
        <v>FES1162750719</v>
      </c>
      <c r="C1263" s="7" t="s">
        <v>1015</v>
      </c>
      <c r="D1263" s="7">
        <v>1</v>
      </c>
      <c r="E1263" s="7" t="str">
        <f>"2170738112"</f>
        <v>2170738112</v>
      </c>
      <c r="F1263" s="7" t="s">
        <v>17</v>
      </c>
      <c r="G1263" s="7" t="s">
        <v>18</v>
      </c>
      <c r="H1263" s="7" t="s">
        <v>25</v>
      </c>
      <c r="I1263" s="7" t="s">
        <v>26</v>
      </c>
      <c r="J1263" s="7" t="s">
        <v>1192</v>
      </c>
      <c r="K1263" s="7" t="s">
        <v>1189</v>
      </c>
      <c r="L1263" s="8">
        <v>0.38055555555555554</v>
      </c>
      <c r="M1263" s="7" t="s">
        <v>1270</v>
      </c>
      <c r="N1263" s="7" t="s">
        <v>23</v>
      </c>
      <c r="O1263" s="7" t="s">
        <v>24</v>
      </c>
    </row>
    <row r="1264" spans="1:15" x14ac:dyDescent="0.25">
      <c r="A1264" s="1" t="s">
        <v>15</v>
      </c>
      <c r="B1264" s="1" t="str">
        <f>"RFES1162745656"</f>
        <v>RFES1162745656</v>
      </c>
      <c r="C1264" s="1" t="s">
        <v>1189</v>
      </c>
      <c r="D1264" s="1">
        <v>1</v>
      </c>
      <c r="E1264" s="1" t="str">
        <f>"2170736743"</f>
        <v>2170736743</v>
      </c>
      <c r="F1264" s="1" t="s">
        <v>17</v>
      </c>
      <c r="G1264" s="1" t="s">
        <v>85</v>
      </c>
      <c r="H1264" s="1" t="s">
        <v>18</v>
      </c>
      <c r="I1264" s="1" t="s">
        <v>29</v>
      </c>
      <c r="J1264" s="1" t="s">
        <v>417</v>
      </c>
      <c r="K1264" s="1" t="s">
        <v>1294</v>
      </c>
      <c r="L1264" s="2">
        <v>0.37291666666666662</v>
      </c>
      <c r="M1264" s="1" t="s">
        <v>609</v>
      </c>
      <c r="N1264" s="3" t="s">
        <v>23</v>
      </c>
      <c r="O1264" s="1" t="s">
        <v>24</v>
      </c>
    </row>
    <row r="1265" spans="1:15" x14ac:dyDescent="0.25">
      <c r="A1265" s="4" t="s">
        <v>15</v>
      </c>
      <c r="B1265" s="4" t="str">
        <f>"FES1162750785"</f>
        <v>FES1162750785</v>
      </c>
      <c r="C1265" s="4" t="s">
        <v>1189</v>
      </c>
      <c r="D1265" s="4">
        <v>1</v>
      </c>
      <c r="E1265" s="4" t="str">
        <f>"2170740888"</f>
        <v>2170740888</v>
      </c>
      <c r="F1265" s="4" t="s">
        <v>17</v>
      </c>
      <c r="G1265" s="4" t="s">
        <v>18</v>
      </c>
      <c r="H1265" s="4" t="s">
        <v>52</v>
      </c>
      <c r="I1265" s="4" t="s">
        <v>53</v>
      </c>
      <c r="J1265" s="4" t="s">
        <v>56</v>
      </c>
      <c r="K1265" s="4" t="s">
        <v>1294</v>
      </c>
      <c r="L1265" s="5">
        <v>0.43055555555555558</v>
      </c>
      <c r="M1265" s="4" t="s">
        <v>715</v>
      </c>
      <c r="N1265" s="6" t="s">
        <v>23</v>
      </c>
      <c r="O1265" s="4" t="s">
        <v>24</v>
      </c>
    </row>
    <row r="1266" spans="1:15" x14ac:dyDescent="0.25">
      <c r="A1266" s="4" t="s">
        <v>15</v>
      </c>
      <c r="B1266" s="4" t="str">
        <f>"FES1162750868"</f>
        <v>FES1162750868</v>
      </c>
      <c r="C1266" s="4" t="s">
        <v>1189</v>
      </c>
      <c r="D1266" s="4">
        <v>1</v>
      </c>
      <c r="E1266" s="4" t="str">
        <f>"2170739877"</f>
        <v>2170739877</v>
      </c>
      <c r="F1266" s="4" t="s">
        <v>17</v>
      </c>
      <c r="G1266" s="4" t="s">
        <v>18</v>
      </c>
      <c r="H1266" s="4" t="s">
        <v>32</v>
      </c>
      <c r="I1266" s="4" t="s">
        <v>33</v>
      </c>
      <c r="J1266" s="4" t="s">
        <v>1369</v>
      </c>
      <c r="K1266" s="4" t="s">
        <v>1294</v>
      </c>
      <c r="L1266" s="5">
        <v>0.4236111111111111</v>
      </c>
      <c r="M1266" s="4" t="s">
        <v>1434</v>
      </c>
      <c r="N1266" s="6" t="s">
        <v>23</v>
      </c>
      <c r="O1266" s="4" t="s">
        <v>24</v>
      </c>
    </row>
    <row r="1267" spans="1:15" x14ac:dyDescent="0.25">
      <c r="A1267" s="4" t="s">
        <v>15</v>
      </c>
      <c r="B1267" s="4" t="str">
        <f>"FES1162750654"</f>
        <v>FES1162750654</v>
      </c>
      <c r="C1267" s="4" t="s">
        <v>1189</v>
      </c>
      <c r="D1267" s="4">
        <v>1</v>
      </c>
      <c r="E1267" s="4" t="str">
        <f>"2170736826"</f>
        <v>2170736826</v>
      </c>
      <c r="F1267" s="4" t="s">
        <v>17</v>
      </c>
      <c r="G1267" s="4" t="s">
        <v>18</v>
      </c>
      <c r="H1267" s="4" t="s">
        <v>36</v>
      </c>
      <c r="I1267" s="4" t="s">
        <v>37</v>
      </c>
      <c r="J1267" s="4" t="s">
        <v>1370</v>
      </c>
      <c r="K1267" s="4" t="s">
        <v>1294</v>
      </c>
      <c r="L1267" s="5">
        <v>0.41319444444444442</v>
      </c>
      <c r="M1267" s="4" t="s">
        <v>1435</v>
      </c>
      <c r="N1267" s="6" t="s">
        <v>23</v>
      </c>
      <c r="O1267" s="4" t="s">
        <v>24</v>
      </c>
    </row>
    <row r="1268" spans="1:15" x14ac:dyDescent="0.25">
      <c r="A1268" s="4" t="s">
        <v>15</v>
      </c>
      <c r="B1268" s="4" t="str">
        <f>"RFES1162750142"</f>
        <v>RFES1162750142</v>
      </c>
      <c r="C1268" s="4" t="s">
        <v>1189</v>
      </c>
      <c r="D1268" s="4">
        <v>1</v>
      </c>
      <c r="E1268" s="4" t="str">
        <f>"2170740373"</f>
        <v>2170740373</v>
      </c>
      <c r="F1268" s="4" t="s">
        <v>17</v>
      </c>
      <c r="G1268" s="4" t="s">
        <v>18</v>
      </c>
      <c r="H1268" s="4" t="s">
        <v>18</v>
      </c>
      <c r="I1268" s="4" t="s">
        <v>29</v>
      </c>
      <c r="J1268" s="4" t="s">
        <v>417</v>
      </c>
      <c r="K1268" s="4" t="s">
        <v>1294</v>
      </c>
      <c r="L1268" s="5">
        <v>0.37291666666666662</v>
      </c>
      <c r="M1268" s="4" t="s">
        <v>609</v>
      </c>
      <c r="N1268" s="6" t="s">
        <v>23</v>
      </c>
      <c r="O1268" s="4" t="s">
        <v>24</v>
      </c>
    </row>
    <row r="1269" spans="1:15" x14ac:dyDescent="0.25">
      <c r="A1269" s="4" t="s">
        <v>15</v>
      </c>
      <c r="B1269" s="4" t="str">
        <f>"FES1162750915"</f>
        <v>FES1162750915</v>
      </c>
      <c r="C1269" s="4" t="s">
        <v>1189</v>
      </c>
      <c r="D1269" s="4">
        <v>1</v>
      </c>
      <c r="E1269" s="4" t="str">
        <f>"2170741019"</f>
        <v>2170741019</v>
      </c>
      <c r="F1269" s="4" t="s">
        <v>17</v>
      </c>
      <c r="G1269" s="4" t="s">
        <v>18</v>
      </c>
      <c r="H1269" s="4" t="s">
        <v>18</v>
      </c>
      <c r="I1269" s="4" t="s">
        <v>29</v>
      </c>
      <c r="J1269" s="4" t="s">
        <v>30</v>
      </c>
      <c r="K1269" s="4" t="s">
        <v>1294</v>
      </c>
      <c r="L1269" s="5">
        <v>0.39583333333333331</v>
      </c>
      <c r="M1269" s="4" t="s">
        <v>1436</v>
      </c>
      <c r="N1269" s="6" t="s">
        <v>23</v>
      </c>
      <c r="O1269" s="4" t="s">
        <v>24</v>
      </c>
    </row>
    <row r="1270" spans="1:15" x14ac:dyDescent="0.25">
      <c r="A1270" s="4" t="s">
        <v>15</v>
      </c>
      <c r="B1270" s="4" t="str">
        <f>"FES1162750695"</f>
        <v>FES1162750695</v>
      </c>
      <c r="C1270" s="4" t="s">
        <v>1189</v>
      </c>
      <c r="D1270" s="4">
        <v>1</v>
      </c>
      <c r="E1270" s="4" t="str">
        <f>"2170740806"</f>
        <v>2170740806</v>
      </c>
      <c r="F1270" s="4" t="s">
        <v>17</v>
      </c>
      <c r="G1270" s="4" t="s">
        <v>18</v>
      </c>
      <c r="H1270" s="4" t="s">
        <v>32</v>
      </c>
      <c r="I1270" s="4" t="s">
        <v>33</v>
      </c>
      <c r="J1270" s="4" t="s">
        <v>1371</v>
      </c>
      <c r="K1270" s="4" t="s">
        <v>1294</v>
      </c>
      <c r="L1270" s="5">
        <v>0.41666666666666669</v>
      </c>
      <c r="M1270" s="4" t="s">
        <v>1437</v>
      </c>
      <c r="N1270" s="6" t="s">
        <v>23</v>
      </c>
      <c r="O1270" s="4" t="s">
        <v>24</v>
      </c>
    </row>
    <row r="1271" spans="1:15" x14ac:dyDescent="0.25">
      <c r="A1271" s="4" t="s">
        <v>15</v>
      </c>
      <c r="B1271" s="4" t="str">
        <f>"RFES1162748805"</f>
        <v>RFES1162748805</v>
      </c>
      <c r="C1271" s="4" t="s">
        <v>1189</v>
      </c>
      <c r="D1271" s="4">
        <v>1</v>
      </c>
      <c r="E1271" s="4" t="str">
        <f>"2170739351"</f>
        <v>2170739351</v>
      </c>
      <c r="F1271" s="4" t="s">
        <v>17</v>
      </c>
      <c r="G1271" s="4" t="s">
        <v>85</v>
      </c>
      <c r="H1271" s="4" t="s">
        <v>18</v>
      </c>
      <c r="I1271" s="4" t="s">
        <v>29</v>
      </c>
      <c r="J1271" s="4" t="s">
        <v>417</v>
      </c>
      <c r="K1271" s="4" t="s">
        <v>1294</v>
      </c>
      <c r="L1271" s="5">
        <v>0.37291666666666662</v>
      </c>
      <c r="M1271" s="4" t="s">
        <v>609</v>
      </c>
      <c r="N1271" s="6" t="s">
        <v>23</v>
      </c>
      <c r="O1271" s="4" t="s">
        <v>24</v>
      </c>
    </row>
    <row r="1272" spans="1:15" x14ac:dyDescent="0.25">
      <c r="A1272" s="4" t="s">
        <v>15</v>
      </c>
      <c r="B1272" s="4" t="str">
        <f>"FES1162750747"</f>
        <v>FES1162750747</v>
      </c>
      <c r="C1272" s="4" t="s">
        <v>1189</v>
      </c>
      <c r="D1272" s="4">
        <v>1</v>
      </c>
      <c r="E1272" s="4" t="str">
        <f>"2170739858"</f>
        <v>2170739858</v>
      </c>
      <c r="F1272" s="4" t="s">
        <v>17</v>
      </c>
      <c r="G1272" s="4" t="s">
        <v>18</v>
      </c>
      <c r="H1272" s="4" t="s">
        <v>25</v>
      </c>
      <c r="I1272" s="4" t="s">
        <v>26</v>
      </c>
      <c r="J1272" s="4" t="s">
        <v>414</v>
      </c>
      <c r="K1272" s="4" t="s">
        <v>1294</v>
      </c>
      <c r="L1272" s="5">
        <v>0.48958333333333331</v>
      </c>
      <c r="M1272" s="4" t="s">
        <v>1438</v>
      </c>
      <c r="N1272" s="6" t="s">
        <v>23</v>
      </c>
      <c r="O1272" s="4" t="s">
        <v>24</v>
      </c>
    </row>
    <row r="1273" spans="1:15" x14ac:dyDescent="0.25">
      <c r="A1273" s="4" t="s">
        <v>15</v>
      </c>
      <c r="B1273" s="4" t="str">
        <f>"RFES1162747891"</f>
        <v>RFES1162747891</v>
      </c>
      <c r="C1273" s="4" t="s">
        <v>1189</v>
      </c>
      <c r="D1273" s="4">
        <v>1</v>
      </c>
      <c r="E1273" s="4" t="str">
        <f>"2170736743"</f>
        <v>2170736743</v>
      </c>
      <c r="F1273" s="4" t="s">
        <v>17</v>
      </c>
      <c r="G1273" s="4" t="s">
        <v>85</v>
      </c>
      <c r="H1273" s="4" t="s">
        <v>18</v>
      </c>
      <c r="I1273" s="4" t="s">
        <v>29</v>
      </c>
      <c r="J1273" s="4" t="s">
        <v>417</v>
      </c>
      <c r="K1273" s="4" t="s">
        <v>1294</v>
      </c>
      <c r="L1273" s="5">
        <v>0.37291666666666662</v>
      </c>
      <c r="M1273" s="4" t="s">
        <v>609</v>
      </c>
      <c r="N1273" s="6" t="s">
        <v>23</v>
      </c>
      <c r="O1273" s="4" t="s">
        <v>24</v>
      </c>
    </row>
    <row r="1274" spans="1:15" x14ac:dyDescent="0.25">
      <c r="A1274" s="4" t="s">
        <v>15</v>
      </c>
      <c r="B1274" s="4" t="str">
        <f>"RFES1162748238"</f>
        <v>RFES1162748238</v>
      </c>
      <c r="C1274" s="4" t="s">
        <v>1189</v>
      </c>
      <c r="D1274" s="4">
        <v>1</v>
      </c>
      <c r="E1274" s="4" t="str">
        <f>"2170737643"</f>
        <v>2170737643</v>
      </c>
      <c r="F1274" s="4" t="s">
        <v>17</v>
      </c>
      <c r="G1274" s="4" t="s">
        <v>85</v>
      </c>
      <c r="H1274" s="4" t="s">
        <v>18</v>
      </c>
      <c r="I1274" s="4" t="s">
        <v>29</v>
      </c>
      <c r="J1274" s="4" t="s">
        <v>417</v>
      </c>
      <c r="K1274" s="4" t="s">
        <v>1294</v>
      </c>
      <c r="L1274" s="5">
        <v>0.37291666666666662</v>
      </c>
      <c r="M1274" s="4" t="s">
        <v>609</v>
      </c>
      <c r="N1274" s="6" t="s">
        <v>23</v>
      </c>
      <c r="O1274" s="4" t="s">
        <v>24</v>
      </c>
    </row>
    <row r="1275" spans="1:15" x14ac:dyDescent="0.25">
      <c r="A1275" s="4" t="s">
        <v>15</v>
      </c>
      <c r="B1275" s="4" t="str">
        <f>"FES1162750655"</f>
        <v>FES1162750655</v>
      </c>
      <c r="C1275" s="4" t="s">
        <v>1189</v>
      </c>
      <c r="D1275" s="4">
        <v>1</v>
      </c>
      <c r="E1275" s="4" t="str">
        <f>"2170736860"</f>
        <v>2170736860</v>
      </c>
      <c r="F1275" s="4" t="s">
        <v>17</v>
      </c>
      <c r="G1275" s="4" t="s">
        <v>18</v>
      </c>
      <c r="H1275" s="4" t="s">
        <v>36</v>
      </c>
      <c r="I1275" s="4" t="s">
        <v>37</v>
      </c>
      <c r="J1275" s="4" t="s">
        <v>1370</v>
      </c>
      <c r="K1275" s="4" t="s">
        <v>1294</v>
      </c>
      <c r="L1275" s="5">
        <v>0.39305555555555555</v>
      </c>
      <c r="M1275" s="4" t="s">
        <v>1435</v>
      </c>
      <c r="N1275" s="6" t="s">
        <v>23</v>
      </c>
      <c r="O1275" s="4" t="s">
        <v>24</v>
      </c>
    </row>
    <row r="1276" spans="1:15" x14ac:dyDescent="0.25">
      <c r="A1276" s="4" t="s">
        <v>15</v>
      </c>
      <c r="B1276" s="4" t="str">
        <f>"FES1162750778"</f>
        <v>FES1162750778</v>
      </c>
      <c r="C1276" s="4" t="s">
        <v>1189</v>
      </c>
      <c r="D1276" s="4">
        <v>1</v>
      </c>
      <c r="E1276" s="4" t="str">
        <f>"2170740878"</f>
        <v>2170740878</v>
      </c>
      <c r="F1276" s="4" t="s">
        <v>17</v>
      </c>
      <c r="G1276" s="4" t="s">
        <v>18</v>
      </c>
      <c r="H1276" s="4" t="s">
        <v>25</v>
      </c>
      <c r="I1276" s="4" t="s">
        <v>26</v>
      </c>
      <c r="J1276" s="4" t="s">
        <v>1372</v>
      </c>
      <c r="K1276" s="4" t="s">
        <v>1294</v>
      </c>
      <c r="L1276" s="5">
        <v>0.61736111111111114</v>
      </c>
      <c r="M1276" s="4" t="s">
        <v>1439</v>
      </c>
      <c r="N1276" s="6" t="s">
        <v>23</v>
      </c>
      <c r="O1276" s="4" t="s">
        <v>24</v>
      </c>
    </row>
    <row r="1277" spans="1:15" x14ac:dyDescent="0.25">
      <c r="A1277" s="4" t="s">
        <v>15</v>
      </c>
      <c r="B1277" s="4" t="str">
        <f>"FES1162750758"</f>
        <v>FES1162750758</v>
      </c>
      <c r="C1277" s="4" t="s">
        <v>1189</v>
      </c>
      <c r="D1277" s="4">
        <v>2</v>
      </c>
      <c r="E1277" s="4" t="str">
        <f>"2170740842"</f>
        <v>2170740842</v>
      </c>
      <c r="F1277" s="4" t="s">
        <v>17</v>
      </c>
      <c r="G1277" s="4" t="s">
        <v>18</v>
      </c>
      <c r="H1277" s="4" t="s">
        <v>48</v>
      </c>
      <c r="I1277" s="4" t="s">
        <v>49</v>
      </c>
      <c r="J1277" s="4" t="s">
        <v>602</v>
      </c>
      <c r="K1277" s="4" t="s">
        <v>1294</v>
      </c>
      <c r="L1277" s="5">
        <v>0.41666666666666669</v>
      </c>
      <c r="M1277" s="4" t="s">
        <v>1440</v>
      </c>
      <c r="N1277" s="6" t="s">
        <v>23</v>
      </c>
      <c r="O1277" s="4" t="s">
        <v>24</v>
      </c>
    </row>
    <row r="1278" spans="1:15" x14ac:dyDescent="0.25">
      <c r="A1278" s="4" t="s">
        <v>15</v>
      </c>
      <c r="B1278" s="4" t="str">
        <f>"FES1162750772"</f>
        <v>FES1162750772</v>
      </c>
      <c r="C1278" s="4" t="s">
        <v>1189</v>
      </c>
      <c r="D1278" s="4">
        <v>1</v>
      </c>
      <c r="E1278" s="4" t="str">
        <f>"2170740874"</f>
        <v>2170740874</v>
      </c>
      <c r="F1278" s="4" t="s">
        <v>17</v>
      </c>
      <c r="G1278" s="4" t="s">
        <v>18</v>
      </c>
      <c r="H1278" s="4" t="s">
        <v>48</v>
      </c>
      <c r="I1278" s="4" t="s">
        <v>49</v>
      </c>
      <c r="J1278" s="4" t="s">
        <v>324</v>
      </c>
      <c r="K1278" s="4" t="s">
        <v>1294</v>
      </c>
      <c r="L1278" s="5">
        <v>0.53125</v>
      </c>
      <c r="M1278" s="4" t="s">
        <v>1441</v>
      </c>
      <c r="N1278" s="6" t="s">
        <v>23</v>
      </c>
      <c r="O1278" s="4" t="s">
        <v>24</v>
      </c>
    </row>
    <row r="1279" spans="1:15" x14ac:dyDescent="0.25">
      <c r="A1279" s="4" t="s">
        <v>15</v>
      </c>
      <c r="B1279" s="4" t="str">
        <f>"FES1162749964"</f>
        <v>FES1162749964</v>
      </c>
      <c r="C1279" s="4" t="s">
        <v>1189</v>
      </c>
      <c r="D1279" s="4">
        <v>1</v>
      </c>
      <c r="E1279" s="4" t="str">
        <f>"2170740303"</f>
        <v>2170740303</v>
      </c>
      <c r="F1279" s="4" t="s">
        <v>17</v>
      </c>
      <c r="G1279" s="4" t="s">
        <v>18</v>
      </c>
      <c r="H1279" s="4" t="s">
        <v>85</v>
      </c>
      <c r="I1279" s="4" t="s">
        <v>144</v>
      </c>
      <c r="J1279" s="4" t="s">
        <v>1373</v>
      </c>
      <c r="K1279" s="4" t="s">
        <v>1294</v>
      </c>
      <c r="L1279" s="5">
        <v>0.36736111111111108</v>
      </c>
      <c r="M1279" s="4" t="s">
        <v>1442</v>
      </c>
      <c r="N1279" s="6" t="s">
        <v>23</v>
      </c>
      <c r="O1279" s="4" t="s">
        <v>24</v>
      </c>
    </row>
    <row r="1280" spans="1:15" x14ac:dyDescent="0.25">
      <c r="A1280" s="4" t="s">
        <v>15</v>
      </c>
      <c r="B1280" s="4" t="str">
        <f>"FES1162750730"</f>
        <v>FES1162750730</v>
      </c>
      <c r="C1280" s="4" t="s">
        <v>1189</v>
      </c>
      <c r="D1280" s="4">
        <v>1</v>
      </c>
      <c r="E1280" s="4" t="str">
        <f>"2170740735"</f>
        <v>2170740735</v>
      </c>
      <c r="F1280" s="4" t="s">
        <v>17</v>
      </c>
      <c r="G1280" s="4" t="s">
        <v>18</v>
      </c>
      <c r="H1280" s="4" t="s">
        <v>40</v>
      </c>
      <c r="I1280" s="4" t="s">
        <v>41</v>
      </c>
      <c r="J1280" s="4" t="s">
        <v>42</v>
      </c>
      <c r="K1280" s="4" t="s">
        <v>1294</v>
      </c>
      <c r="L1280" s="5">
        <v>0.40208333333333335</v>
      </c>
      <c r="M1280" s="4" t="s">
        <v>1443</v>
      </c>
      <c r="N1280" s="6" t="s">
        <v>23</v>
      </c>
      <c r="O1280" s="4" t="s">
        <v>24</v>
      </c>
    </row>
    <row r="1281" spans="1:15" x14ac:dyDescent="0.25">
      <c r="A1281" s="4" t="s">
        <v>15</v>
      </c>
      <c r="B1281" s="4" t="str">
        <f>"FES1162750727"</f>
        <v>FES1162750727</v>
      </c>
      <c r="C1281" s="4" t="s">
        <v>1189</v>
      </c>
      <c r="D1281" s="4">
        <v>1</v>
      </c>
      <c r="E1281" s="4" t="str">
        <f>"2170740392"</f>
        <v>2170740392</v>
      </c>
      <c r="F1281" s="4" t="s">
        <v>17</v>
      </c>
      <c r="G1281" s="4" t="s">
        <v>18</v>
      </c>
      <c r="H1281" s="4" t="s">
        <v>40</v>
      </c>
      <c r="I1281" s="4" t="s">
        <v>41</v>
      </c>
      <c r="J1281" s="4" t="s">
        <v>42</v>
      </c>
      <c r="K1281" s="4" t="s">
        <v>1294</v>
      </c>
      <c r="L1281" s="5">
        <v>0.39583333333333331</v>
      </c>
      <c r="M1281" s="4" t="s">
        <v>1443</v>
      </c>
      <c r="N1281" s="6" t="s">
        <v>23</v>
      </c>
      <c r="O1281" s="4" t="s">
        <v>24</v>
      </c>
    </row>
    <row r="1282" spans="1:15" x14ac:dyDescent="0.25">
      <c r="A1282" s="4" t="s">
        <v>15</v>
      </c>
      <c r="B1282" s="4" t="str">
        <f>"FES1162750694"</f>
        <v>FES1162750694</v>
      </c>
      <c r="C1282" s="4" t="s">
        <v>1189</v>
      </c>
      <c r="D1282" s="4">
        <v>1</v>
      </c>
      <c r="E1282" s="4" t="str">
        <f>"2170740673"</f>
        <v>2170740673</v>
      </c>
      <c r="F1282" s="4" t="s">
        <v>17</v>
      </c>
      <c r="G1282" s="4" t="s">
        <v>18</v>
      </c>
      <c r="H1282" s="4" t="s">
        <v>18</v>
      </c>
      <c r="I1282" s="4" t="s">
        <v>29</v>
      </c>
      <c r="J1282" s="4" t="s">
        <v>348</v>
      </c>
      <c r="K1282" s="4" t="s">
        <v>1294</v>
      </c>
      <c r="L1282" s="5">
        <v>0.4375</v>
      </c>
      <c r="M1282" s="4" t="s">
        <v>1444</v>
      </c>
      <c r="N1282" s="6" t="s">
        <v>23</v>
      </c>
      <c r="O1282" s="4" t="s">
        <v>24</v>
      </c>
    </row>
    <row r="1283" spans="1:15" x14ac:dyDescent="0.25">
      <c r="A1283" s="4" t="s">
        <v>15</v>
      </c>
      <c r="B1283" s="4" t="str">
        <f>"FES1162750768"</f>
        <v>FES1162750768</v>
      </c>
      <c r="C1283" s="4" t="s">
        <v>1189</v>
      </c>
      <c r="D1283" s="4">
        <v>1</v>
      </c>
      <c r="E1283" s="4" t="str">
        <f>"21720740865"</f>
        <v>21720740865</v>
      </c>
      <c r="F1283" s="4" t="s">
        <v>17</v>
      </c>
      <c r="G1283" s="4" t="s">
        <v>18</v>
      </c>
      <c r="H1283" s="4" t="s">
        <v>18</v>
      </c>
      <c r="I1283" s="4" t="s">
        <v>19</v>
      </c>
      <c r="J1283" s="4" t="s">
        <v>1374</v>
      </c>
      <c r="K1283" s="4" t="s">
        <v>1294</v>
      </c>
      <c r="L1283" s="5">
        <v>0.375</v>
      </c>
      <c r="M1283" s="4" t="s">
        <v>65</v>
      </c>
      <c r="N1283" s="6" t="s">
        <v>23</v>
      </c>
      <c r="O1283" s="4" t="s">
        <v>24</v>
      </c>
    </row>
    <row r="1284" spans="1:15" x14ac:dyDescent="0.25">
      <c r="A1284" s="4" t="s">
        <v>15</v>
      </c>
      <c r="B1284" s="4" t="str">
        <f>"FES1162750743"</f>
        <v>FES1162750743</v>
      </c>
      <c r="C1284" s="4" t="s">
        <v>1189</v>
      </c>
      <c r="D1284" s="4">
        <v>1</v>
      </c>
      <c r="E1284" s="4" t="str">
        <f>"2170739240"</f>
        <v>2170739240</v>
      </c>
      <c r="F1284" s="4" t="s">
        <v>17</v>
      </c>
      <c r="G1284" s="4" t="s">
        <v>18</v>
      </c>
      <c r="H1284" s="4" t="s">
        <v>32</v>
      </c>
      <c r="I1284" s="4" t="s">
        <v>33</v>
      </c>
      <c r="J1284" s="4" t="s">
        <v>1375</v>
      </c>
      <c r="K1284" s="4" t="s">
        <v>1294</v>
      </c>
      <c r="L1284" s="5">
        <v>0.42569444444444443</v>
      </c>
      <c r="M1284" s="4" t="s">
        <v>1445</v>
      </c>
      <c r="N1284" s="6" t="s">
        <v>23</v>
      </c>
      <c r="O1284" s="4" t="s">
        <v>24</v>
      </c>
    </row>
    <row r="1285" spans="1:15" x14ac:dyDescent="0.25">
      <c r="A1285" s="4" t="s">
        <v>15</v>
      </c>
      <c r="B1285" s="4" t="str">
        <f>"FES1162750750"</f>
        <v>FES1162750750</v>
      </c>
      <c r="C1285" s="4" t="s">
        <v>1189</v>
      </c>
      <c r="D1285" s="4">
        <v>1</v>
      </c>
      <c r="E1285" s="4" t="str">
        <f>"2170740069"</f>
        <v>2170740069</v>
      </c>
      <c r="F1285" s="4" t="s">
        <v>17</v>
      </c>
      <c r="G1285" s="4" t="s">
        <v>18</v>
      </c>
      <c r="H1285" s="4" t="s">
        <v>40</v>
      </c>
      <c r="I1285" s="4" t="s">
        <v>41</v>
      </c>
      <c r="J1285" s="4" t="s">
        <v>221</v>
      </c>
      <c r="K1285" s="4" t="s">
        <v>1294</v>
      </c>
      <c r="L1285" s="5">
        <v>0.3972222222222222</v>
      </c>
      <c r="M1285" s="4" t="s">
        <v>1443</v>
      </c>
      <c r="N1285" s="6" t="s">
        <v>23</v>
      </c>
      <c r="O1285" s="4" t="s">
        <v>24</v>
      </c>
    </row>
    <row r="1286" spans="1:15" x14ac:dyDescent="0.25">
      <c r="A1286" s="4" t="s">
        <v>15</v>
      </c>
      <c r="B1286" s="4" t="str">
        <f>"FES1162750766"</f>
        <v>FES1162750766</v>
      </c>
      <c r="C1286" s="4" t="s">
        <v>1189</v>
      </c>
      <c r="D1286" s="4">
        <v>1</v>
      </c>
      <c r="E1286" s="4" t="str">
        <f>"2170740863"</f>
        <v>2170740863</v>
      </c>
      <c r="F1286" s="4" t="s">
        <v>17</v>
      </c>
      <c r="G1286" s="4" t="s">
        <v>18</v>
      </c>
      <c r="H1286" s="4" t="s">
        <v>18</v>
      </c>
      <c r="I1286" s="4" t="s">
        <v>309</v>
      </c>
      <c r="J1286" s="4" t="s">
        <v>1056</v>
      </c>
      <c r="K1286" s="4" t="s">
        <v>1294</v>
      </c>
      <c r="L1286" s="5">
        <v>0.33333333333333331</v>
      </c>
      <c r="M1286" s="4" t="s">
        <v>1346</v>
      </c>
      <c r="N1286" s="6" t="s">
        <v>23</v>
      </c>
      <c r="O1286" s="4" t="s">
        <v>24</v>
      </c>
    </row>
    <row r="1287" spans="1:15" x14ac:dyDescent="0.25">
      <c r="A1287" s="4" t="s">
        <v>15</v>
      </c>
      <c r="B1287" s="4" t="str">
        <f>"FES1162750797"</f>
        <v>FES1162750797</v>
      </c>
      <c r="C1287" s="4" t="s">
        <v>1189</v>
      </c>
      <c r="D1287" s="4">
        <v>1</v>
      </c>
      <c r="E1287" s="4" t="str">
        <f>"2170740904"</f>
        <v>2170740904</v>
      </c>
      <c r="F1287" s="4" t="s">
        <v>17</v>
      </c>
      <c r="G1287" s="4" t="s">
        <v>18</v>
      </c>
      <c r="H1287" s="4" t="s">
        <v>18</v>
      </c>
      <c r="I1287" s="4" t="s">
        <v>97</v>
      </c>
      <c r="J1287" s="4" t="s">
        <v>402</v>
      </c>
      <c r="K1287" s="4" t="s">
        <v>1294</v>
      </c>
      <c r="L1287" s="5">
        <v>0.33333333333333331</v>
      </c>
      <c r="M1287" s="4" t="s">
        <v>170</v>
      </c>
      <c r="N1287" s="6" t="s">
        <v>23</v>
      </c>
      <c r="O1287" s="4" t="s">
        <v>24</v>
      </c>
    </row>
    <row r="1288" spans="1:15" x14ac:dyDescent="0.25">
      <c r="A1288" s="4" t="s">
        <v>15</v>
      </c>
      <c r="B1288" s="4" t="str">
        <f>"FES1162750771"</f>
        <v>FES1162750771</v>
      </c>
      <c r="C1288" s="4" t="s">
        <v>1189</v>
      </c>
      <c r="D1288" s="4">
        <v>1</v>
      </c>
      <c r="E1288" s="4" t="str">
        <f>"2170740853"</f>
        <v>2170740853</v>
      </c>
      <c r="F1288" s="4" t="s">
        <v>17</v>
      </c>
      <c r="G1288" s="4" t="s">
        <v>18</v>
      </c>
      <c r="H1288" s="4" t="s">
        <v>18</v>
      </c>
      <c r="I1288" s="4" t="s">
        <v>126</v>
      </c>
      <c r="J1288" s="4" t="s">
        <v>581</v>
      </c>
      <c r="K1288" s="4" t="s">
        <v>1294</v>
      </c>
      <c r="L1288" s="5">
        <v>0.375</v>
      </c>
      <c r="M1288" s="4" t="s">
        <v>543</v>
      </c>
      <c r="N1288" s="6" t="s">
        <v>23</v>
      </c>
      <c r="O1288" s="4" t="s">
        <v>24</v>
      </c>
    </row>
    <row r="1289" spans="1:15" x14ac:dyDescent="0.25">
      <c r="A1289" s="4" t="s">
        <v>15</v>
      </c>
      <c r="B1289" s="4" t="str">
        <f>"FES1162750746"</f>
        <v>FES1162750746</v>
      </c>
      <c r="C1289" s="4" t="s">
        <v>1189</v>
      </c>
      <c r="D1289" s="4">
        <v>1</v>
      </c>
      <c r="E1289" s="4" t="str">
        <f>"2170739821"</f>
        <v>2170739821</v>
      </c>
      <c r="F1289" s="4" t="s">
        <v>17</v>
      </c>
      <c r="G1289" s="4" t="s">
        <v>18</v>
      </c>
      <c r="H1289" s="4" t="s">
        <v>18</v>
      </c>
      <c r="I1289" s="4" t="s">
        <v>183</v>
      </c>
      <c r="J1289" s="4" t="s">
        <v>369</v>
      </c>
      <c r="K1289" s="4" t="s">
        <v>1294</v>
      </c>
      <c r="L1289" s="5">
        <v>0.43055555555555558</v>
      </c>
      <c r="M1289" s="4" t="s">
        <v>1446</v>
      </c>
      <c r="N1289" s="6" t="s">
        <v>23</v>
      </c>
      <c r="O1289" s="4" t="s">
        <v>24</v>
      </c>
    </row>
    <row r="1290" spans="1:15" x14ac:dyDescent="0.25">
      <c r="A1290" s="4" t="s">
        <v>15</v>
      </c>
      <c r="B1290" s="4" t="str">
        <f>"FES1162750756"</f>
        <v>FES1162750756</v>
      </c>
      <c r="C1290" s="4" t="s">
        <v>1189</v>
      </c>
      <c r="D1290" s="4">
        <v>1</v>
      </c>
      <c r="E1290" s="4" t="str">
        <f>"2170740810"</f>
        <v>2170740810</v>
      </c>
      <c r="F1290" s="4" t="s">
        <v>17</v>
      </c>
      <c r="G1290" s="4" t="s">
        <v>18</v>
      </c>
      <c r="H1290" s="4" t="s">
        <v>32</v>
      </c>
      <c r="I1290" s="4" t="s">
        <v>33</v>
      </c>
      <c r="J1290" s="4" t="s">
        <v>195</v>
      </c>
      <c r="K1290" s="4" t="s">
        <v>1294</v>
      </c>
      <c r="L1290" s="5">
        <v>0.40277777777777773</v>
      </c>
      <c r="M1290" s="4" t="s">
        <v>1447</v>
      </c>
      <c r="N1290" s="6" t="s">
        <v>23</v>
      </c>
      <c r="O1290" s="4" t="s">
        <v>24</v>
      </c>
    </row>
    <row r="1291" spans="1:15" x14ac:dyDescent="0.25">
      <c r="A1291" s="4" t="s">
        <v>15</v>
      </c>
      <c r="B1291" s="4" t="str">
        <f>"FES1162750832"</f>
        <v>FES1162750832</v>
      </c>
      <c r="C1291" s="4" t="s">
        <v>1189</v>
      </c>
      <c r="D1291" s="4">
        <v>1</v>
      </c>
      <c r="E1291" s="4" t="str">
        <f>"2170740926"</f>
        <v>2170740926</v>
      </c>
      <c r="F1291" s="4" t="s">
        <v>17</v>
      </c>
      <c r="G1291" s="4" t="s">
        <v>18</v>
      </c>
      <c r="H1291" s="4" t="s">
        <v>32</v>
      </c>
      <c r="I1291" s="4" t="s">
        <v>33</v>
      </c>
      <c r="J1291" s="4" t="s">
        <v>388</v>
      </c>
      <c r="K1291" s="4" t="s">
        <v>1294</v>
      </c>
      <c r="L1291" s="5">
        <v>0.40972222222222227</v>
      </c>
      <c r="M1291" s="4" t="s">
        <v>949</v>
      </c>
      <c r="N1291" s="6" t="s">
        <v>23</v>
      </c>
      <c r="O1291" s="4" t="s">
        <v>24</v>
      </c>
    </row>
    <row r="1292" spans="1:15" x14ac:dyDescent="0.25">
      <c r="A1292" s="4" t="s">
        <v>15</v>
      </c>
      <c r="B1292" s="4" t="str">
        <f>"FES1162750754"</f>
        <v>FES1162750754</v>
      </c>
      <c r="C1292" s="4" t="s">
        <v>1189</v>
      </c>
      <c r="D1292" s="4">
        <v>1</v>
      </c>
      <c r="E1292" s="4" t="str">
        <f>"2170740712"</f>
        <v>2170740712</v>
      </c>
      <c r="F1292" s="4" t="s">
        <v>17</v>
      </c>
      <c r="G1292" s="4" t="s">
        <v>18</v>
      </c>
      <c r="H1292" s="4" t="s">
        <v>32</v>
      </c>
      <c r="I1292" s="4" t="s">
        <v>33</v>
      </c>
      <c r="J1292" s="4" t="s">
        <v>317</v>
      </c>
      <c r="K1292" s="4" t="s">
        <v>1294</v>
      </c>
      <c r="L1292" s="5">
        <v>0.38472222222222219</v>
      </c>
      <c r="M1292" s="4" t="s">
        <v>474</v>
      </c>
      <c r="N1292" s="6" t="s">
        <v>23</v>
      </c>
      <c r="O1292" s="4" t="s">
        <v>24</v>
      </c>
    </row>
    <row r="1293" spans="1:15" x14ac:dyDescent="0.25">
      <c r="A1293" s="15" t="s">
        <v>15</v>
      </c>
      <c r="B1293" s="15" t="str">
        <f>"FES1162750786"</f>
        <v>FES1162750786</v>
      </c>
      <c r="C1293" s="15" t="s">
        <v>1189</v>
      </c>
      <c r="D1293" s="15">
        <v>1</v>
      </c>
      <c r="E1293" s="15" t="str">
        <f>"2170740892"</f>
        <v>2170740892</v>
      </c>
      <c r="F1293" s="15" t="s">
        <v>17</v>
      </c>
      <c r="G1293" s="15" t="s">
        <v>18</v>
      </c>
      <c r="H1293" s="15" t="s">
        <v>1376</v>
      </c>
      <c r="I1293" s="15" t="s">
        <v>1377</v>
      </c>
      <c r="J1293" s="15" t="s">
        <v>368</v>
      </c>
      <c r="K1293" s="15" t="s">
        <v>43</v>
      </c>
      <c r="L1293" s="15"/>
      <c r="M1293" s="15" t="s">
        <v>44</v>
      </c>
      <c r="N1293" s="15" t="s">
        <v>419</v>
      </c>
      <c r="O1293" s="15" t="s">
        <v>24</v>
      </c>
    </row>
    <row r="1294" spans="1:15" x14ac:dyDescent="0.25">
      <c r="A1294" s="4" t="s">
        <v>15</v>
      </c>
      <c r="B1294" s="4" t="str">
        <f>"FES1162750783"</f>
        <v>FES1162750783</v>
      </c>
      <c r="C1294" s="4" t="s">
        <v>1189</v>
      </c>
      <c r="D1294" s="4">
        <v>1</v>
      </c>
      <c r="E1294" s="4" t="str">
        <f>"2170740884"</f>
        <v>2170740884</v>
      </c>
      <c r="F1294" s="4" t="s">
        <v>17</v>
      </c>
      <c r="G1294" s="4" t="s">
        <v>18</v>
      </c>
      <c r="H1294" s="4" t="s">
        <v>85</v>
      </c>
      <c r="I1294" s="4" t="s">
        <v>144</v>
      </c>
      <c r="J1294" s="4" t="s">
        <v>593</v>
      </c>
      <c r="K1294" s="4" t="s">
        <v>1294</v>
      </c>
      <c r="L1294" s="5">
        <v>0.58750000000000002</v>
      </c>
      <c r="M1294" s="4" t="s">
        <v>1448</v>
      </c>
      <c r="N1294" s="6" t="s">
        <v>23</v>
      </c>
      <c r="O1294" s="4" t="s">
        <v>24</v>
      </c>
    </row>
    <row r="1295" spans="1:15" x14ac:dyDescent="0.25">
      <c r="A1295" s="4" t="s">
        <v>15</v>
      </c>
      <c r="B1295" s="4" t="str">
        <f>"FES1162750790"</f>
        <v>FES1162750790</v>
      </c>
      <c r="C1295" s="4" t="s">
        <v>1189</v>
      </c>
      <c r="D1295" s="4">
        <v>1</v>
      </c>
      <c r="E1295" s="4" t="str">
        <f>"2170740895"</f>
        <v>2170740895</v>
      </c>
      <c r="F1295" s="4" t="s">
        <v>17</v>
      </c>
      <c r="G1295" s="4" t="s">
        <v>18</v>
      </c>
      <c r="H1295" s="4" t="s">
        <v>85</v>
      </c>
      <c r="I1295" s="4" t="s">
        <v>207</v>
      </c>
      <c r="J1295" s="4" t="s">
        <v>1231</v>
      </c>
      <c r="K1295" s="4" t="s">
        <v>1294</v>
      </c>
      <c r="L1295" s="5">
        <v>0.42152777777777778</v>
      </c>
      <c r="M1295" s="4" t="s">
        <v>1353</v>
      </c>
      <c r="N1295" s="6" t="s">
        <v>23</v>
      </c>
      <c r="O1295" s="4" t="s">
        <v>24</v>
      </c>
    </row>
    <row r="1296" spans="1:15" x14ac:dyDescent="0.25">
      <c r="A1296" s="4" t="s">
        <v>15</v>
      </c>
      <c r="B1296" s="4" t="str">
        <f>"FES1162750794"</f>
        <v>FES1162750794</v>
      </c>
      <c r="C1296" s="4" t="s">
        <v>1189</v>
      </c>
      <c r="D1296" s="4">
        <v>1</v>
      </c>
      <c r="E1296" s="4" t="str">
        <f>"2170740901"</f>
        <v>2170740901</v>
      </c>
      <c r="F1296" s="4" t="s">
        <v>17</v>
      </c>
      <c r="G1296" s="4" t="s">
        <v>18</v>
      </c>
      <c r="H1296" s="4" t="s">
        <v>85</v>
      </c>
      <c r="I1296" s="4" t="s">
        <v>144</v>
      </c>
      <c r="J1296" s="4" t="s">
        <v>210</v>
      </c>
      <c r="K1296" s="4" t="s">
        <v>1294</v>
      </c>
      <c r="L1296" s="5">
        <v>0.3611111111111111</v>
      </c>
      <c r="M1296" s="4" t="s">
        <v>1378</v>
      </c>
      <c r="N1296" s="6" t="s">
        <v>23</v>
      </c>
      <c r="O1296" s="4" t="s">
        <v>24</v>
      </c>
    </row>
    <row r="1297" spans="1:15" x14ac:dyDescent="0.25">
      <c r="A1297" s="4" t="s">
        <v>15</v>
      </c>
      <c r="B1297" s="4" t="str">
        <f>"FES1162750748"</f>
        <v>FES1162750748</v>
      </c>
      <c r="C1297" s="4" t="s">
        <v>1189</v>
      </c>
      <c r="D1297" s="4">
        <v>1</v>
      </c>
      <c r="E1297" s="4" t="str">
        <f>"2170739883"</f>
        <v>2170739883</v>
      </c>
      <c r="F1297" s="4" t="s">
        <v>17</v>
      </c>
      <c r="G1297" s="4" t="s">
        <v>18</v>
      </c>
      <c r="H1297" s="4" t="s">
        <v>85</v>
      </c>
      <c r="I1297" s="4" t="s">
        <v>152</v>
      </c>
      <c r="J1297" s="4" t="s">
        <v>371</v>
      </c>
      <c r="K1297" s="4" t="s">
        <v>1294</v>
      </c>
      <c r="L1297" s="5">
        <v>0.43263888888888885</v>
      </c>
      <c r="M1297" s="4" t="s">
        <v>1449</v>
      </c>
      <c r="N1297" s="6" t="s">
        <v>23</v>
      </c>
      <c r="O1297" s="4" t="s">
        <v>24</v>
      </c>
    </row>
    <row r="1298" spans="1:15" x14ac:dyDescent="0.25">
      <c r="A1298" s="4" t="s">
        <v>15</v>
      </c>
      <c r="B1298" s="4" t="str">
        <f>"FES1162750770"</f>
        <v>FES1162750770</v>
      </c>
      <c r="C1298" s="4" t="s">
        <v>1189</v>
      </c>
      <c r="D1298" s="4">
        <v>1</v>
      </c>
      <c r="E1298" s="4" t="str">
        <f>"2170740873"</f>
        <v>2170740873</v>
      </c>
      <c r="F1298" s="4" t="s">
        <v>17</v>
      </c>
      <c r="G1298" s="4" t="s">
        <v>18</v>
      </c>
      <c r="H1298" s="4" t="s">
        <v>48</v>
      </c>
      <c r="I1298" s="4" t="s">
        <v>110</v>
      </c>
      <c r="J1298" s="4" t="s">
        <v>276</v>
      </c>
      <c r="K1298" s="4" t="s">
        <v>1294</v>
      </c>
      <c r="L1298" s="5">
        <v>0.43263888888888885</v>
      </c>
      <c r="M1298" s="4" t="s">
        <v>648</v>
      </c>
      <c r="N1298" s="6" t="s">
        <v>23</v>
      </c>
      <c r="O1298" s="4" t="s">
        <v>24</v>
      </c>
    </row>
    <row r="1299" spans="1:15" x14ac:dyDescent="0.25">
      <c r="A1299" s="4" t="s">
        <v>15</v>
      </c>
      <c r="B1299" s="4" t="str">
        <f>"FES1162750777"</f>
        <v>FES1162750777</v>
      </c>
      <c r="C1299" s="4" t="s">
        <v>1189</v>
      </c>
      <c r="D1299" s="4">
        <v>1</v>
      </c>
      <c r="E1299" s="4" t="str">
        <f>"21707480842"</f>
        <v>21707480842</v>
      </c>
      <c r="F1299" s="4" t="s">
        <v>17</v>
      </c>
      <c r="G1299" s="4" t="s">
        <v>18</v>
      </c>
      <c r="H1299" s="4" t="s">
        <v>48</v>
      </c>
      <c r="I1299" s="4" t="s">
        <v>49</v>
      </c>
      <c r="J1299" s="4" t="s">
        <v>602</v>
      </c>
      <c r="K1299" s="4" t="s">
        <v>1294</v>
      </c>
      <c r="L1299" s="5">
        <v>0.41666666666666669</v>
      </c>
      <c r="M1299" s="4" t="s">
        <v>1440</v>
      </c>
      <c r="N1299" s="6" t="s">
        <v>23</v>
      </c>
      <c r="O1299" s="4" t="s">
        <v>24</v>
      </c>
    </row>
    <row r="1300" spans="1:15" x14ac:dyDescent="0.25">
      <c r="A1300" s="4" t="s">
        <v>15</v>
      </c>
      <c r="B1300" s="4" t="str">
        <f>"FES1162750802"</f>
        <v>FES1162750802</v>
      </c>
      <c r="C1300" s="4" t="s">
        <v>1189</v>
      </c>
      <c r="D1300" s="4">
        <v>1</v>
      </c>
      <c r="E1300" s="4" t="str">
        <f>"2170409+098"</f>
        <v>2170409+098</v>
      </c>
      <c r="F1300" s="4" t="s">
        <v>17</v>
      </c>
      <c r="G1300" s="4" t="s">
        <v>18</v>
      </c>
      <c r="H1300" s="4" t="s">
        <v>48</v>
      </c>
      <c r="I1300" s="4" t="s">
        <v>49</v>
      </c>
      <c r="J1300" s="4" t="s">
        <v>318</v>
      </c>
      <c r="K1300" s="4" t="s">
        <v>1294</v>
      </c>
      <c r="L1300" s="5">
        <v>0.4458333333333333</v>
      </c>
      <c r="M1300" s="4" t="s">
        <v>1450</v>
      </c>
      <c r="N1300" s="6" t="s">
        <v>23</v>
      </c>
      <c r="O1300" s="4" t="s">
        <v>24</v>
      </c>
    </row>
    <row r="1301" spans="1:15" x14ac:dyDescent="0.25">
      <c r="A1301" s="4" t="s">
        <v>15</v>
      </c>
      <c r="B1301" s="4" t="str">
        <f>"FES1162750800"</f>
        <v>FES1162750800</v>
      </c>
      <c r="C1301" s="4" t="s">
        <v>1189</v>
      </c>
      <c r="D1301" s="4">
        <v>1</v>
      </c>
      <c r="E1301" s="4" t="str">
        <f>"2170740886"</f>
        <v>2170740886</v>
      </c>
      <c r="F1301" s="4" t="s">
        <v>17</v>
      </c>
      <c r="G1301" s="4" t="s">
        <v>18</v>
      </c>
      <c r="H1301" s="4" t="s">
        <v>48</v>
      </c>
      <c r="I1301" s="4" t="s">
        <v>73</v>
      </c>
      <c r="J1301" s="4" t="s">
        <v>247</v>
      </c>
      <c r="K1301" s="4" t="s">
        <v>1294</v>
      </c>
      <c r="L1301" s="5">
        <v>0.50902777777777775</v>
      </c>
      <c r="M1301" s="4" t="s">
        <v>1451</v>
      </c>
      <c r="N1301" s="6" t="s">
        <v>23</v>
      </c>
      <c r="O1301" s="4" t="s">
        <v>24</v>
      </c>
    </row>
    <row r="1302" spans="1:15" x14ac:dyDescent="0.25">
      <c r="A1302" s="4" t="s">
        <v>15</v>
      </c>
      <c r="B1302" s="4" t="str">
        <f>"FES1162750791"</f>
        <v>FES1162750791</v>
      </c>
      <c r="C1302" s="4" t="s">
        <v>1189</v>
      </c>
      <c r="D1302" s="4">
        <v>1</v>
      </c>
      <c r="E1302" s="4" t="str">
        <f>"2170740896"</f>
        <v>2170740896</v>
      </c>
      <c r="F1302" s="4" t="s">
        <v>164</v>
      </c>
      <c r="G1302" s="4" t="s">
        <v>18</v>
      </c>
      <c r="H1302" s="4" t="s">
        <v>32</v>
      </c>
      <c r="I1302" s="4" t="s">
        <v>33</v>
      </c>
      <c r="J1302" s="4" t="s">
        <v>1379</v>
      </c>
      <c r="K1302" s="4" t="s">
        <v>1294</v>
      </c>
      <c r="L1302" s="5">
        <v>0.4236111111111111</v>
      </c>
      <c r="M1302" s="4" t="s">
        <v>1452</v>
      </c>
      <c r="N1302" s="6" t="s">
        <v>23</v>
      </c>
      <c r="O1302" s="4" t="s">
        <v>166</v>
      </c>
    </row>
    <row r="1303" spans="1:15" x14ac:dyDescent="0.25">
      <c r="A1303" s="4" t="s">
        <v>15</v>
      </c>
      <c r="B1303" s="4" t="str">
        <f>"FES1162750807"</f>
        <v>FES1162750807</v>
      </c>
      <c r="C1303" s="4" t="s">
        <v>1189</v>
      </c>
      <c r="D1303" s="4">
        <v>1</v>
      </c>
      <c r="E1303" s="4" t="str">
        <f>"2170738959"</f>
        <v>2170738959</v>
      </c>
      <c r="F1303" s="4" t="s">
        <v>17</v>
      </c>
      <c r="G1303" s="4" t="s">
        <v>18</v>
      </c>
      <c r="H1303" s="4" t="s">
        <v>18</v>
      </c>
      <c r="I1303" s="4" t="s">
        <v>29</v>
      </c>
      <c r="J1303" s="4" t="s">
        <v>1380</v>
      </c>
      <c r="K1303" s="4" t="s">
        <v>1294</v>
      </c>
      <c r="L1303" s="5">
        <v>0.4236111111111111</v>
      </c>
      <c r="M1303" s="4" t="s">
        <v>1550</v>
      </c>
      <c r="N1303" s="6" t="s">
        <v>23</v>
      </c>
      <c r="O1303" s="4" t="s">
        <v>24</v>
      </c>
    </row>
    <row r="1304" spans="1:15" x14ac:dyDescent="0.25">
      <c r="A1304" s="4" t="s">
        <v>15</v>
      </c>
      <c r="B1304" s="4" t="str">
        <f>"FES1162750812"</f>
        <v>FES1162750812</v>
      </c>
      <c r="C1304" s="4" t="s">
        <v>1189</v>
      </c>
      <c r="D1304" s="4">
        <v>1</v>
      </c>
      <c r="E1304" s="4" t="str">
        <f>"2170739178"</f>
        <v>2170739178</v>
      </c>
      <c r="F1304" s="4" t="s">
        <v>17</v>
      </c>
      <c r="G1304" s="4" t="s">
        <v>18</v>
      </c>
      <c r="H1304" s="4" t="s">
        <v>18</v>
      </c>
      <c r="I1304" s="4" t="s">
        <v>19</v>
      </c>
      <c r="J1304" s="4" t="s">
        <v>355</v>
      </c>
      <c r="K1304" s="4" t="s">
        <v>1294</v>
      </c>
      <c r="L1304" s="5">
        <v>0.33333333333333331</v>
      </c>
      <c r="M1304" s="4" t="s">
        <v>1453</v>
      </c>
      <c r="N1304" s="6" t="s">
        <v>23</v>
      </c>
      <c r="O1304" s="4" t="s">
        <v>24</v>
      </c>
    </row>
    <row r="1305" spans="1:15" x14ac:dyDescent="0.25">
      <c r="A1305" s="4" t="s">
        <v>15</v>
      </c>
      <c r="B1305" s="4" t="str">
        <f>"FES1162750751"</f>
        <v>FES1162750751</v>
      </c>
      <c r="C1305" s="4" t="s">
        <v>1189</v>
      </c>
      <c r="D1305" s="4">
        <v>1</v>
      </c>
      <c r="E1305" s="4" t="str">
        <f>"2170740380"</f>
        <v>2170740380</v>
      </c>
      <c r="F1305" s="4" t="s">
        <v>17</v>
      </c>
      <c r="G1305" s="4" t="s">
        <v>18</v>
      </c>
      <c r="H1305" s="4" t="s">
        <v>18</v>
      </c>
      <c r="I1305" s="4" t="s">
        <v>29</v>
      </c>
      <c r="J1305" s="4" t="s">
        <v>258</v>
      </c>
      <c r="K1305" s="4" t="s">
        <v>1294</v>
      </c>
      <c r="L1305" s="5">
        <v>0.43055555555555558</v>
      </c>
      <c r="M1305" s="4" t="s">
        <v>1454</v>
      </c>
      <c r="N1305" s="6" t="s">
        <v>23</v>
      </c>
      <c r="O1305" s="4" t="s">
        <v>24</v>
      </c>
    </row>
    <row r="1306" spans="1:15" x14ac:dyDescent="0.25">
      <c r="A1306" s="4" t="s">
        <v>15</v>
      </c>
      <c r="B1306" s="4" t="str">
        <f>"FES1162750733"</f>
        <v>FES1162750733</v>
      </c>
      <c r="C1306" s="4" t="s">
        <v>1189</v>
      </c>
      <c r="D1306" s="4">
        <v>1</v>
      </c>
      <c r="E1306" s="4" t="str">
        <f>"2170740838"</f>
        <v>2170740838</v>
      </c>
      <c r="F1306" s="4" t="s">
        <v>17</v>
      </c>
      <c r="G1306" s="4" t="s">
        <v>18</v>
      </c>
      <c r="H1306" s="4" t="s">
        <v>18</v>
      </c>
      <c r="I1306" s="4" t="s">
        <v>19</v>
      </c>
      <c r="J1306" s="4" t="s">
        <v>20</v>
      </c>
      <c r="K1306" s="4" t="s">
        <v>1294</v>
      </c>
      <c r="L1306" s="5">
        <v>0.41805555555555557</v>
      </c>
      <c r="M1306" s="4" t="s">
        <v>664</v>
      </c>
      <c r="N1306" s="6" t="s">
        <v>23</v>
      </c>
      <c r="O1306" s="4" t="s">
        <v>24</v>
      </c>
    </row>
    <row r="1307" spans="1:15" x14ac:dyDescent="0.25">
      <c r="A1307" s="10" t="s">
        <v>15</v>
      </c>
      <c r="B1307" s="10" t="str">
        <f>"FES1162750769"</f>
        <v>FES1162750769</v>
      </c>
      <c r="C1307" s="10" t="s">
        <v>1189</v>
      </c>
      <c r="D1307" s="10">
        <v>1</v>
      </c>
      <c r="E1307" s="10" t="str">
        <f>"2170740868"</f>
        <v>2170740868</v>
      </c>
      <c r="F1307" s="10" t="s">
        <v>17</v>
      </c>
      <c r="G1307" s="10" t="s">
        <v>18</v>
      </c>
      <c r="H1307" s="10" t="s">
        <v>32</v>
      </c>
      <c r="I1307" s="10" t="s">
        <v>33</v>
      </c>
      <c r="J1307" s="10" t="s">
        <v>1381</v>
      </c>
      <c r="K1307" s="10" t="s">
        <v>43</v>
      </c>
      <c r="L1307" s="10"/>
      <c r="M1307" s="10" t="s">
        <v>44</v>
      </c>
      <c r="N1307" s="10" t="s">
        <v>1549</v>
      </c>
      <c r="O1307" s="10" t="s">
        <v>1549</v>
      </c>
    </row>
    <row r="1308" spans="1:15" x14ac:dyDescent="0.25">
      <c r="A1308" s="4" t="s">
        <v>15</v>
      </c>
      <c r="B1308" s="4" t="str">
        <f>"FES1162750796"</f>
        <v>FES1162750796</v>
      </c>
      <c r="C1308" s="4" t="s">
        <v>1189</v>
      </c>
      <c r="D1308" s="4">
        <v>1</v>
      </c>
      <c r="E1308" s="4" t="str">
        <f>"2170740902"</f>
        <v>2170740902</v>
      </c>
      <c r="F1308" s="4" t="s">
        <v>17</v>
      </c>
      <c r="G1308" s="4" t="s">
        <v>18</v>
      </c>
      <c r="H1308" s="4" t="s">
        <v>85</v>
      </c>
      <c r="I1308" s="4" t="s">
        <v>152</v>
      </c>
      <c r="J1308" s="4" t="s">
        <v>371</v>
      </c>
      <c r="K1308" s="4" t="s">
        <v>1294</v>
      </c>
      <c r="L1308" s="5">
        <v>0.43263888888888885</v>
      </c>
      <c r="M1308" s="4" t="s">
        <v>1449</v>
      </c>
      <c r="N1308" s="6" t="s">
        <v>23</v>
      </c>
      <c r="O1308" s="4" t="s">
        <v>24</v>
      </c>
    </row>
    <row r="1309" spans="1:15" x14ac:dyDescent="0.25">
      <c r="A1309" s="4" t="s">
        <v>15</v>
      </c>
      <c r="B1309" s="4" t="str">
        <f>"FES1162750813"</f>
        <v>FES1162750813</v>
      </c>
      <c r="C1309" s="4" t="s">
        <v>1189</v>
      </c>
      <c r="D1309" s="4">
        <v>1</v>
      </c>
      <c r="E1309" s="4" t="str">
        <f>"2170737272"</f>
        <v>2170737272</v>
      </c>
      <c r="F1309" s="4" t="s">
        <v>17</v>
      </c>
      <c r="G1309" s="4" t="s">
        <v>18</v>
      </c>
      <c r="H1309" s="4" t="s">
        <v>85</v>
      </c>
      <c r="I1309" s="4" t="s">
        <v>144</v>
      </c>
      <c r="J1309" s="4" t="s">
        <v>210</v>
      </c>
      <c r="K1309" s="4" t="s">
        <v>1294</v>
      </c>
      <c r="L1309" s="5">
        <v>0.3611111111111111</v>
      </c>
      <c r="M1309" s="4" t="s">
        <v>1378</v>
      </c>
      <c r="N1309" s="6" t="s">
        <v>23</v>
      </c>
      <c r="O1309" s="4" t="s">
        <v>24</v>
      </c>
    </row>
    <row r="1310" spans="1:15" x14ac:dyDescent="0.25">
      <c r="A1310" s="4" t="s">
        <v>15</v>
      </c>
      <c r="B1310" s="4" t="str">
        <f>"FES1162750780"</f>
        <v>FES1162750780</v>
      </c>
      <c r="C1310" s="4" t="s">
        <v>1189</v>
      </c>
      <c r="D1310" s="4">
        <v>1</v>
      </c>
      <c r="E1310" s="4" t="str">
        <f>"2170740880"</f>
        <v>2170740880</v>
      </c>
      <c r="F1310" s="4" t="s">
        <v>17</v>
      </c>
      <c r="G1310" s="4" t="s">
        <v>18</v>
      </c>
      <c r="H1310" s="4" t="s">
        <v>85</v>
      </c>
      <c r="I1310" s="4" t="s">
        <v>152</v>
      </c>
      <c r="J1310" s="4" t="s">
        <v>1063</v>
      </c>
      <c r="K1310" s="4" t="s">
        <v>1294</v>
      </c>
      <c r="L1310" s="5">
        <v>0.43124999999999997</v>
      </c>
      <c r="M1310" s="4" t="s">
        <v>1320</v>
      </c>
      <c r="N1310" s="6" t="s">
        <v>23</v>
      </c>
      <c r="O1310" s="4" t="s">
        <v>24</v>
      </c>
    </row>
    <row r="1311" spans="1:15" x14ac:dyDescent="0.25">
      <c r="A1311" s="4" t="s">
        <v>15</v>
      </c>
      <c r="B1311" s="4" t="str">
        <f>"FES1162750752"</f>
        <v>FES1162750752</v>
      </c>
      <c r="C1311" s="4" t="s">
        <v>1189</v>
      </c>
      <c r="D1311" s="4">
        <v>1</v>
      </c>
      <c r="E1311" s="4" t="str">
        <f>"2170740598"</f>
        <v>2170740598</v>
      </c>
      <c r="F1311" s="4" t="s">
        <v>17</v>
      </c>
      <c r="G1311" s="4" t="s">
        <v>18</v>
      </c>
      <c r="H1311" s="4" t="s">
        <v>40</v>
      </c>
      <c r="I1311" s="4" t="s">
        <v>41</v>
      </c>
      <c r="J1311" s="4" t="s">
        <v>358</v>
      </c>
      <c r="K1311" s="4" t="s">
        <v>1294</v>
      </c>
      <c r="L1311" s="5">
        <v>0.52083333333333337</v>
      </c>
      <c r="M1311" s="4" t="s">
        <v>1455</v>
      </c>
      <c r="N1311" s="6" t="s">
        <v>23</v>
      </c>
      <c r="O1311" s="4" t="s">
        <v>24</v>
      </c>
    </row>
    <row r="1312" spans="1:15" x14ac:dyDescent="0.25">
      <c r="A1312" s="4" t="s">
        <v>15</v>
      </c>
      <c r="B1312" s="4" t="str">
        <f>"FES1162750128"</f>
        <v>FES1162750128</v>
      </c>
      <c r="C1312" s="4" t="s">
        <v>1189</v>
      </c>
      <c r="D1312" s="4">
        <v>1</v>
      </c>
      <c r="E1312" s="4" t="str">
        <f>"2170733896"</f>
        <v>2170733896</v>
      </c>
      <c r="F1312" s="4" t="s">
        <v>17</v>
      </c>
      <c r="G1312" s="4" t="s">
        <v>18</v>
      </c>
      <c r="H1312" s="4" t="s">
        <v>40</v>
      </c>
      <c r="I1312" s="4" t="s">
        <v>41</v>
      </c>
      <c r="J1312" s="4" t="s">
        <v>596</v>
      </c>
      <c r="K1312" s="4" t="s">
        <v>1294</v>
      </c>
      <c r="L1312" s="5">
        <v>0.3972222222222222</v>
      </c>
      <c r="M1312" s="4" t="s">
        <v>1456</v>
      </c>
      <c r="N1312" s="6" t="s">
        <v>23</v>
      </c>
      <c r="O1312" s="4" t="s">
        <v>24</v>
      </c>
    </row>
    <row r="1313" spans="1:15" x14ac:dyDescent="0.25">
      <c r="A1313" s="4" t="s">
        <v>15</v>
      </c>
      <c r="B1313" s="4" t="str">
        <f>"FES1162750757"</f>
        <v>FES1162750757</v>
      </c>
      <c r="C1313" s="4" t="s">
        <v>1189</v>
      </c>
      <c r="D1313" s="4">
        <v>1</v>
      </c>
      <c r="E1313" s="4" t="str">
        <f>"2170740839"</f>
        <v>2170740839</v>
      </c>
      <c r="F1313" s="4" t="s">
        <v>17</v>
      </c>
      <c r="G1313" s="4" t="s">
        <v>18</v>
      </c>
      <c r="H1313" s="4" t="s">
        <v>40</v>
      </c>
      <c r="I1313" s="4" t="s">
        <v>41</v>
      </c>
      <c r="J1313" s="4" t="s">
        <v>99</v>
      </c>
      <c r="K1313" s="4" t="s">
        <v>1294</v>
      </c>
      <c r="L1313" s="5">
        <v>0.35416666666666669</v>
      </c>
      <c r="M1313" s="4" t="s">
        <v>1295</v>
      </c>
      <c r="N1313" s="6" t="s">
        <v>23</v>
      </c>
      <c r="O1313" s="4" t="s">
        <v>24</v>
      </c>
    </row>
    <row r="1314" spans="1:15" x14ac:dyDescent="0.25">
      <c r="A1314" s="4" t="s">
        <v>15</v>
      </c>
      <c r="B1314" s="4" t="str">
        <f>"FES1162750827"</f>
        <v>FES1162750827</v>
      </c>
      <c r="C1314" s="4" t="s">
        <v>1189</v>
      </c>
      <c r="D1314" s="4">
        <v>1</v>
      </c>
      <c r="E1314" s="4" t="str">
        <f>"2170740915"</f>
        <v>2170740915</v>
      </c>
      <c r="F1314" s="4" t="s">
        <v>17</v>
      </c>
      <c r="G1314" s="4" t="s">
        <v>18</v>
      </c>
      <c r="H1314" s="4" t="s">
        <v>48</v>
      </c>
      <c r="I1314" s="4" t="s">
        <v>49</v>
      </c>
      <c r="J1314" s="4" t="s">
        <v>339</v>
      </c>
      <c r="K1314" s="4" t="s">
        <v>1294</v>
      </c>
      <c r="L1314" s="5">
        <v>0.39583333333333331</v>
      </c>
      <c r="M1314" s="4" t="s">
        <v>487</v>
      </c>
      <c r="N1314" s="6" t="s">
        <v>23</v>
      </c>
      <c r="O1314" s="4" t="s">
        <v>24</v>
      </c>
    </row>
    <row r="1315" spans="1:15" x14ac:dyDescent="0.25">
      <c r="A1315" s="4" t="s">
        <v>15</v>
      </c>
      <c r="B1315" s="4" t="str">
        <f>"FES1162750799"</f>
        <v>FES1162750799</v>
      </c>
      <c r="C1315" s="4" t="s">
        <v>1189</v>
      </c>
      <c r="D1315" s="4">
        <v>1</v>
      </c>
      <c r="E1315" s="4" t="str">
        <f>"2170739371"</f>
        <v>2170739371</v>
      </c>
      <c r="F1315" s="4" t="s">
        <v>17</v>
      </c>
      <c r="G1315" s="4" t="s">
        <v>18</v>
      </c>
      <c r="H1315" s="4" t="s">
        <v>85</v>
      </c>
      <c r="I1315" s="4" t="s">
        <v>144</v>
      </c>
      <c r="J1315" s="4" t="s">
        <v>291</v>
      </c>
      <c r="K1315" s="4" t="s">
        <v>1294</v>
      </c>
      <c r="L1315" s="5">
        <v>0.36180555555555555</v>
      </c>
      <c r="M1315" s="4" t="s">
        <v>1457</v>
      </c>
      <c r="N1315" s="6" t="s">
        <v>23</v>
      </c>
      <c r="O1315" s="4" t="s">
        <v>24</v>
      </c>
    </row>
    <row r="1316" spans="1:15" x14ac:dyDescent="0.25">
      <c r="A1316" s="4" t="s">
        <v>15</v>
      </c>
      <c r="B1316" s="4" t="str">
        <f>"FES1162750820"</f>
        <v>FES1162750820</v>
      </c>
      <c r="C1316" s="4" t="s">
        <v>1189</v>
      </c>
      <c r="D1316" s="4">
        <v>1</v>
      </c>
      <c r="E1316" s="4" t="str">
        <f>"2170739787"</f>
        <v>2170739787</v>
      </c>
      <c r="F1316" s="4" t="s">
        <v>17</v>
      </c>
      <c r="G1316" s="4" t="s">
        <v>18</v>
      </c>
      <c r="H1316" s="4" t="s">
        <v>85</v>
      </c>
      <c r="I1316" s="4" t="s">
        <v>207</v>
      </c>
      <c r="J1316" s="4" t="s">
        <v>245</v>
      </c>
      <c r="K1316" s="4" t="s">
        <v>1294</v>
      </c>
      <c r="L1316" s="5">
        <v>0.38055555555555554</v>
      </c>
      <c r="M1316" s="4" t="s">
        <v>909</v>
      </c>
      <c r="N1316" s="6" t="s">
        <v>23</v>
      </c>
      <c r="O1316" s="4" t="s">
        <v>24</v>
      </c>
    </row>
    <row r="1317" spans="1:15" x14ac:dyDescent="0.25">
      <c r="A1317" s="11" t="s">
        <v>15</v>
      </c>
      <c r="B1317" s="11" t="str">
        <f>"FES1162750828"</f>
        <v>FES1162750828</v>
      </c>
      <c r="C1317" s="11" t="s">
        <v>1189</v>
      </c>
      <c r="D1317" s="11">
        <v>1</v>
      </c>
      <c r="E1317" s="11" t="str">
        <f>"2170740921"</f>
        <v>2170740921</v>
      </c>
      <c r="F1317" s="11" t="s">
        <v>17</v>
      </c>
      <c r="G1317" s="11" t="s">
        <v>18</v>
      </c>
      <c r="H1317" s="11" t="s">
        <v>18</v>
      </c>
      <c r="I1317" s="11" t="s">
        <v>19</v>
      </c>
      <c r="J1317" s="11" t="s">
        <v>20</v>
      </c>
      <c r="K1317" s="11" t="s">
        <v>1294</v>
      </c>
      <c r="L1317" s="12">
        <v>0.41736111111111113</v>
      </c>
      <c r="M1317" s="11" t="s">
        <v>664</v>
      </c>
      <c r="N1317" s="13" t="s">
        <v>23</v>
      </c>
      <c r="O1317" s="11" t="s">
        <v>24</v>
      </c>
    </row>
    <row r="1318" spans="1:15" x14ac:dyDescent="0.25">
      <c r="A1318" s="11" t="s">
        <v>15</v>
      </c>
      <c r="B1318" s="11" t="str">
        <f>"FES1162750781"</f>
        <v>FES1162750781</v>
      </c>
      <c r="C1318" s="11" t="s">
        <v>1189</v>
      </c>
      <c r="D1318" s="11">
        <v>1</v>
      </c>
      <c r="E1318" s="11" t="str">
        <f>"2170740882"</f>
        <v>2170740882</v>
      </c>
      <c r="F1318" s="11" t="s">
        <v>17</v>
      </c>
      <c r="G1318" s="11" t="s">
        <v>18</v>
      </c>
      <c r="H1318" s="11" t="s">
        <v>85</v>
      </c>
      <c r="I1318" s="11" t="s">
        <v>144</v>
      </c>
      <c r="J1318" s="11" t="s">
        <v>1382</v>
      </c>
      <c r="K1318" s="11" t="s">
        <v>1294</v>
      </c>
      <c r="L1318" s="12">
        <v>0.41736111111111113</v>
      </c>
      <c r="M1318" s="11" t="s">
        <v>1636</v>
      </c>
      <c r="N1318" s="13" t="s">
        <v>23</v>
      </c>
      <c r="O1318" s="11" t="s">
        <v>1548</v>
      </c>
    </row>
    <row r="1319" spans="1:15" x14ac:dyDescent="0.25">
      <c r="A1319" s="11" t="s">
        <v>15</v>
      </c>
      <c r="B1319" s="11" t="str">
        <f>"FES1162750749"</f>
        <v>FES1162750749</v>
      </c>
      <c r="C1319" s="11" t="s">
        <v>1189</v>
      </c>
      <c r="D1319" s="11">
        <v>1</v>
      </c>
      <c r="E1319" s="11" t="str">
        <f>"2170740038"</f>
        <v>2170740038</v>
      </c>
      <c r="F1319" s="11" t="s">
        <v>17</v>
      </c>
      <c r="G1319" s="11" t="s">
        <v>18</v>
      </c>
      <c r="H1319" s="11" t="s">
        <v>18</v>
      </c>
      <c r="I1319" s="11" t="s">
        <v>29</v>
      </c>
      <c r="J1319" s="11" t="s">
        <v>300</v>
      </c>
      <c r="K1319" s="11" t="s">
        <v>1294</v>
      </c>
      <c r="L1319" s="12">
        <v>0.41388888888888892</v>
      </c>
      <c r="M1319" s="11" t="s">
        <v>1458</v>
      </c>
      <c r="N1319" s="13" t="s">
        <v>23</v>
      </c>
      <c r="O1319" s="11" t="s">
        <v>24</v>
      </c>
    </row>
    <row r="1320" spans="1:15" x14ac:dyDescent="0.25">
      <c r="A1320" s="11" t="s">
        <v>15</v>
      </c>
      <c r="B1320" s="11" t="str">
        <f>"FES1162750848"</f>
        <v>FES1162750848</v>
      </c>
      <c r="C1320" s="11" t="s">
        <v>1189</v>
      </c>
      <c r="D1320" s="11">
        <v>1</v>
      </c>
      <c r="E1320" s="11" t="str">
        <f>"217040946"</f>
        <v>217040946</v>
      </c>
      <c r="F1320" s="11" t="s">
        <v>17</v>
      </c>
      <c r="G1320" s="11" t="s">
        <v>18</v>
      </c>
      <c r="H1320" s="11" t="s">
        <v>18</v>
      </c>
      <c r="I1320" s="11" t="s">
        <v>183</v>
      </c>
      <c r="J1320" s="11" t="s">
        <v>353</v>
      </c>
      <c r="K1320" s="11" t="s">
        <v>1294</v>
      </c>
      <c r="L1320" s="12">
        <v>0.34027777777777773</v>
      </c>
      <c r="M1320" s="11" t="s">
        <v>354</v>
      </c>
      <c r="N1320" s="13" t="s">
        <v>23</v>
      </c>
      <c r="O1320" s="11" t="s">
        <v>24</v>
      </c>
    </row>
    <row r="1321" spans="1:15" x14ac:dyDescent="0.25">
      <c r="A1321" s="11" t="s">
        <v>15</v>
      </c>
      <c r="B1321" s="11" t="str">
        <f>"FES1162750798"</f>
        <v>FES1162750798</v>
      </c>
      <c r="C1321" s="11" t="s">
        <v>1189</v>
      </c>
      <c r="D1321" s="11">
        <v>1</v>
      </c>
      <c r="E1321" s="11" t="str">
        <f>"2170740905"</f>
        <v>2170740905</v>
      </c>
      <c r="F1321" s="11" t="s">
        <v>17</v>
      </c>
      <c r="G1321" s="11" t="s">
        <v>18</v>
      </c>
      <c r="H1321" s="11" t="s">
        <v>18</v>
      </c>
      <c r="I1321" s="11" t="s">
        <v>121</v>
      </c>
      <c r="J1321" s="11" t="s">
        <v>1383</v>
      </c>
      <c r="K1321" s="11" t="s">
        <v>1294</v>
      </c>
      <c r="L1321" s="12">
        <v>0.33333333333333331</v>
      </c>
      <c r="M1321" s="11" t="s">
        <v>1459</v>
      </c>
      <c r="N1321" s="13" t="s">
        <v>23</v>
      </c>
      <c r="O1321" s="11" t="s">
        <v>24</v>
      </c>
    </row>
    <row r="1322" spans="1:15" x14ac:dyDescent="0.25">
      <c r="A1322" s="4" t="s">
        <v>15</v>
      </c>
      <c r="B1322" s="4" t="str">
        <f>"FES1162750845"</f>
        <v>FES1162750845</v>
      </c>
      <c r="C1322" s="4" t="s">
        <v>1189</v>
      </c>
      <c r="D1322" s="4">
        <v>1</v>
      </c>
      <c r="E1322" s="4" t="str">
        <f>"217040938"</f>
        <v>217040938</v>
      </c>
      <c r="F1322" s="4" t="s">
        <v>17</v>
      </c>
      <c r="G1322" s="4" t="s">
        <v>18</v>
      </c>
      <c r="H1322" s="4" t="s">
        <v>48</v>
      </c>
      <c r="I1322" s="4" t="s">
        <v>73</v>
      </c>
      <c r="J1322" s="4" t="s">
        <v>606</v>
      </c>
      <c r="K1322" s="4" t="s">
        <v>1294</v>
      </c>
      <c r="L1322" s="5">
        <v>0.52916666666666667</v>
      </c>
      <c r="M1322" s="4" t="s">
        <v>720</v>
      </c>
      <c r="N1322" s="6" t="s">
        <v>23</v>
      </c>
      <c r="O1322" s="4" t="s">
        <v>24</v>
      </c>
    </row>
    <row r="1323" spans="1:15" x14ac:dyDescent="0.25">
      <c r="A1323" s="4" t="s">
        <v>15</v>
      </c>
      <c r="B1323" s="4" t="str">
        <f>"FES1162750829"</f>
        <v>FES1162750829</v>
      </c>
      <c r="C1323" s="4" t="s">
        <v>1189</v>
      </c>
      <c r="D1323" s="4">
        <v>1</v>
      </c>
      <c r="E1323" s="4" t="str">
        <f>"2170740923"</f>
        <v>2170740923</v>
      </c>
      <c r="F1323" s="4" t="s">
        <v>17</v>
      </c>
      <c r="G1323" s="4" t="s">
        <v>18</v>
      </c>
      <c r="H1323" s="4" t="s">
        <v>48</v>
      </c>
      <c r="I1323" s="4" t="s">
        <v>73</v>
      </c>
      <c r="J1323" s="4" t="s">
        <v>1201</v>
      </c>
      <c r="K1323" s="4" t="s">
        <v>1294</v>
      </c>
      <c r="L1323" s="5">
        <v>0.51597222222222217</v>
      </c>
      <c r="M1323" s="4" t="s">
        <v>1201</v>
      </c>
      <c r="N1323" s="6" t="s">
        <v>23</v>
      </c>
      <c r="O1323" s="4" t="s">
        <v>24</v>
      </c>
    </row>
    <row r="1324" spans="1:15" x14ac:dyDescent="0.25">
      <c r="A1324" s="4" t="s">
        <v>15</v>
      </c>
      <c r="B1324" s="4" t="str">
        <f>"FES1162750824"</f>
        <v>FES1162750824</v>
      </c>
      <c r="C1324" s="4" t="s">
        <v>1189</v>
      </c>
      <c r="D1324" s="4">
        <v>1</v>
      </c>
      <c r="E1324" s="4" t="str">
        <f>"2170740922"</f>
        <v>2170740922</v>
      </c>
      <c r="F1324" s="4" t="s">
        <v>17</v>
      </c>
      <c r="G1324" s="4" t="s">
        <v>18</v>
      </c>
      <c r="H1324" s="4" t="s">
        <v>48</v>
      </c>
      <c r="I1324" s="4" t="s">
        <v>49</v>
      </c>
      <c r="J1324" s="4" t="s">
        <v>1384</v>
      </c>
      <c r="K1324" s="4" t="s">
        <v>1294</v>
      </c>
      <c r="L1324" s="5">
        <v>0.42708333333333331</v>
      </c>
      <c r="M1324" s="4" t="s">
        <v>1460</v>
      </c>
      <c r="N1324" s="6" t="s">
        <v>23</v>
      </c>
      <c r="O1324" s="4" t="s">
        <v>24</v>
      </c>
    </row>
    <row r="1325" spans="1:15" x14ac:dyDescent="0.25">
      <c r="A1325" s="4" t="s">
        <v>15</v>
      </c>
      <c r="B1325" s="4" t="str">
        <f>"FES1162750787"</f>
        <v>FES1162750787</v>
      </c>
      <c r="C1325" s="4" t="s">
        <v>1189</v>
      </c>
      <c r="D1325" s="4">
        <v>1</v>
      </c>
      <c r="E1325" s="4" t="str">
        <f>"2170738971"</f>
        <v>2170738971</v>
      </c>
      <c r="F1325" s="4" t="s">
        <v>1162</v>
      </c>
      <c r="G1325" s="4" t="s">
        <v>1163</v>
      </c>
      <c r="H1325" s="4" t="s">
        <v>40</v>
      </c>
      <c r="I1325" s="4" t="s">
        <v>41</v>
      </c>
      <c r="J1325" s="4" t="s">
        <v>359</v>
      </c>
      <c r="K1325" s="4" t="s">
        <v>1294</v>
      </c>
      <c r="L1325" s="5">
        <v>0.39583333333333331</v>
      </c>
      <c r="M1325" s="4" t="s">
        <v>1443</v>
      </c>
      <c r="N1325" s="6" t="s">
        <v>23</v>
      </c>
      <c r="O1325" s="4" t="s">
        <v>24</v>
      </c>
    </row>
    <row r="1326" spans="1:15" x14ac:dyDescent="0.25">
      <c r="A1326" s="4" t="s">
        <v>15</v>
      </c>
      <c r="B1326" s="4" t="str">
        <f>"FES1162750745"</f>
        <v>FES1162750745</v>
      </c>
      <c r="C1326" s="4" t="s">
        <v>1189</v>
      </c>
      <c r="D1326" s="4">
        <v>1</v>
      </c>
      <c r="E1326" s="4" t="str">
        <f>"2170739787"</f>
        <v>2170739787</v>
      </c>
      <c r="F1326" s="4" t="s">
        <v>17</v>
      </c>
      <c r="G1326" s="4" t="s">
        <v>18</v>
      </c>
      <c r="H1326" s="4" t="s">
        <v>85</v>
      </c>
      <c r="I1326" s="4" t="s">
        <v>207</v>
      </c>
      <c r="J1326" s="4" t="s">
        <v>245</v>
      </c>
      <c r="K1326" s="4" t="s">
        <v>1294</v>
      </c>
      <c r="L1326" s="5">
        <v>0.37986111111111115</v>
      </c>
      <c r="M1326" s="4" t="s">
        <v>909</v>
      </c>
      <c r="N1326" s="6" t="s">
        <v>23</v>
      </c>
      <c r="O1326" s="4" t="s">
        <v>24</v>
      </c>
    </row>
    <row r="1327" spans="1:15" x14ac:dyDescent="0.25">
      <c r="A1327" s="4" t="s">
        <v>15</v>
      </c>
      <c r="B1327" s="4" t="str">
        <f>"FES1162750767"</f>
        <v>FES1162750767</v>
      </c>
      <c r="C1327" s="4" t="s">
        <v>1189</v>
      </c>
      <c r="D1327" s="4">
        <v>1</v>
      </c>
      <c r="E1327" s="4" t="str">
        <f>"2170740864"</f>
        <v>2170740864</v>
      </c>
      <c r="F1327" s="4" t="s">
        <v>17</v>
      </c>
      <c r="G1327" s="4" t="s">
        <v>18</v>
      </c>
      <c r="H1327" s="4" t="s">
        <v>40</v>
      </c>
      <c r="I1327" s="4" t="s">
        <v>870</v>
      </c>
      <c r="J1327" s="4" t="s">
        <v>1062</v>
      </c>
      <c r="K1327" s="4" t="s">
        <v>1294</v>
      </c>
      <c r="L1327" s="5">
        <v>0.43055555555555558</v>
      </c>
      <c r="M1327" s="4" t="s">
        <v>1461</v>
      </c>
      <c r="N1327" s="6" t="s">
        <v>23</v>
      </c>
      <c r="O1327" s="4" t="s">
        <v>24</v>
      </c>
    </row>
    <row r="1328" spans="1:15" x14ac:dyDescent="0.25">
      <c r="A1328" s="4" t="s">
        <v>15</v>
      </c>
      <c r="B1328" s="4" t="str">
        <f>"FES1162750810"</f>
        <v>FES1162750810</v>
      </c>
      <c r="C1328" s="4" t="s">
        <v>1189</v>
      </c>
      <c r="D1328" s="4">
        <v>1</v>
      </c>
      <c r="E1328" s="4" t="str">
        <f>"2170738368"</f>
        <v>2170738368</v>
      </c>
      <c r="F1328" s="4" t="s">
        <v>1162</v>
      </c>
      <c r="G1328" s="4" t="s">
        <v>1163</v>
      </c>
      <c r="H1328" s="4" t="s">
        <v>1163</v>
      </c>
      <c r="I1328" s="4" t="s">
        <v>29</v>
      </c>
      <c r="J1328" s="4" t="s">
        <v>258</v>
      </c>
      <c r="K1328" s="4" t="s">
        <v>1294</v>
      </c>
      <c r="L1328" s="5">
        <v>0.43055555555555558</v>
      </c>
      <c r="M1328" s="4" t="s">
        <v>1454</v>
      </c>
      <c r="N1328" s="6" t="s">
        <v>23</v>
      </c>
      <c r="O1328" s="4" t="s">
        <v>24</v>
      </c>
    </row>
    <row r="1329" spans="1:15" x14ac:dyDescent="0.25">
      <c r="A1329" s="4" t="s">
        <v>15</v>
      </c>
      <c r="B1329" s="4" t="str">
        <f>"FES1162750765"</f>
        <v>FES1162750765</v>
      </c>
      <c r="C1329" s="4" t="s">
        <v>1189</v>
      </c>
      <c r="D1329" s="4">
        <v>1</v>
      </c>
      <c r="E1329" s="4" t="str">
        <f>"2170740855"</f>
        <v>2170740855</v>
      </c>
      <c r="F1329" s="4" t="s">
        <v>17</v>
      </c>
      <c r="G1329" s="4" t="s">
        <v>18</v>
      </c>
      <c r="H1329" s="4" t="s">
        <v>18</v>
      </c>
      <c r="I1329" s="4" t="s">
        <v>29</v>
      </c>
      <c r="J1329" s="4" t="s">
        <v>302</v>
      </c>
      <c r="K1329" s="4" t="s">
        <v>1294</v>
      </c>
      <c r="L1329" s="5">
        <v>0.33333333333333331</v>
      </c>
      <c r="M1329" s="4" t="s">
        <v>462</v>
      </c>
      <c r="N1329" s="6" t="s">
        <v>23</v>
      </c>
      <c r="O1329" s="4" t="s">
        <v>24</v>
      </c>
    </row>
    <row r="1330" spans="1:15" x14ac:dyDescent="0.25">
      <c r="A1330" s="4" t="s">
        <v>15</v>
      </c>
      <c r="B1330" s="4" t="str">
        <f>"FES1162750741"</f>
        <v>FES1162750741</v>
      </c>
      <c r="C1330" s="4" t="s">
        <v>1189</v>
      </c>
      <c r="D1330" s="4">
        <v>1</v>
      </c>
      <c r="E1330" s="4" t="str">
        <f>"2170737770"</f>
        <v>2170737770</v>
      </c>
      <c r="F1330" s="4" t="s">
        <v>17</v>
      </c>
      <c r="G1330" s="4" t="s">
        <v>18</v>
      </c>
      <c r="H1330" s="4" t="s">
        <v>18</v>
      </c>
      <c r="I1330" s="4" t="s">
        <v>97</v>
      </c>
      <c r="J1330" s="4" t="s">
        <v>859</v>
      </c>
      <c r="K1330" s="4" t="s">
        <v>1294</v>
      </c>
      <c r="L1330" s="5">
        <v>0.30555555555555552</v>
      </c>
      <c r="M1330" s="4" t="s">
        <v>1022</v>
      </c>
      <c r="N1330" s="6" t="s">
        <v>23</v>
      </c>
      <c r="O1330" s="4" t="s">
        <v>24</v>
      </c>
    </row>
    <row r="1331" spans="1:15" x14ac:dyDescent="0.25">
      <c r="A1331" s="4" t="s">
        <v>15</v>
      </c>
      <c r="B1331" s="4" t="str">
        <f>"FES1162750742"</f>
        <v>FES1162750742</v>
      </c>
      <c r="C1331" s="4" t="s">
        <v>1189</v>
      </c>
      <c r="D1331" s="4">
        <v>1</v>
      </c>
      <c r="E1331" s="4" t="str">
        <f>"2170739074"</f>
        <v>2170739074</v>
      </c>
      <c r="F1331" s="4" t="s">
        <v>17</v>
      </c>
      <c r="G1331" s="4" t="s">
        <v>18</v>
      </c>
      <c r="H1331" s="4" t="s">
        <v>18</v>
      </c>
      <c r="I1331" s="4" t="s">
        <v>29</v>
      </c>
      <c r="J1331" s="4" t="s">
        <v>190</v>
      </c>
      <c r="K1331" s="4" t="s">
        <v>1294</v>
      </c>
      <c r="L1331" s="5">
        <v>0.3430555555555555</v>
      </c>
      <c r="M1331" s="4" t="s">
        <v>475</v>
      </c>
      <c r="N1331" s="6" t="s">
        <v>23</v>
      </c>
      <c r="O1331" s="4" t="s">
        <v>24</v>
      </c>
    </row>
    <row r="1332" spans="1:15" x14ac:dyDescent="0.25">
      <c r="A1332" s="4" t="s">
        <v>15</v>
      </c>
      <c r="B1332" s="4" t="str">
        <f>"FES1162750809"</f>
        <v>FES1162750809</v>
      </c>
      <c r="C1332" s="4" t="s">
        <v>1189</v>
      </c>
      <c r="D1332" s="4">
        <v>2</v>
      </c>
      <c r="E1332" s="4" t="str">
        <f>"2170737291"</f>
        <v>2170737291</v>
      </c>
      <c r="F1332" s="4" t="s">
        <v>17</v>
      </c>
      <c r="G1332" s="4" t="s">
        <v>18</v>
      </c>
      <c r="H1332" s="4" t="s">
        <v>18</v>
      </c>
      <c r="I1332" s="4" t="s">
        <v>29</v>
      </c>
      <c r="J1332" s="4" t="s">
        <v>298</v>
      </c>
      <c r="K1332" s="4" t="s">
        <v>1294</v>
      </c>
      <c r="L1332" s="5">
        <v>0.43055555555555558</v>
      </c>
      <c r="M1332" s="4" t="s">
        <v>1454</v>
      </c>
      <c r="N1332" s="6" t="s">
        <v>23</v>
      </c>
      <c r="O1332" s="4" t="s">
        <v>24</v>
      </c>
    </row>
    <row r="1333" spans="1:15" x14ac:dyDescent="0.25">
      <c r="A1333" s="4" t="s">
        <v>15</v>
      </c>
      <c r="B1333" s="4" t="str">
        <f>"FES1162750850"</f>
        <v>FES1162750850</v>
      </c>
      <c r="C1333" s="4" t="s">
        <v>1189</v>
      </c>
      <c r="D1333" s="4">
        <v>2</v>
      </c>
      <c r="E1333" s="4" t="str">
        <f>"2170739215"</f>
        <v>2170739215</v>
      </c>
      <c r="F1333" s="4" t="s">
        <v>17</v>
      </c>
      <c r="G1333" s="4" t="s">
        <v>18</v>
      </c>
      <c r="H1333" s="4" t="s">
        <v>48</v>
      </c>
      <c r="I1333" s="4" t="s">
        <v>49</v>
      </c>
      <c r="J1333" s="4" t="s">
        <v>602</v>
      </c>
      <c r="K1333" s="4" t="s">
        <v>1294</v>
      </c>
      <c r="L1333" s="5">
        <v>0.41666666666666669</v>
      </c>
      <c r="M1333" s="4" t="s">
        <v>1440</v>
      </c>
      <c r="N1333" s="6" t="s">
        <v>23</v>
      </c>
      <c r="O1333" s="4" t="s">
        <v>24</v>
      </c>
    </row>
    <row r="1334" spans="1:15" x14ac:dyDescent="0.25">
      <c r="A1334" s="4" t="s">
        <v>15</v>
      </c>
      <c r="B1334" s="4" t="str">
        <f>"FES1162750775"</f>
        <v>FES1162750775</v>
      </c>
      <c r="C1334" s="4" t="s">
        <v>1189</v>
      </c>
      <c r="D1334" s="4">
        <v>1</v>
      </c>
      <c r="E1334" s="4" t="str">
        <f>"2170740875"</f>
        <v>2170740875</v>
      </c>
      <c r="F1334" s="4" t="s">
        <v>164</v>
      </c>
      <c r="G1334" s="4" t="s">
        <v>18</v>
      </c>
      <c r="H1334" s="4" t="s">
        <v>18</v>
      </c>
      <c r="I1334" s="4" t="s">
        <v>219</v>
      </c>
      <c r="J1334" s="4" t="s">
        <v>554</v>
      </c>
      <c r="K1334" s="4" t="s">
        <v>1294</v>
      </c>
      <c r="L1334" s="5">
        <v>0.44305555555555554</v>
      </c>
      <c r="M1334" s="4" t="s">
        <v>1462</v>
      </c>
      <c r="N1334" s="6" t="s">
        <v>23</v>
      </c>
      <c r="O1334" s="4" t="s">
        <v>166</v>
      </c>
    </row>
    <row r="1335" spans="1:15" x14ac:dyDescent="0.25">
      <c r="A1335" s="4" t="s">
        <v>15</v>
      </c>
      <c r="B1335" s="4" t="str">
        <f>"FES1162750831"</f>
        <v>FES1162750831</v>
      </c>
      <c r="C1335" s="4" t="s">
        <v>1189</v>
      </c>
      <c r="D1335" s="4">
        <v>1</v>
      </c>
      <c r="E1335" s="4" t="str">
        <f>"2170740925"</f>
        <v>2170740925</v>
      </c>
      <c r="F1335" s="4" t="s">
        <v>17</v>
      </c>
      <c r="G1335" s="4" t="s">
        <v>18</v>
      </c>
      <c r="H1335" s="4" t="s">
        <v>48</v>
      </c>
      <c r="I1335" s="4" t="s">
        <v>49</v>
      </c>
      <c r="J1335" s="4" t="s">
        <v>252</v>
      </c>
      <c r="K1335" s="4" t="s">
        <v>1294</v>
      </c>
      <c r="L1335" s="5">
        <v>0.3840277777777778</v>
      </c>
      <c r="M1335" s="4" t="s">
        <v>1463</v>
      </c>
      <c r="N1335" s="6" t="s">
        <v>23</v>
      </c>
      <c r="O1335" s="4" t="s">
        <v>24</v>
      </c>
    </row>
    <row r="1336" spans="1:15" x14ac:dyDescent="0.25">
      <c r="A1336" s="4" t="s">
        <v>15</v>
      </c>
      <c r="B1336" s="4" t="str">
        <f>"FES1162750821"</f>
        <v>FES1162750821</v>
      </c>
      <c r="C1336" s="4" t="s">
        <v>1189</v>
      </c>
      <c r="D1336" s="4">
        <v>1</v>
      </c>
      <c r="E1336" s="4" t="str">
        <f>"2170739583"</f>
        <v>2170739583</v>
      </c>
      <c r="F1336" s="4" t="s">
        <v>17</v>
      </c>
      <c r="G1336" s="4" t="s">
        <v>18</v>
      </c>
      <c r="H1336" s="4" t="s">
        <v>85</v>
      </c>
      <c r="I1336" s="4" t="s">
        <v>207</v>
      </c>
      <c r="J1336" s="4" t="s">
        <v>1234</v>
      </c>
      <c r="K1336" s="4" t="s">
        <v>1294</v>
      </c>
      <c r="L1336" s="5">
        <v>0.4826388888888889</v>
      </c>
      <c r="M1336" s="4" t="s">
        <v>1464</v>
      </c>
      <c r="N1336" s="6" t="s">
        <v>23</v>
      </c>
      <c r="O1336" s="4" t="s">
        <v>24</v>
      </c>
    </row>
    <row r="1337" spans="1:15" x14ac:dyDescent="0.25">
      <c r="A1337" s="4" t="s">
        <v>15</v>
      </c>
      <c r="B1337" s="4" t="str">
        <f>"FES1162750833"</f>
        <v>FES1162750833</v>
      </c>
      <c r="C1337" s="4" t="s">
        <v>1189</v>
      </c>
      <c r="D1337" s="4">
        <v>1</v>
      </c>
      <c r="E1337" s="4" t="str">
        <f>"21707409287"</f>
        <v>21707409287</v>
      </c>
      <c r="F1337" s="4" t="s">
        <v>17</v>
      </c>
      <c r="G1337" s="4" t="s">
        <v>18</v>
      </c>
      <c r="H1337" s="4" t="s">
        <v>32</v>
      </c>
      <c r="I1337" s="4" t="s">
        <v>33</v>
      </c>
      <c r="J1337" s="4" t="s">
        <v>388</v>
      </c>
      <c r="K1337" s="4" t="s">
        <v>1294</v>
      </c>
      <c r="L1337" s="5">
        <v>0.40972222222222227</v>
      </c>
      <c r="M1337" s="4" t="s">
        <v>949</v>
      </c>
      <c r="N1337" s="6" t="s">
        <v>23</v>
      </c>
      <c r="O1337" s="4" t="s">
        <v>24</v>
      </c>
    </row>
    <row r="1338" spans="1:15" x14ac:dyDescent="0.25">
      <c r="A1338" s="4" t="s">
        <v>15</v>
      </c>
      <c r="B1338" s="4" t="str">
        <f>"FES1162750834"</f>
        <v>FES1162750834</v>
      </c>
      <c r="C1338" s="4" t="s">
        <v>1189</v>
      </c>
      <c r="D1338" s="4">
        <v>1</v>
      </c>
      <c r="E1338" s="4" t="str">
        <f>"2170740929"</f>
        <v>2170740929</v>
      </c>
      <c r="F1338" s="4" t="s">
        <v>17</v>
      </c>
      <c r="G1338" s="4" t="s">
        <v>18</v>
      </c>
      <c r="H1338" s="4" t="s">
        <v>32</v>
      </c>
      <c r="I1338" s="4" t="s">
        <v>33</v>
      </c>
      <c r="J1338" s="4" t="s">
        <v>388</v>
      </c>
      <c r="K1338" s="4" t="s">
        <v>1294</v>
      </c>
      <c r="L1338" s="5">
        <v>0.40972222222222227</v>
      </c>
      <c r="M1338" s="4" t="s">
        <v>949</v>
      </c>
      <c r="N1338" s="6" t="s">
        <v>23</v>
      </c>
      <c r="O1338" s="4" t="s">
        <v>24</v>
      </c>
    </row>
    <row r="1339" spans="1:15" x14ac:dyDescent="0.25">
      <c r="A1339" s="4" t="s">
        <v>15</v>
      </c>
      <c r="B1339" s="4" t="str">
        <f>"FES1162750836"</f>
        <v>FES1162750836</v>
      </c>
      <c r="C1339" s="4" t="s">
        <v>1189</v>
      </c>
      <c r="D1339" s="4">
        <v>1</v>
      </c>
      <c r="E1339" s="4" t="str">
        <f>"2170740931"</f>
        <v>2170740931</v>
      </c>
      <c r="F1339" s="4" t="s">
        <v>17</v>
      </c>
      <c r="G1339" s="4" t="s">
        <v>18</v>
      </c>
      <c r="H1339" s="4" t="s">
        <v>18</v>
      </c>
      <c r="I1339" s="4" t="s">
        <v>29</v>
      </c>
      <c r="J1339" s="4" t="s">
        <v>550</v>
      </c>
      <c r="K1339" s="4" t="s">
        <v>1294</v>
      </c>
      <c r="L1339" s="5">
        <v>0.4375</v>
      </c>
      <c r="M1339" s="4" t="s">
        <v>161</v>
      </c>
      <c r="N1339" s="6" t="s">
        <v>23</v>
      </c>
      <c r="O1339" s="4" t="s">
        <v>24</v>
      </c>
    </row>
    <row r="1340" spans="1:15" x14ac:dyDescent="0.25">
      <c r="A1340" s="4" t="s">
        <v>15</v>
      </c>
      <c r="B1340" s="4" t="str">
        <f>"FES1162750811"</f>
        <v>FES1162750811</v>
      </c>
      <c r="C1340" s="4" t="s">
        <v>1189</v>
      </c>
      <c r="D1340" s="4">
        <v>1</v>
      </c>
      <c r="E1340" s="4" t="str">
        <f>"2170739530"</f>
        <v>2170739530</v>
      </c>
      <c r="F1340" s="4" t="s">
        <v>17</v>
      </c>
      <c r="G1340" s="4" t="s">
        <v>18</v>
      </c>
      <c r="H1340" s="4" t="s">
        <v>25</v>
      </c>
      <c r="I1340" s="4" t="s">
        <v>26</v>
      </c>
      <c r="J1340" s="4" t="s">
        <v>283</v>
      </c>
      <c r="K1340" s="4" t="s">
        <v>1294</v>
      </c>
      <c r="L1340" s="5">
        <v>0.49583333333333335</v>
      </c>
      <c r="M1340" s="4" t="s">
        <v>937</v>
      </c>
      <c r="N1340" s="6" t="s">
        <v>23</v>
      </c>
      <c r="O1340" s="4" t="s">
        <v>24</v>
      </c>
    </row>
    <row r="1341" spans="1:15" x14ac:dyDescent="0.25">
      <c r="A1341" s="4" t="s">
        <v>15</v>
      </c>
      <c r="B1341" s="4" t="str">
        <f>"FES1162750779"</f>
        <v>FES1162750779</v>
      </c>
      <c r="C1341" s="4" t="s">
        <v>1189</v>
      </c>
      <c r="D1341" s="4">
        <v>1</v>
      </c>
      <c r="E1341" s="4" t="str">
        <f>"2170740879"</f>
        <v>2170740879</v>
      </c>
      <c r="F1341" s="4" t="s">
        <v>17</v>
      </c>
      <c r="G1341" s="4" t="s">
        <v>18</v>
      </c>
      <c r="H1341" s="4" t="s">
        <v>48</v>
      </c>
      <c r="I1341" s="4" t="s">
        <v>49</v>
      </c>
      <c r="J1341" s="4" t="s">
        <v>320</v>
      </c>
      <c r="K1341" s="4" t="s">
        <v>1294</v>
      </c>
      <c r="L1341" s="5">
        <v>0.4236111111111111</v>
      </c>
      <c r="M1341" s="4" t="s">
        <v>1465</v>
      </c>
      <c r="N1341" s="6" t="s">
        <v>23</v>
      </c>
      <c r="O1341" s="4" t="s">
        <v>24</v>
      </c>
    </row>
    <row r="1342" spans="1:15" x14ac:dyDescent="0.25">
      <c r="A1342" s="4" t="s">
        <v>15</v>
      </c>
      <c r="B1342" s="4" t="str">
        <f>"FES1162750816"</f>
        <v>FES1162750816</v>
      </c>
      <c r="C1342" s="4" t="s">
        <v>1189</v>
      </c>
      <c r="D1342" s="4">
        <v>1</v>
      </c>
      <c r="E1342" s="4" t="str">
        <f>"2170739436"</f>
        <v>2170739436</v>
      </c>
      <c r="F1342" s="4" t="s">
        <v>17</v>
      </c>
      <c r="G1342" s="4" t="s">
        <v>18</v>
      </c>
      <c r="H1342" s="4" t="s">
        <v>52</v>
      </c>
      <c r="I1342" s="4" t="s">
        <v>53</v>
      </c>
      <c r="J1342" s="4" t="s">
        <v>613</v>
      </c>
      <c r="K1342" s="4" t="s">
        <v>1294</v>
      </c>
      <c r="L1342" s="5">
        <v>0.4236111111111111</v>
      </c>
      <c r="M1342" s="4" t="s">
        <v>1547</v>
      </c>
      <c r="N1342" s="6" t="s">
        <v>23</v>
      </c>
      <c r="O1342" s="4" t="s">
        <v>24</v>
      </c>
    </row>
    <row r="1343" spans="1:15" x14ac:dyDescent="0.25">
      <c r="A1343" s="4" t="s">
        <v>15</v>
      </c>
      <c r="B1343" s="4" t="str">
        <f>"FES1162750688"</f>
        <v>FES1162750688</v>
      </c>
      <c r="C1343" s="4" t="s">
        <v>1189</v>
      </c>
      <c r="D1343" s="4">
        <v>1</v>
      </c>
      <c r="E1343" s="4" t="str">
        <f>"2170740799"</f>
        <v>2170740799</v>
      </c>
      <c r="F1343" s="4" t="s">
        <v>17</v>
      </c>
      <c r="G1343" s="4" t="s">
        <v>18</v>
      </c>
      <c r="H1343" s="4" t="s">
        <v>32</v>
      </c>
      <c r="I1343" s="4" t="s">
        <v>33</v>
      </c>
      <c r="J1343" s="4" t="s">
        <v>1385</v>
      </c>
      <c r="K1343" s="4" t="s">
        <v>1294</v>
      </c>
      <c r="L1343" s="5">
        <v>0.43263888888888885</v>
      </c>
      <c r="M1343" s="4" t="s">
        <v>1466</v>
      </c>
      <c r="N1343" s="6" t="s">
        <v>23</v>
      </c>
      <c r="O1343" s="4" t="s">
        <v>24</v>
      </c>
    </row>
    <row r="1344" spans="1:15" x14ac:dyDescent="0.25">
      <c r="A1344" s="4" t="s">
        <v>15</v>
      </c>
      <c r="B1344" s="4" t="str">
        <f>"FES1162750814"</f>
        <v>FES1162750814</v>
      </c>
      <c r="C1344" s="4" t="s">
        <v>1189</v>
      </c>
      <c r="D1344" s="4">
        <v>1</v>
      </c>
      <c r="E1344" s="4" t="str">
        <f>"2170738554"</f>
        <v>2170738554</v>
      </c>
      <c r="F1344" s="4" t="s">
        <v>17</v>
      </c>
      <c r="G1344" s="4" t="s">
        <v>18</v>
      </c>
      <c r="H1344" s="4" t="s">
        <v>48</v>
      </c>
      <c r="I1344" s="4" t="s">
        <v>73</v>
      </c>
      <c r="J1344" s="4" t="s">
        <v>1386</v>
      </c>
      <c r="K1344" s="4" t="s">
        <v>1294</v>
      </c>
      <c r="L1344" s="5">
        <v>0.51250000000000007</v>
      </c>
      <c r="M1344" s="4" t="s">
        <v>1467</v>
      </c>
      <c r="N1344" s="6" t="s">
        <v>23</v>
      </c>
      <c r="O1344" s="4" t="s">
        <v>24</v>
      </c>
    </row>
    <row r="1345" spans="1:15" x14ac:dyDescent="0.25">
      <c r="A1345" s="4" t="s">
        <v>15</v>
      </c>
      <c r="B1345" s="4" t="str">
        <f>"FES1162750808"</f>
        <v>FES1162750808</v>
      </c>
      <c r="C1345" s="4" t="s">
        <v>1189</v>
      </c>
      <c r="D1345" s="4">
        <v>1</v>
      </c>
      <c r="E1345" s="4" t="str">
        <f>"2170739166"</f>
        <v>2170739166</v>
      </c>
      <c r="F1345" s="4" t="s">
        <v>17</v>
      </c>
      <c r="G1345" s="4" t="s">
        <v>18</v>
      </c>
      <c r="H1345" s="4" t="s">
        <v>25</v>
      </c>
      <c r="I1345" s="4" t="s">
        <v>26</v>
      </c>
      <c r="J1345" s="4" t="s">
        <v>416</v>
      </c>
      <c r="K1345" s="4" t="s">
        <v>1294</v>
      </c>
      <c r="L1345" s="5">
        <v>0.37916666666666665</v>
      </c>
      <c r="M1345" s="4" t="s">
        <v>1387</v>
      </c>
      <c r="N1345" s="6" t="s">
        <v>23</v>
      </c>
      <c r="O1345" s="4" t="s">
        <v>24</v>
      </c>
    </row>
    <row r="1346" spans="1:15" x14ac:dyDescent="0.25">
      <c r="A1346" s="4" t="s">
        <v>15</v>
      </c>
      <c r="B1346" s="4" t="str">
        <f>"FES1162750846"</f>
        <v>FES1162750846</v>
      </c>
      <c r="C1346" s="4" t="s">
        <v>1189</v>
      </c>
      <c r="D1346" s="4">
        <v>1</v>
      </c>
      <c r="E1346" s="4" t="str">
        <f>"2170740941"</f>
        <v>2170740941</v>
      </c>
      <c r="F1346" s="4" t="s">
        <v>17</v>
      </c>
      <c r="G1346" s="4" t="s">
        <v>18</v>
      </c>
      <c r="H1346" s="4" t="s">
        <v>48</v>
      </c>
      <c r="I1346" s="4" t="s">
        <v>49</v>
      </c>
      <c r="J1346" s="4" t="s">
        <v>1388</v>
      </c>
      <c r="K1346" s="4" t="s">
        <v>1294</v>
      </c>
      <c r="L1346" s="5">
        <v>0.29652777777777778</v>
      </c>
      <c r="M1346" s="4" t="s">
        <v>1389</v>
      </c>
      <c r="N1346" s="6" t="s">
        <v>23</v>
      </c>
      <c r="O1346" s="4" t="s">
        <v>24</v>
      </c>
    </row>
    <row r="1347" spans="1:15" x14ac:dyDescent="0.25">
      <c r="A1347" s="4" t="s">
        <v>15</v>
      </c>
      <c r="B1347" s="4" t="str">
        <f>"FES1162750755"</f>
        <v>FES1162750755</v>
      </c>
      <c r="C1347" s="4" t="s">
        <v>1189</v>
      </c>
      <c r="D1347" s="4">
        <v>1</v>
      </c>
      <c r="E1347" s="4" t="str">
        <f>"2170740786"</f>
        <v>2170740786</v>
      </c>
      <c r="F1347" s="4" t="s">
        <v>17</v>
      </c>
      <c r="G1347" s="4" t="s">
        <v>18</v>
      </c>
      <c r="H1347" s="4" t="s">
        <v>18</v>
      </c>
      <c r="I1347" s="4" t="s">
        <v>147</v>
      </c>
      <c r="J1347" s="4" t="s">
        <v>294</v>
      </c>
      <c r="K1347" s="4" t="s">
        <v>1294</v>
      </c>
      <c r="L1347" s="5">
        <v>0.41666666666666669</v>
      </c>
      <c r="M1347" s="4" t="s">
        <v>1468</v>
      </c>
      <c r="N1347" s="6" t="s">
        <v>23</v>
      </c>
      <c r="O1347" s="4" t="s">
        <v>24</v>
      </c>
    </row>
    <row r="1348" spans="1:15" x14ac:dyDescent="0.25">
      <c r="A1348" s="4" t="s">
        <v>15</v>
      </c>
      <c r="B1348" s="4" t="str">
        <f>"FES1162750858"</f>
        <v>FES1162750858</v>
      </c>
      <c r="C1348" s="4" t="s">
        <v>1189</v>
      </c>
      <c r="D1348" s="4">
        <v>1</v>
      </c>
      <c r="E1348" s="4" t="str">
        <f>"217040959"</f>
        <v>217040959</v>
      </c>
      <c r="F1348" s="4" t="s">
        <v>17</v>
      </c>
      <c r="G1348" s="4" t="s">
        <v>18</v>
      </c>
      <c r="H1348" s="4" t="s">
        <v>1390</v>
      </c>
      <c r="I1348" s="4" t="s">
        <v>1391</v>
      </c>
      <c r="J1348" s="4" t="s">
        <v>1392</v>
      </c>
      <c r="K1348" s="4" t="s">
        <v>1294</v>
      </c>
      <c r="L1348" s="5">
        <v>0.41666666666666669</v>
      </c>
      <c r="M1348" s="4" t="s">
        <v>1546</v>
      </c>
      <c r="N1348" s="6" t="s">
        <v>23</v>
      </c>
      <c r="O1348" s="4" t="s">
        <v>24</v>
      </c>
    </row>
    <row r="1349" spans="1:15" x14ac:dyDescent="0.25">
      <c r="A1349" s="4" t="s">
        <v>15</v>
      </c>
      <c r="B1349" s="4" t="str">
        <f>"FES1162750873"</f>
        <v>FES1162750873</v>
      </c>
      <c r="C1349" s="4" t="s">
        <v>1189</v>
      </c>
      <c r="D1349" s="4">
        <v>1</v>
      </c>
      <c r="E1349" s="4" t="str">
        <f>"217074972"</f>
        <v>217074972</v>
      </c>
      <c r="F1349" s="4" t="s">
        <v>17</v>
      </c>
      <c r="G1349" s="4" t="s">
        <v>18</v>
      </c>
      <c r="H1349" s="4" t="s">
        <v>18</v>
      </c>
      <c r="I1349" s="4" t="s">
        <v>97</v>
      </c>
      <c r="J1349" s="4" t="s">
        <v>1393</v>
      </c>
      <c r="K1349" s="4" t="s">
        <v>1294</v>
      </c>
      <c r="L1349" s="5">
        <v>0.32500000000000001</v>
      </c>
      <c r="M1349" s="4" t="s">
        <v>1469</v>
      </c>
      <c r="N1349" s="6" t="s">
        <v>23</v>
      </c>
      <c r="O1349" s="4" t="s">
        <v>24</v>
      </c>
    </row>
    <row r="1350" spans="1:15" x14ac:dyDescent="0.25">
      <c r="A1350" s="4" t="s">
        <v>15</v>
      </c>
      <c r="B1350" s="4" t="str">
        <f>"FES1162750840"</f>
        <v>FES1162750840</v>
      </c>
      <c r="C1350" s="4" t="s">
        <v>1189</v>
      </c>
      <c r="D1350" s="4">
        <v>1</v>
      </c>
      <c r="E1350" s="4" t="str">
        <f>"2170740805"</f>
        <v>2170740805</v>
      </c>
      <c r="F1350" s="4" t="s">
        <v>17</v>
      </c>
      <c r="G1350" s="4" t="s">
        <v>18</v>
      </c>
      <c r="H1350" s="4" t="s">
        <v>18</v>
      </c>
      <c r="I1350" s="4" t="s">
        <v>58</v>
      </c>
      <c r="J1350" s="4" t="s">
        <v>34</v>
      </c>
      <c r="K1350" s="4" t="s">
        <v>1294</v>
      </c>
      <c r="L1350" s="5">
        <v>0.3840277777777778</v>
      </c>
      <c r="M1350" s="4" t="s">
        <v>1470</v>
      </c>
      <c r="N1350" s="6" t="s">
        <v>23</v>
      </c>
      <c r="O1350" s="4" t="s">
        <v>24</v>
      </c>
    </row>
    <row r="1351" spans="1:15" x14ac:dyDescent="0.25">
      <c r="A1351" s="4" t="s">
        <v>15</v>
      </c>
      <c r="B1351" s="4" t="str">
        <f>"FES1162750863"</f>
        <v>FES1162750863</v>
      </c>
      <c r="C1351" s="4" t="s">
        <v>1189</v>
      </c>
      <c r="D1351" s="4">
        <v>1</v>
      </c>
      <c r="E1351" s="4" t="str">
        <f>"2170737982"</f>
        <v>2170737982</v>
      </c>
      <c r="F1351" s="4" t="s">
        <v>17</v>
      </c>
      <c r="G1351" s="4" t="s">
        <v>18</v>
      </c>
      <c r="H1351" s="4" t="s">
        <v>18</v>
      </c>
      <c r="I1351" s="4" t="s">
        <v>29</v>
      </c>
      <c r="J1351" s="4" t="s">
        <v>74</v>
      </c>
      <c r="K1351" s="4" t="s">
        <v>1294</v>
      </c>
      <c r="L1351" s="5">
        <v>0.3125</v>
      </c>
      <c r="M1351" s="4" t="s">
        <v>1471</v>
      </c>
      <c r="N1351" s="6" t="s">
        <v>23</v>
      </c>
      <c r="O1351" s="4" t="s">
        <v>24</v>
      </c>
    </row>
    <row r="1352" spans="1:15" x14ac:dyDescent="0.25">
      <c r="A1352" s="4" t="s">
        <v>15</v>
      </c>
      <c r="B1352" s="4" t="str">
        <f>"FES1162750857"</f>
        <v>FES1162750857</v>
      </c>
      <c r="C1352" s="4" t="s">
        <v>1189</v>
      </c>
      <c r="D1352" s="4">
        <v>1</v>
      </c>
      <c r="E1352" s="4" t="str">
        <f>"2170740958"</f>
        <v>2170740958</v>
      </c>
      <c r="F1352" s="4" t="s">
        <v>17</v>
      </c>
      <c r="G1352" s="4" t="s">
        <v>18</v>
      </c>
      <c r="H1352" s="4" t="s">
        <v>18</v>
      </c>
      <c r="I1352" s="4" t="s">
        <v>97</v>
      </c>
      <c r="J1352" s="4" t="s">
        <v>1394</v>
      </c>
      <c r="K1352" s="4" t="s">
        <v>1294</v>
      </c>
      <c r="L1352" s="5">
        <v>0.33333333333333331</v>
      </c>
      <c r="M1352" s="4" t="s">
        <v>269</v>
      </c>
      <c r="N1352" s="6" t="s">
        <v>23</v>
      </c>
      <c r="O1352" s="4" t="s">
        <v>24</v>
      </c>
    </row>
    <row r="1353" spans="1:15" x14ac:dyDescent="0.25">
      <c r="A1353" s="4" t="s">
        <v>15</v>
      </c>
      <c r="B1353" s="4" t="str">
        <f>"FES1162750853"</f>
        <v>FES1162750853</v>
      </c>
      <c r="C1353" s="4" t="s">
        <v>1189</v>
      </c>
      <c r="D1353" s="4">
        <v>1</v>
      </c>
      <c r="E1353" s="4" t="str">
        <f>"2170738855"</f>
        <v>2170738855</v>
      </c>
      <c r="F1353" s="4" t="s">
        <v>17</v>
      </c>
      <c r="G1353" s="4" t="s">
        <v>18</v>
      </c>
      <c r="H1353" s="4" t="s">
        <v>52</v>
      </c>
      <c r="I1353" s="4" t="s">
        <v>53</v>
      </c>
      <c r="J1353" s="4" t="s">
        <v>56</v>
      </c>
      <c r="K1353" s="4" t="s">
        <v>1294</v>
      </c>
      <c r="L1353" s="5">
        <v>0.43402777777777773</v>
      </c>
      <c r="M1353" s="4" t="s">
        <v>715</v>
      </c>
      <c r="N1353" s="6" t="s">
        <v>23</v>
      </c>
      <c r="O1353" s="4" t="s">
        <v>24</v>
      </c>
    </row>
    <row r="1354" spans="1:15" x14ac:dyDescent="0.25">
      <c r="A1354" s="4" t="s">
        <v>15</v>
      </c>
      <c r="B1354" s="4" t="str">
        <f>"FES1162750876"</f>
        <v>FES1162750876</v>
      </c>
      <c r="C1354" s="4" t="s">
        <v>1189</v>
      </c>
      <c r="D1354" s="4">
        <v>1</v>
      </c>
      <c r="E1354" s="4" t="str">
        <f>"2170739216"</f>
        <v>2170739216</v>
      </c>
      <c r="F1354" s="4" t="s">
        <v>17</v>
      </c>
      <c r="G1354" s="4" t="s">
        <v>18</v>
      </c>
      <c r="H1354" s="4" t="s">
        <v>25</v>
      </c>
      <c r="I1354" s="4" t="s">
        <v>92</v>
      </c>
      <c r="J1354" s="4" t="s">
        <v>623</v>
      </c>
      <c r="K1354" s="4" t="s">
        <v>1294</v>
      </c>
      <c r="L1354" s="5">
        <v>0.35069444444444442</v>
      </c>
      <c r="M1354" s="4" t="s">
        <v>1347</v>
      </c>
      <c r="N1354" s="6" t="s">
        <v>23</v>
      </c>
      <c r="O1354" s="4" t="s">
        <v>24</v>
      </c>
    </row>
    <row r="1355" spans="1:15" x14ac:dyDescent="0.25">
      <c r="A1355" s="4" t="s">
        <v>15</v>
      </c>
      <c r="B1355" s="4" t="str">
        <f>"019911311243"</f>
        <v>019911311243</v>
      </c>
      <c r="C1355" s="4" t="s">
        <v>1189</v>
      </c>
      <c r="D1355" s="4">
        <v>1</v>
      </c>
      <c r="E1355" s="4" t="str">
        <f>"1703"</f>
        <v>1703</v>
      </c>
      <c r="F1355" s="4" t="s">
        <v>17</v>
      </c>
      <c r="G1355" s="4" t="s">
        <v>48</v>
      </c>
      <c r="H1355" s="4" t="s">
        <v>18</v>
      </c>
      <c r="I1355" s="4" t="s">
        <v>29</v>
      </c>
      <c r="J1355" s="4" t="s">
        <v>722</v>
      </c>
      <c r="K1355" s="4" t="s">
        <v>1294</v>
      </c>
      <c r="L1355" s="5">
        <v>0.37291666666666662</v>
      </c>
      <c r="M1355" s="4" t="s">
        <v>1472</v>
      </c>
      <c r="N1355" s="6" t="s">
        <v>23</v>
      </c>
      <c r="O1355" s="4" t="s">
        <v>24</v>
      </c>
    </row>
    <row r="1356" spans="1:15" x14ac:dyDescent="0.25">
      <c r="A1356" s="4" t="s">
        <v>15</v>
      </c>
      <c r="B1356" s="4" t="str">
        <f>"019911311244"</f>
        <v>019911311244</v>
      </c>
      <c r="C1356" s="4" t="s">
        <v>1189</v>
      </c>
      <c r="D1356" s="4">
        <v>1</v>
      </c>
      <c r="E1356" s="4" t="str">
        <f>"1703"</f>
        <v>1703</v>
      </c>
      <c r="F1356" s="4" t="s">
        <v>17</v>
      </c>
      <c r="G1356" s="4" t="s">
        <v>48</v>
      </c>
      <c r="H1356" s="4" t="s">
        <v>18</v>
      </c>
      <c r="I1356" s="4" t="s">
        <v>29</v>
      </c>
      <c r="J1356" s="4" t="s">
        <v>722</v>
      </c>
      <c r="K1356" s="4" t="s">
        <v>1294</v>
      </c>
      <c r="L1356" s="5">
        <v>0.37361111111111112</v>
      </c>
      <c r="M1356" s="4" t="s">
        <v>609</v>
      </c>
      <c r="N1356" s="6" t="s">
        <v>23</v>
      </c>
      <c r="O1356" s="4" t="s">
        <v>24</v>
      </c>
    </row>
    <row r="1357" spans="1:15" x14ac:dyDescent="0.25">
      <c r="A1357" s="4" t="s">
        <v>15</v>
      </c>
      <c r="B1357" s="4" t="str">
        <f>"FES1162750860"</f>
        <v>FES1162750860</v>
      </c>
      <c r="C1357" s="4" t="s">
        <v>1189</v>
      </c>
      <c r="D1357" s="4">
        <v>1</v>
      </c>
      <c r="E1357" s="4" t="str">
        <f>"2170740961"</f>
        <v>2170740961</v>
      </c>
      <c r="F1357" s="4" t="s">
        <v>17</v>
      </c>
      <c r="G1357" s="4" t="s">
        <v>18</v>
      </c>
      <c r="H1357" s="4" t="s">
        <v>32</v>
      </c>
      <c r="I1357" s="4" t="s">
        <v>33</v>
      </c>
      <c r="J1357" s="4" t="s">
        <v>1395</v>
      </c>
      <c r="K1357" s="4" t="s">
        <v>1294</v>
      </c>
      <c r="L1357" s="5">
        <v>0.3888888888888889</v>
      </c>
      <c r="M1357" s="4" t="s">
        <v>1473</v>
      </c>
      <c r="N1357" s="6" t="s">
        <v>23</v>
      </c>
      <c r="O1357" s="4" t="s">
        <v>24</v>
      </c>
    </row>
    <row r="1358" spans="1:15" x14ac:dyDescent="0.25">
      <c r="A1358" s="4" t="s">
        <v>15</v>
      </c>
      <c r="B1358" s="4" t="str">
        <f>"FES1162750875"</f>
        <v>FES1162750875</v>
      </c>
      <c r="C1358" s="4" t="s">
        <v>1189</v>
      </c>
      <c r="D1358" s="4">
        <v>1</v>
      </c>
      <c r="E1358" s="4" t="str">
        <f>"2170740975"</f>
        <v>2170740975</v>
      </c>
      <c r="F1358" s="4" t="s">
        <v>17</v>
      </c>
      <c r="G1358" s="4" t="s">
        <v>18</v>
      </c>
      <c r="H1358" s="4" t="s">
        <v>48</v>
      </c>
      <c r="I1358" s="4" t="s">
        <v>110</v>
      </c>
      <c r="J1358" s="4" t="s">
        <v>276</v>
      </c>
      <c r="K1358" s="4" t="s">
        <v>1294</v>
      </c>
      <c r="L1358" s="5">
        <v>0.3888888888888889</v>
      </c>
      <c r="M1358" s="4" t="s">
        <v>1545</v>
      </c>
      <c r="N1358" s="6" t="s">
        <v>23</v>
      </c>
      <c r="O1358" s="4" t="s">
        <v>24</v>
      </c>
    </row>
    <row r="1359" spans="1:15" x14ac:dyDescent="0.25">
      <c r="A1359" s="4" t="s">
        <v>15</v>
      </c>
      <c r="B1359" s="4" t="str">
        <f>"FES1162750911"</f>
        <v>FES1162750911</v>
      </c>
      <c r="C1359" s="4" t="s">
        <v>1189</v>
      </c>
      <c r="D1359" s="4">
        <v>1</v>
      </c>
      <c r="E1359" s="4" t="str">
        <f>"21707406741"</f>
        <v>21707406741</v>
      </c>
      <c r="F1359" s="4" t="s">
        <v>17</v>
      </c>
      <c r="G1359" s="4" t="s">
        <v>18</v>
      </c>
      <c r="H1359" s="4" t="s">
        <v>52</v>
      </c>
      <c r="I1359" s="4" t="s">
        <v>53</v>
      </c>
      <c r="J1359" s="4" t="s">
        <v>613</v>
      </c>
      <c r="K1359" s="4" t="s">
        <v>1294</v>
      </c>
      <c r="L1359" s="5">
        <v>0.3888888888888889</v>
      </c>
      <c r="M1359" s="4" t="s">
        <v>1544</v>
      </c>
      <c r="N1359" s="6" t="s">
        <v>23</v>
      </c>
      <c r="O1359" s="4" t="s">
        <v>24</v>
      </c>
    </row>
    <row r="1360" spans="1:15" x14ac:dyDescent="0.25">
      <c r="A1360" s="4" t="s">
        <v>15</v>
      </c>
      <c r="B1360" s="4" t="str">
        <f>"FES1162750862"</f>
        <v>FES1162750862</v>
      </c>
      <c r="C1360" s="4" t="s">
        <v>1189</v>
      </c>
      <c r="D1360" s="4">
        <v>1</v>
      </c>
      <c r="E1360" s="4" t="str">
        <f>"2170737545"</f>
        <v>2170737545</v>
      </c>
      <c r="F1360" s="4" t="s">
        <v>17</v>
      </c>
      <c r="G1360" s="4" t="s">
        <v>18</v>
      </c>
      <c r="H1360" s="4" t="s">
        <v>18</v>
      </c>
      <c r="I1360" s="4" t="s">
        <v>29</v>
      </c>
      <c r="J1360" s="4" t="s">
        <v>74</v>
      </c>
      <c r="K1360" s="4" t="s">
        <v>1294</v>
      </c>
      <c r="L1360" s="5">
        <v>0.3125</v>
      </c>
      <c r="M1360" s="4" t="s">
        <v>1474</v>
      </c>
      <c r="N1360" s="6" t="s">
        <v>23</v>
      </c>
      <c r="O1360" s="4" t="s">
        <v>24</v>
      </c>
    </row>
    <row r="1361" spans="1:15" x14ac:dyDescent="0.25">
      <c r="A1361" s="4" t="s">
        <v>15</v>
      </c>
      <c r="B1361" s="4" t="str">
        <f>"FES1162750867"</f>
        <v>FES1162750867</v>
      </c>
      <c r="C1361" s="4" t="s">
        <v>1189</v>
      </c>
      <c r="D1361" s="4">
        <v>1</v>
      </c>
      <c r="E1361" s="4" t="str">
        <f>"2170739655"</f>
        <v>2170739655</v>
      </c>
      <c r="F1361" s="4" t="s">
        <v>17</v>
      </c>
      <c r="G1361" s="4" t="s">
        <v>18</v>
      </c>
      <c r="H1361" s="4" t="s">
        <v>32</v>
      </c>
      <c r="I1361" s="4" t="s">
        <v>33</v>
      </c>
      <c r="J1361" s="4" t="s">
        <v>1369</v>
      </c>
      <c r="K1361" s="4" t="s">
        <v>1294</v>
      </c>
      <c r="L1361" s="5">
        <v>0.4236111111111111</v>
      </c>
      <c r="M1361" s="4" t="s">
        <v>1475</v>
      </c>
      <c r="N1361" s="6" t="s">
        <v>23</v>
      </c>
      <c r="O1361" s="4" t="s">
        <v>24</v>
      </c>
    </row>
    <row r="1362" spans="1:15" x14ac:dyDescent="0.25">
      <c r="A1362" s="4" t="s">
        <v>15</v>
      </c>
      <c r="B1362" s="4" t="str">
        <f>"FES1162750826"</f>
        <v>FES1162750826</v>
      </c>
      <c r="C1362" s="4" t="s">
        <v>1189</v>
      </c>
      <c r="D1362" s="4">
        <v>1</v>
      </c>
      <c r="E1362" s="4" t="str">
        <f>"2170739523"</f>
        <v>2170739523</v>
      </c>
      <c r="F1362" s="4" t="s">
        <v>17</v>
      </c>
      <c r="G1362" s="4" t="s">
        <v>18</v>
      </c>
      <c r="H1362" s="4" t="s">
        <v>18</v>
      </c>
      <c r="I1362" s="4" t="s">
        <v>147</v>
      </c>
      <c r="J1362" s="4" t="s">
        <v>410</v>
      </c>
      <c r="K1362" s="4" t="s">
        <v>1294</v>
      </c>
      <c r="L1362" s="5">
        <v>0.37361111111111112</v>
      </c>
      <c r="M1362" s="4" t="s">
        <v>1396</v>
      </c>
      <c r="N1362" s="6" t="s">
        <v>23</v>
      </c>
      <c r="O1362" s="4" t="s">
        <v>24</v>
      </c>
    </row>
    <row r="1363" spans="1:15" x14ac:dyDescent="0.25">
      <c r="A1363" s="4" t="s">
        <v>15</v>
      </c>
      <c r="B1363" s="4" t="str">
        <f>"FES1162750864"</f>
        <v>FES1162750864</v>
      </c>
      <c r="C1363" s="4" t="s">
        <v>1189</v>
      </c>
      <c r="D1363" s="4">
        <v>1</v>
      </c>
      <c r="E1363" s="4" t="str">
        <f>"2170739401"</f>
        <v>2170739401</v>
      </c>
      <c r="F1363" s="4" t="s">
        <v>17</v>
      </c>
      <c r="G1363" s="4" t="s">
        <v>18</v>
      </c>
      <c r="H1363" s="4" t="s">
        <v>18</v>
      </c>
      <c r="I1363" s="4" t="s">
        <v>29</v>
      </c>
      <c r="J1363" s="4" t="s">
        <v>74</v>
      </c>
      <c r="K1363" s="4" t="s">
        <v>1294</v>
      </c>
      <c r="L1363" s="5">
        <v>0.3125</v>
      </c>
      <c r="M1363" s="4" t="s">
        <v>1476</v>
      </c>
      <c r="N1363" s="6" t="s">
        <v>23</v>
      </c>
      <c r="O1363" s="4" t="s">
        <v>24</v>
      </c>
    </row>
    <row r="1364" spans="1:15" x14ac:dyDescent="0.25">
      <c r="A1364" s="4" t="s">
        <v>15</v>
      </c>
      <c r="B1364" s="4" t="str">
        <f>"FES1162750869"</f>
        <v>FES1162750869</v>
      </c>
      <c r="C1364" s="4" t="s">
        <v>1189</v>
      </c>
      <c r="D1364" s="4">
        <v>1</v>
      </c>
      <c r="E1364" s="4" t="str">
        <f>"2170740829"</f>
        <v>2170740829</v>
      </c>
      <c r="F1364" s="4" t="s">
        <v>17</v>
      </c>
      <c r="G1364" s="4" t="s">
        <v>18</v>
      </c>
      <c r="H1364" s="4" t="s">
        <v>25</v>
      </c>
      <c r="I1364" s="4" t="s">
        <v>26</v>
      </c>
      <c r="J1364" s="4" t="s">
        <v>1397</v>
      </c>
      <c r="K1364" s="4" t="s">
        <v>1294</v>
      </c>
      <c r="L1364" s="5">
        <v>0.35486111111111113</v>
      </c>
      <c r="M1364" s="4" t="s">
        <v>1398</v>
      </c>
      <c r="N1364" s="6" t="s">
        <v>23</v>
      </c>
      <c r="O1364" s="4" t="s">
        <v>24</v>
      </c>
    </row>
    <row r="1365" spans="1:15" x14ac:dyDescent="0.25">
      <c r="A1365" s="4" t="s">
        <v>15</v>
      </c>
      <c r="B1365" s="4" t="str">
        <f>"FES1162750872"</f>
        <v>FES1162750872</v>
      </c>
      <c r="C1365" s="4" t="s">
        <v>1189</v>
      </c>
      <c r="D1365" s="4">
        <v>1</v>
      </c>
      <c r="E1365" s="4" t="str">
        <f>"2170740970"</f>
        <v>2170740970</v>
      </c>
      <c r="F1365" s="4" t="s">
        <v>17</v>
      </c>
      <c r="G1365" s="4" t="s">
        <v>18</v>
      </c>
      <c r="H1365" s="4" t="s">
        <v>48</v>
      </c>
      <c r="I1365" s="4" t="s">
        <v>49</v>
      </c>
      <c r="J1365" s="4" t="s">
        <v>886</v>
      </c>
      <c r="K1365" s="4" t="s">
        <v>1294</v>
      </c>
      <c r="L1365" s="5">
        <v>0.47569444444444442</v>
      </c>
      <c r="M1365" s="4" t="s">
        <v>1477</v>
      </c>
      <c r="N1365" s="6" t="s">
        <v>23</v>
      </c>
      <c r="O1365" s="4" t="s">
        <v>24</v>
      </c>
    </row>
    <row r="1366" spans="1:15" x14ac:dyDescent="0.25">
      <c r="A1366" s="4" t="s">
        <v>15</v>
      </c>
      <c r="B1366" s="4" t="str">
        <f>"FES1162750815"</f>
        <v>FES1162750815</v>
      </c>
      <c r="C1366" s="4" t="s">
        <v>1189</v>
      </c>
      <c r="D1366" s="4">
        <v>1</v>
      </c>
      <c r="E1366" s="4" t="str">
        <f>"2170739424"</f>
        <v>2170739424</v>
      </c>
      <c r="F1366" s="4" t="s">
        <v>17</v>
      </c>
      <c r="G1366" s="4" t="s">
        <v>18</v>
      </c>
      <c r="H1366" s="4" t="s">
        <v>85</v>
      </c>
      <c r="I1366" s="4" t="s">
        <v>207</v>
      </c>
      <c r="J1366" s="4" t="s">
        <v>1399</v>
      </c>
      <c r="K1366" s="4" t="s">
        <v>1294</v>
      </c>
      <c r="L1366" s="5">
        <v>0.41319444444444442</v>
      </c>
      <c r="M1366" s="4" t="s">
        <v>1478</v>
      </c>
      <c r="N1366" s="6" t="s">
        <v>23</v>
      </c>
      <c r="O1366" s="4" t="s">
        <v>24</v>
      </c>
    </row>
    <row r="1367" spans="1:15" x14ac:dyDescent="0.25">
      <c r="A1367" s="4" t="s">
        <v>15</v>
      </c>
      <c r="B1367" s="4" t="str">
        <f>"FES1162750870"</f>
        <v>FES1162750870</v>
      </c>
      <c r="C1367" s="4" t="s">
        <v>1189</v>
      </c>
      <c r="D1367" s="4">
        <v>1</v>
      </c>
      <c r="E1367" s="4" t="str">
        <f>"2170740968"</f>
        <v>2170740968</v>
      </c>
      <c r="F1367" s="4" t="s">
        <v>17</v>
      </c>
      <c r="G1367" s="4" t="s">
        <v>18</v>
      </c>
      <c r="H1367" s="4" t="s">
        <v>85</v>
      </c>
      <c r="I1367" s="4" t="s">
        <v>144</v>
      </c>
      <c r="J1367" s="4" t="s">
        <v>210</v>
      </c>
      <c r="K1367" s="4" t="s">
        <v>1294</v>
      </c>
      <c r="L1367" s="5">
        <v>0.3611111111111111</v>
      </c>
      <c r="M1367" s="4" t="s">
        <v>1378</v>
      </c>
      <c r="N1367" s="6" t="s">
        <v>23</v>
      </c>
      <c r="O1367" s="4" t="s">
        <v>24</v>
      </c>
    </row>
    <row r="1368" spans="1:15" x14ac:dyDescent="0.25">
      <c r="A1368" s="4" t="s">
        <v>15</v>
      </c>
      <c r="B1368" s="4" t="str">
        <f>"FES1162750841"</f>
        <v>FES1162750841</v>
      </c>
      <c r="C1368" s="4" t="s">
        <v>1189</v>
      </c>
      <c r="D1368" s="4">
        <v>1</v>
      </c>
      <c r="E1368" s="4" t="str">
        <f>"2170740940"</f>
        <v>2170740940</v>
      </c>
      <c r="F1368" s="4" t="s">
        <v>17</v>
      </c>
      <c r="G1368" s="4" t="s">
        <v>18</v>
      </c>
      <c r="H1368" s="4" t="s">
        <v>40</v>
      </c>
      <c r="I1368" s="4" t="s">
        <v>41</v>
      </c>
      <c r="J1368" s="4" t="s">
        <v>359</v>
      </c>
      <c r="K1368" s="4" t="s">
        <v>1294</v>
      </c>
      <c r="L1368" s="5">
        <v>0.42222222222222222</v>
      </c>
      <c r="M1368" s="4" t="s">
        <v>1479</v>
      </c>
      <c r="N1368" s="6" t="s">
        <v>23</v>
      </c>
      <c r="O1368" s="4" t="s">
        <v>24</v>
      </c>
    </row>
    <row r="1369" spans="1:15" x14ac:dyDescent="0.25">
      <c r="A1369" s="4" t="s">
        <v>15</v>
      </c>
      <c r="B1369" s="4" t="str">
        <f>"FES1162750877"</f>
        <v>FES1162750877</v>
      </c>
      <c r="C1369" s="4" t="s">
        <v>1189</v>
      </c>
      <c r="D1369" s="4">
        <v>1</v>
      </c>
      <c r="E1369" s="4" t="str">
        <f>"21707409+81"</f>
        <v>21707409+81</v>
      </c>
      <c r="F1369" s="4" t="s">
        <v>17</v>
      </c>
      <c r="G1369" s="4" t="s">
        <v>18</v>
      </c>
      <c r="H1369" s="4" t="s">
        <v>85</v>
      </c>
      <c r="I1369" s="4" t="s">
        <v>408</v>
      </c>
      <c r="J1369" s="4" t="s">
        <v>34</v>
      </c>
      <c r="K1369" s="4" t="s">
        <v>1294</v>
      </c>
      <c r="L1369" s="5">
        <v>0.43194444444444446</v>
      </c>
      <c r="M1369" s="4" t="s">
        <v>992</v>
      </c>
      <c r="N1369" s="6" t="s">
        <v>23</v>
      </c>
      <c r="O1369" s="4" t="s">
        <v>24</v>
      </c>
    </row>
    <row r="1370" spans="1:15" x14ac:dyDescent="0.25">
      <c r="A1370" s="4" t="s">
        <v>15</v>
      </c>
      <c r="B1370" s="4" t="str">
        <f>"FES1162750886"</f>
        <v>FES1162750886</v>
      </c>
      <c r="C1370" s="4" t="s">
        <v>1189</v>
      </c>
      <c r="D1370" s="4">
        <v>1</v>
      </c>
      <c r="E1370" s="4" t="str">
        <f>"2170740994"</f>
        <v>2170740994</v>
      </c>
      <c r="F1370" s="4" t="s">
        <v>17</v>
      </c>
      <c r="G1370" s="4" t="s">
        <v>18</v>
      </c>
      <c r="H1370" s="4" t="s">
        <v>48</v>
      </c>
      <c r="I1370" s="4" t="s">
        <v>49</v>
      </c>
      <c r="J1370" s="4" t="s">
        <v>1400</v>
      </c>
      <c r="K1370" s="4" t="s">
        <v>1294</v>
      </c>
      <c r="L1370" s="5">
        <v>0.36249999999999999</v>
      </c>
      <c r="M1370" s="4" t="s">
        <v>1401</v>
      </c>
      <c r="N1370" s="6" t="s">
        <v>23</v>
      </c>
      <c r="O1370" s="4" t="s">
        <v>24</v>
      </c>
    </row>
    <row r="1371" spans="1:15" x14ac:dyDescent="0.25">
      <c r="A1371" s="4" t="s">
        <v>15</v>
      </c>
      <c r="B1371" s="4" t="str">
        <f>"FES1162750879"</f>
        <v>FES1162750879</v>
      </c>
      <c r="C1371" s="4" t="s">
        <v>1189</v>
      </c>
      <c r="D1371" s="4">
        <v>1</v>
      </c>
      <c r="E1371" s="4" t="str">
        <f>"2170740985"</f>
        <v>2170740985</v>
      </c>
      <c r="F1371" s="4" t="s">
        <v>17</v>
      </c>
      <c r="G1371" s="4" t="s">
        <v>18</v>
      </c>
      <c r="H1371" s="4" t="s">
        <v>85</v>
      </c>
      <c r="I1371" s="4" t="s">
        <v>144</v>
      </c>
      <c r="J1371" s="4" t="s">
        <v>564</v>
      </c>
      <c r="K1371" s="4" t="s">
        <v>1294</v>
      </c>
      <c r="L1371" s="5">
        <v>0.59166666666666667</v>
      </c>
      <c r="M1371" s="4" t="s">
        <v>1480</v>
      </c>
      <c r="N1371" s="6" t="s">
        <v>23</v>
      </c>
      <c r="O1371" s="4" t="s">
        <v>24</v>
      </c>
    </row>
    <row r="1372" spans="1:15" x14ac:dyDescent="0.25">
      <c r="A1372" s="4" t="s">
        <v>15</v>
      </c>
      <c r="B1372" s="4" t="str">
        <f>"FES1162750843"</f>
        <v>FES1162750843</v>
      </c>
      <c r="C1372" s="4" t="s">
        <v>1189</v>
      </c>
      <c r="D1372" s="4">
        <v>1</v>
      </c>
      <c r="E1372" s="4" t="str">
        <f>"2170740936"</f>
        <v>2170740936</v>
      </c>
      <c r="F1372" s="4" t="s">
        <v>17</v>
      </c>
      <c r="G1372" s="4" t="s">
        <v>18</v>
      </c>
      <c r="H1372" s="4" t="s">
        <v>85</v>
      </c>
      <c r="I1372" s="4" t="s">
        <v>144</v>
      </c>
      <c r="J1372" s="4" t="s">
        <v>407</v>
      </c>
      <c r="K1372" s="4" t="s">
        <v>1294</v>
      </c>
      <c r="L1372" s="5">
        <v>0.58958333333333335</v>
      </c>
      <c r="M1372" s="4" t="s">
        <v>1481</v>
      </c>
      <c r="N1372" s="6" t="s">
        <v>23</v>
      </c>
      <c r="O1372" s="4" t="s">
        <v>24</v>
      </c>
    </row>
    <row r="1373" spans="1:15" x14ac:dyDescent="0.25">
      <c r="A1373" s="4" t="s">
        <v>15</v>
      </c>
      <c r="B1373" s="4" t="str">
        <f>"FES1162750859"</f>
        <v>FES1162750859</v>
      </c>
      <c r="C1373" s="4" t="s">
        <v>1189</v>
      </c>
      <c r="D1373" s="4">
        <v>1</v>
      </c>
      <c r="E1373" s="4" t="str">
        <f>"2170740960"</f>
        <v>2170740960</v>
      </c>
      <c r="F1373" s="4" t="s">
        <v>17</v>
      </c>
      <c r="G1373" s="4" t="s">
        <v>18</v>
      </c>
      <c r="H1373" s="4" t="s">
        <v>40</v>
      </c>
      <c r="I1373" s="4" t="s">
        <v>41</v>
      </c>
      <c r="J1373" s="4" t="s">
        <v>358</v>
      </c>
      <c r="K1373" s="4" t="s">
        <v>1294</v>
      </c>
      <c r="L1373" s="5">
        <v>0.52083333333333337</v>
      </c>
      <c r="M1373" s="4" t="s">
        <v>1482</v>
      </c>
      <c r="N1373" s="6" t="s">
        <v>23</v>
      </c>
      <c r="O1373" s="4" t="s">
        <v>24</v>
      </c>
    </row>
    <row r="1374" spans="1:15" x14ac:dyDescent="0.25">
      <c r="A1374" s="4" t="s">
        <v>15</v>
      </c>
      <c r="B1374" s="4" t="str">
        <f>"FES1162750861"</f>
        <v>FES1162750861</v>
      </c>
      <c r="C1374" s="4" t="s">
        <v>1189</v>
      </c>
      <c r="D1374" s="4">
        <v>1</v>
      </c>
      <c r="E1374" s="4" t="str">
        <f>"2170740962"</f>
        <v>2170740962</v>
      </c>
      <c r="F1374" s="4" t="s">
        <v>17</v>
      </c>
      <c r="G1374" s="4" t="s">
        <v>18</v>
      </c>
      <c r="H1374" s="4" t="s">
        <v>48</v>
      </c>
      <c r="I1374" s="4" t="s">
        <v>73</v>
      </c>
      <c r="J1374" s="4" t="s">
        <v>160</v>
      </c>
      <c r="K1374" s="4" t="s">
        <v>1294</v>
      </c>
      <c r="L1374" s="5">
        <v>0.5180555555555556</v>
      </c>
      <c r="M1374" s="4" t="s">
        <v>161</v>
      </c>
      <c r="N1374" s="6" t="s">
        <v>23</v>
      </c>
      <c r="O1374" s="4" t="s">
        <v>24</v>
      </c>
    </row>
    <row r="1375" spans="1:15" x14ac:dyDescent="0.25">
      <c r="A1375" s="4" t="s">
        <v>15</v>
      </c>
      <c r="B1375" s="4" t="str">
        <f>"FES1162750856"</f>
        <v>FES1162750856</v>
      </c>
      <c r="C1375" s="4" t="s">
        <v>1189</v>
      </c>
      <c r="D1375" s="4">
        <v>1</v>
      </c>
      <c r="E1375" s="4" t="str">
        <f>"2170740957"</f>
        <v>2170740957</v>
      </c>
      <c r="F1375" s="4" t="s">
        <v>17</v>
      </c>
      <c r="G1375" s="4" t="s">
        <v>18</v>
      </c>
      <c r="H1375" s="4" t="s">
        <v>48</v>
      </c>
      <c r="I1375" s="4" t="s">
        <v>49</v>
      </c>
      <c r="J1375" s="4" t="s">
        <v>605</v>
      </c>
      <c r="K1375" s="4" t="s">
        <v>1294</v>
      </c>
      <c r="L1375" s="5">
        <v>0.41319444444444442</v>
      </c>
      <c r="M1375" s="4" t="s">
        <v>1483</v>
      </c>
      <c r="N1375" s="6" t="s">
        <v>23</v>
      </c>
      <c r="O1375" s="4" t="s">
        <v>24</v>
      </c>
    </row>
    <row r="1376" spans="1:15" x14ac:dyDescent="0.25">
      <c r="A1376" s="4" t="s">
        <v>15</v>
      </c>
      <c r="B1376" s="4" t="str">
        <f>"FES1162750897"</f>
        <v>FES1162750897</v>
      </c>
      <c r="C1376" s="4" t="s">
        <v>1189</v>
      </c>
      <c r="D1376" s="4">
        <v>1</v>
      </c>
      <c r="E1376" s="4" t="str">
        <f>"2170740979"</f>
        <v>2170740979</v>
      </c>
      <c r="F1376" s="4" t="s">
        <v>17</v>
      </c>
      <c r="G1376" s="4" t="s">
        <v>18</v>
      </c>
      <c r="H1376" s="4" t="s">
        <v>48</v>
      </c>
      <c r="I1376" s="4" t="s">
        <v>49</v>
      </c>
      <c r="J1376" s="4" t="s">
        <v>324</v>
      </c>
      <c r="K1376" s="4" t="s">
        <v>1294</v>
      </c>
      <c r="L1376" s="5">
        <v>0.40416666666666662</v>
      </c>
      <c r="M1376" s="4" t="s">
        <v>480</v>
      </c>
      <c r="N1376" s="6" t="s">
        <v>23</v>
      </c>
      <c r="O1376" s="4" t="s">
        <v>24</v>
      </c>
    </row>
    <row r="1377" spans="1:15" x14ac:dyDescent="0.25">
      <c r="A1377" s="4" t="s">
        <v>15</v>
      </c>
      <c r="B1377" s="4" t="str">
        <f>"FES1162750904"</f>
        <v>FES1162750904</v>
      </c>
      <c r="C1377" s="4" t="s">
        <v>1189</v>
      </c>
      <c r="D1377" s="4">
        <v>1</v>
      </c>
      <c r="E1377" s="4" t="str">
        <f>"2170741009"</f>
        <v>2170741009</v>
      </c>
      <c r="F1377" s="4" t="s">
        <v>17</v>
      </c>
      <c r="G1377" s="4" t="s">
        <v>18</v>
      </c>
      <c r="H1377" s="4" t="s">
        <v>48</v>
      </c>
      <c r="I1377" s="4" t="s">
        <v>108</v>
      </c>
      <c r="J1377" s="4" t="s">
        <v>109</v>
      </c>
      <c r="K1377" s="4" t="s">
        <v>1294</v>
      </c>
      <c r="L1377" s="5">
        <v>0.41666666666666669</v>
      </c>
      <c r="M1377" s="4" t="s">
        <v>740</v>
      </c>
      <c r="N1377" s="6" t="s">
        <v>23</v>
      </c>
      <c r="O1377" s="4" t="s">
        <v>24</v>
      </c>
    </row>
    <row r="1378" spans="1:15" x14ac:dyDescent="0.25">
      <c r="A1378" s="4" t="s">
        <v>15</v>
      </c>
      <c r="B1378" s="4" t="str">
        <f>"FES1162750891"</f>
        <v>FES1162750891</v>
      </c>
      <c r="C1378" s="4" t="s">
        <v>1189</v>
      </c>
      <c r="D1378" s="4">
        <v>1</v>
      </c>
      <c r="E1378" s="4" t="str">
        <f>"2170740402"</f>
        <v>2170740402</v>
      </c>
      <c r="F1378" s="4" t="s">
        <v>17</v>
      </c>
      <c r="G1378" s="4" t="s">
        <v>18</v>
      </c>
      <c r="H1378" s="4" t="s">
        <v>25</v>
      </c>
      <c r="I1378" s="4" t="s">
        <v>26</v>
      </c>
      <c r="J1378" s="4" t="s">
        <v>278</v>
      </c>
      <c r="K1378" s="4" t="s">
        <v>1294</v>
      </c>
      <c r="L1378" s="5">
        <v>0.40833333333333338</v>
      </c>
      <c r="M1378" s="4" t="s">
        <v>256</v>
      </c>
      <c r="N1378" s="6" t="s">
        <v>23</v>
      </c>
      <c r="O1378" s="4" t="s">
        <v>24</v>
      </c>
    </row>
    <row r="1379" spans="1:15" x14ac:dyDescent="0.25">
      <c r="A1379" s="4" t="s">
        <v>15</v>
      </c>
      <c r="B1379" s="4" t="str">
        <f>"FES1162750892"</f>
        <v>FES1162750892</v>
      </c>
      <c r="C1379" s="4" t="s">
        <v>1189</v>
      </c>
      <c r="D1379" s="4">
        <v>1</v>
      </c>
      <c r="E1379" s="4" t="str">
        <f>"2170740444"</f>
        <v>2170740444</v>
      </c>
      <c r="F1379" s="4" t="s">
        <v>17</v>
      </c>
      <c r="G1379" s="4" t="s">
        <v>18</v>
      </c>
      <c r="H1379" s="4" t="s">
        <v>25</v>
      </c>
      <c r="I1379" s="4" t="s">
        <v>26</v>
      </c>
      <c r="J1379" s="4" t="s">
        <v>202</v>
      </c>
      <c r="K1379" s="4" t="s">
        <v>1294</v>
      </c>
      <c r="L1379" s="5">
        <v>0.3611111111111111</v>
      </c>
      <c r="M1379" s="4" t="s">
        <v>1402</v>
      </c>
      <c r="N1379" s="6" t="s">
        <v>23</v>
      </c>
      <c r="O1379" s="4" t="s">
        <v>24</v>
      </c>
    </row>
    <row r="1380" spans="1:15" x14ac:dyDescent="0.25">
      <c r="A1380" s="4" t="s">
        <v>15</v>
      </c>
      <c r="B1380" s="4" t="str">
        <f>"FES1162750895"</f>
        <v>FES1162750895</v>
      </c>
      <c r="C1380" s="4" t="s">
        <v>1189</v>
      </c>
      <c r="D1380" s="4">
        <v>1</v>
      </c>
      <c r="E1380" s="4" t="str">
        <f>"2170740973"</f>
        <v>2170740973</v>
      </c>
      <c r="F1380" s="4" t="s">
        <v>17</v>
      </c>
      <c r="G1380" s="4" t="s">
        <v>18</v>
      </c>
      <c r="H1380" s="4" t="s">
        <v>25</v>
      </c>
      <c r="I1380" s="4" t="s">
        <v>26</v>
      </c>
      <c r="J1380" s="4" t="s">
        <v>202</v>
      </c>
      <c r="K1380" s="4" t="s">
        <v>1294</v>
      </c>
      <c r="L1380" s="5">
        <v>0.3611111111111111</v>
      </c>
      <c r="M1380" s="4" t="s">
        <v>1402</v>
      </c>
      <c r="N1380" s="6" t="s">
        <v>23</v>
      </c>
      <c r="O1380" s="4" t="s">
        <v>24</v>
      </c>
    </row>
    <row r="1381" spans="1:15" x14ac:dyDescent="0.25">
      <c r="A1381" s="4" t="s">
        <v>15</v>
      </c>
      <c r="B1381" s="4" t="str">
        <f>"FES1162750884"</f>
        <v>FES1162750884</v>
      </c>
      <c r="C1381" s="4" t="s">
        <v>1189</v>
      </c>
      <c r="D1381" s="4">
        <v>1</v>
      </c>
      <c r="E1381" s="4" t="str">
        <f>"2170740990"</f>
        <v>2170740990</v>
      </c>
      <c r="F1381" s="4" t="s">
        <v>17</v>
      </c>
      <c r="G1381" s="4" t="s">
        <v>18</v>
      </c>
      <c r="H1381" s="4" t="s">
        <v>18</v>
      </c>
      <c r="I1381" s="4" t="s">
        <v>309</v>
      </c>
      <c r="J1381" s="4" t="s">
        <v>1056</v>
      </c>
      <c r="K1381" s="4" t="s">
        <v>1294</v>
      </c>
      <c r="L1381" s="5">
        <v>0.33333333333333331</v>
      </c>
      <c r="M1381" s="4" t="s">
        <v>1137</v>
      </c>
      <c r="N1381" s="6" t="s">
        <v>23</v>
      </c>
      <c r="O1381" s="4" t="s">
        <v>24</v>
      </c>
    </row>
    <row r="1382" spans="1:15" x14ac:dyDescent="0.25">
      <c r="A1382" s="4" t="s">
        <v>15</v>
      </c>
      <c r="B1382" s="4" t="str">
        <f>"FES1162750838"</f>
        <v>FES1162750838</v>
      </c>
      <c r="C1382" s="4" t="s">
        <v>1189</v>
      </c>
      <c r="D1382" s="4">
        <v>2</v>
      </c>
      <c r="E1382" s="4" t="str">
        <f>"2170740933"</f>
        <v>2170740933</v>
      </c>
      <c r="F1382" s="4" t="s">
        <v>17</v>
      </c>
      <c r="G1382" s="4" t="s">
        <v>18</v>
      </c>
      <c r="H1382" s="4" t="s">
        <v>85</v>
      </c>
      <c r="I1382" s="4" t="s">
        <v>207</v>
      </c>
      <c r="J1382" s="4" t="s">
        <v>633</v>
      </c>
      <c r="K1382" s="4" t="s">
        <v>1294</v>
      </c>
      <c r="L1382" s="5">
        <v>0.35347222222222219</v>
      </c>
      <c r="M1382" s="4" t="s">
        <v>752</v>
      </c>
      <c r="N1382" s="6" t="s">
        <v>23</v>
      </c>
      <c r="O1382" s="4" t="s">
        <v>24</v>
      </c>
    </row>
    <row r="1383" spans="1:15" x14ac:dyDescent="0.25">
      <c r="A1383" s="4" t="s">
        <v>15</v>
      </c>
      <c r="B1383" s="4" t="str">
        <f>"FES1162750885"</f>
        <v>FES1162750885</v>
      </c>
      <c r="C1383" s="4" t="s">
        <v>1189</v>
      </c>
      <c r="D1383" s="4">
        <v>1</v>
      </c>
      <c r="E1383" s="4" t="str">
        <f>"2170740992"</f>
        <v>2170740992</v>
      </c>
      <c r="F1383" s="4" t="s">
        <v>17</v>
      </c>
      <c r="G1383" s="4" t="s">
        <v>18</v>
      </c>
      <c r="H1383" s="4" t="s">
        <v>18</v>
      </c>
      <c r="I1383" s="4" t="s">
        <v>29</v>
      </c>
      <c r="J1383" s="4" t="s">
        <v>302</v>
      </c>
      <c r="K1383" s="4" t="s">
        <v>1294</v>
      </c>
      <c r="L1383" s="5">
        <v>0.33333333333333331</v>
      </c>
      <c r="M1383" s="4" t="s">
        <v>462</v>
      </c>
      <c r="N1383" s="6" t="s">
        <v>23</v>
      </c>
      <c r="O1383" s="4" t="s">
        <v>24</v>
      </c>
    </row>
    <row r="1384" spans="1:15" x14ac:dyDescent="0.25">
      <c r="A1384" s="4" t="s">
        <v>15</v>
      </c>
      <c r="B1384" s="4" t="str">
        <f>"FES1162750899"</f>
        <v>FES1162750899</v>
      </c>
      <c r="C1384" s="4" t="s">
        <v>1189</v>
      </c>
      <c r="D1384" s="4">
        <v>1</v>
      </c>
      <c r="E1384" s="4" t="str">
        <f>"2170741000"</f>
        <v>2170741000</v>
      </c>
      <c r="F1384" s="4" t="s">
        <v>17</v>
      </c>
      <c r="G1384" s="4" t="s">
        <v>18</v>
      </c>
      <c r="H1384" s="4" t="s">
        <v>18</v>
      </c>
      <c r="I1384" s="4" t="s">
        <v>204</v>
      </c>
      <c r="J1384" s="4" t="s">
        <v>205</v>
      </c>
      <c r="K1384" s="4" t="s">
        <v>1294</v>
      </c>
      <c r="L1384" s="5">
        <v>0.3888888888888889</v>
      </c>
      <c r="M1384" s="4" t="s">
        <v>1484</v>
      </c>
      <c r="N1384" s="6" t="s">
        <v>23</v>
      </c>
      <c r="O1384" s="4" t="s">
        <v>24</v>
      </c>
    </row>
    <row r="1385" spans="1:15" x14ac:dyDescent="0.25">
      <c r="A1385" s="4" t="s">
        <v>15</v>
      </c>
      <c r="B1385" s="4" t="str">
        <f>"FES1162750839"</f>
        <v>FES1162750839</v>
      </c>
      <c r="C1385" s="4" t="s">
        <v>1189</v>
      </c>
      <c r="D1385" s="4">
        <v>1</v>
      </c>
      <c r="E1385" s="4" t="str">
        <f>"2170740939"</f>
        <v>2170740939</v>
      </c>
      <c r="F1385" s="4" t="s">
        <v>17</v>
      </c>
      <c r="G1385" s="4" t="s">
        <v>18</v>
      </c>
      <c r="H1385" s="4" t="s">
        <v>40</v>
      </c>
      <c r="I1385" s="4" t="s">
        <v>41</v>
      </c>
      <c r="J1385" s="4" t="s">
        <v>359</v>
      </c>
      <c r="K1385" s="4" t="s">
        <v>1294</v>
      </c>
      <c r="L1385" s="5">
        <v>0.41180555555555554</v>
      </c>
      <c r="M1385" s="4" t="s">
        <v>1479</v>
      </c>
      <c r="N1385" s="6" t="s">
        <v>23</v>
      </c>
      <c r="O1385" s="4" t="s">
        <v>24</v>
      </c>
    </row>
    <row r="1386" spans="1:15" x14ac:dyDescent="0.25">
      <c r="A1386" s="4" t="s">
        <v>15</v>
      </c>
      <c r="B1386" s="4" t="str">
        <f>"FES1162750817"</f>
        <v>FES1162750817</v>
      </c>
      <c r="C1386" s="4" t="s">
        <v>1189</v>
      </c>
      <c r="D1386" s="4">
        <v>1</v>
      </c>
      <c r="E1386" s="4" t="str">
        <f>"2170704913"</f>
        <v>2170704913</v>
      </c>
      <c r="F1386" s="4" t="s">
        <v>17</v>
      </c>
      <c r="G1386" s="4" t="s">
        <v>18</v>
      </c>
      <c r="H1386" s="4" t="s">
        <v>85</v>
      </c>
      <c r="I1386" s="4" t="s">
        <v>144</v>
      </c>
      <c r="J1386" s="4" t="s">
        <v>407</v>
      </c>
      <c r="K1386" s="4" t="s">
        <v>1294</v>
      </c>
      <c r="L1386" s="5">
        <v>0.58819444444444446</v>
      </c>
      <c r="M1386" s="4" t="s">
        <v>1481</v>
      </c>
      <c r="N1386" s="6" t="s">
        <v>23</v>
      </c>
      <c r="O1386" s="4" t="s">
        <v>24</v>
      </c>
    </row>
    <row r="1387" spans="1:15" x14ac:dyDescent="0.25">
      <c r="A1387" s="4" t="s">
        <v>15</v>
      </c>
      <c r="B1387" s="4" t="str">
        <f>"FES1162750805"</f>
        <v>FES1162750805</v>
      </c>
      <c r="C1387" s="4" t="s">
        <v>1189</v>
      </c>
      <c r="D1387" s="4">
        <v>1</v>
      </c>
      <c r="E1387" s="4" t="str">
        <f>"2170740912"</f>
        <v>2170740912</v>
      </c>
      <c r="F1387" s="4" t="s">
        <v>17</v>
      </c>
      <c r="G1387" s="4" t="s">
        <v>18</v>
      </c>
      <c r="H1387" s="4" t="s">
        <v>85</v>
      </c>
      <c r="I1387" s="4" t="s">
        <v>408</v>
      </c>
      <c r="J1387" s="4" t="s">
        <v>1403</v>
      </c>
      <c r="K1387" s="4" t="s">
        <v>1294</v>
      </c>
      <c r="L1387" s="5">
        <v>0.42083333333333334</v>
      </c>
      <c r="M1387" s="4" t="s">
        <v>1485</v>
      </c>
      <c r="N1387" s="6" t="s">
        <v>23</v>
      </c>
      <c r="O1387" s="4" t="s">
        <v>24</v>
      </c>
    </row>
    <row r="1388" spans="1:15" x14ac:dyDescent="0.25">
      <c r="A1388" s="4" t="s">
        <v>15</v>
      </c>
      <c r="B1388" s="4" t="str">
        <f>"FES1162750801"</f>
        <v>FES1162750801</v>
      </c>
      <c r="C1388" s="4" t="s">
        <v>1189</v>
      </c>
      <c r="D1388" s="4">
        <v>1</v>
      </c>
      <c r="E1388" s="4" t="str">
        <f>"2170740891"</f>
        <v>2170740891</v>
      </c>
      <c r="F1388" s="4" t="s">
        <v>17</v>
      </c>
      <c r="G1388" s="4" t="s">
        <v>18</v>
      </c>
      <c r="H1388" s="4" t="s">
        <v>85</v>
      </c>
      <c r="I1388" s="4" t="s">
        <v>144</v>
      </c>
      <c r="J1388" s="4" t="s">
        <v>360</v>
      </c>
      <c r="K1388" s="4" t="s">
        <v>1294</v>
      </c>
      <c r="L1388" s="5">
        <v>0.42291666666666666</v>
      </c>
      <c r="M1388" s="4" t="s">
        <v>1269</v>
      </c>
      <c r="N1388" s="6" t="s">
        <v>23</v>
      </c>
      <c r="O1388" s="4" t="s">
        <v>24</v>
      </c>
    </row>
    <row r="1389" spans="1:15" x14ac:dyDescent="0.25">
      <c r="A1389" s="4" t="s">
        <v>15</v>
      </c>
      <c r="B1389" s="4" t="str">
        <f>"FES1162750022"</f>
        <v>FES1162750022</v>
      </c>
      <c r="C1389" s="4" t="s">
        <v>1189</v>
      </c>
      <c r="D1389" s="4">
        <v>1</v>
      </c>
      <c r="E1389" s="4" t="str">
        <f>"2170736627"</f>
        <v>2170736627</v>
      </c>
      <c r="F1389" s="4" t="s">
        <v>17</v>
      </c>
      <c r="G1389" s="4" t="s">
        <v>18</v>
      </c>
      <c r="H1389" s="4" t="s">
        <v>85</v>
      </c>
      <c r="I1389" s="4" t="s">
        <v>850</v>
      </c>
      <c r="J1389" s="4" t="s">
        <v>849</v>
      </c>
      <c r="K1389" s="4" t="s">
        <v>1294</v>
      </c>
      <c r="L1389" s="5">
        <v>0.81736111111111109</v>
      </c>
      <c r="M1389" s="4" t="s">
        <v>849</v>
      </c>
      <c r="N1389" s="6" t="s">
        <v>23</v>
      </c>
      <c r="O1389" s="4" t="s">
        <v>24</v>
      </c>
    </row>
    <row r="1390" spans="1:15" x14ac:dyDescent="0.25">
      <c r="A1390" s="4" t="s">
        <v>15</v>
      </c>
      <c r="B1390" s="4" t="str">
        <f>"FES1162750889"</f>
        <v>FES1162750889</v>
      </c>
      <c r="C1390" s="4" t="s">
        <v>1189</v>
      </c>
      <c r="D1390" s="4">
        <v>1</v>
      </c>
      <c r="E1390" s="4" t="str">
        <f>"2170738894"</f>
        <v>2170738894</v>
      </c>
      <c r="F1390" s="4" t="s">
        <v>17</v>
      </c>
      <c r="G1390" s="4" t="s">
        <v>18</v>
      </c>
      <c r="H1390" s="4" t="s">
        <v>18</v>
      </c>
      <c r="I1390" s="4" t="s">
        <v>45</v>
      </c>
      <c r="J1390" s="4" t="s">
        <v>218</v>
      </c>
      <c r="K1390" s="4" t="s">
        <v>1294</v>
      </c>
      <c r="L1390" s="5">
        <v>0.81736111111111109</v>
      </c>
      <c r="M1390" s="4" t="s">
        <v>430</v>
      </c>
      <c r="N1390" s="6" t="s">
        <v>23</v>
      </c>
      <c r="O1390" s="4" t="s">
        <v>24</v>
      </c>
    </row>
    <row r="1391" spans="1:15" x14ac:dyDescent="0.25">
      <c r="A1391" s="4" t="s">
        <v>15</v>
      </c>
      <c r="B1391" s="4" t="str">
        <f>"FES1162750887"</f>
        <v>FES1162750887</v>
      </c>
      <c r="C1391" s="4" t="s">
        <v>1189</v>
      </c>
      <c r="D1391" s="4">
        <v>1</v>
      </c>
      <c r="E1391" s="4" t="str">
        <f>"2170740995"</f>
        <v>2170740995</v>
      </c>
      <c r="F1391" s="4" t="s">
        <v>17</v>
      </c>
      <c r="G1391" s="4" t="s">
        <v>18</v>
      </c>
      <c r="H1391" s="4" t="s">
        <v>18</v>
      </c>
      <c r="I1391" s="4" t="s">
        <v>309</v>
      </c>
      <c r="J1391" s="4" t="s">
        <v>1056</v>
      </c>
      <c r="K1391" s="4" t="s">
        <v>1294</v>
      </c>
      <c r="L1391" s="5">
        <v>0.33333333333333331</v>
      </c>
      <c r="M1391" s="4" t="s">
        <v>1137</v>
      </c>
      <c r="N1391" s="6" t="s">
        <v>23</v>
      </c>
      <c r="O1391" s="4" t="s">
        <v>166</v>
      </c>
    </row>
    <row r="1392" spans="1:15" x14ac:dyDescent="0.25">
      <c r="A1392" s="4" t="s">
        <v>15</v>
      </c>
      <c r="B1392" s="4" t="str">
        <f>"FES1162750823"</f>
        <v>FES1162750823</v>
      </c>
      <c r="C1392" s="4" t="s">
        <v>1189</v>
      </c>
      <c r="D1392" s="4">
        <v>1</v>
      </c>
      <c r="E1392" s="4" t="str">
        <f>"2170740348"</f>
        <v>2170740348</v>
      </c>
      <c r="F1392" s="4" t="s">
        <v>17</v>
      </c>
      <c r="G1392" s="4" t="s">
        <v>18</v>
      </c>
      <c r="H1392" s="4" t="s">
        <v>18</v>
      </c>
      <c r="I1392" s="4" t="s">
        <v>204</v>
      </c>
      <c r="J1392" s="4" t="s">
        <v>205</v>
      </c>
      <c r="K1392" s="4" t="s">
        <v>1294</v>
      </c>
      <c r="L1392" s="5">
        <v>0.3888888888888889</v>
      </c>
      <c r="M1392" s="4" t="s">
        <v>1484</v>
      </c>
      <c r="N1392" s="6" t="s">
        <v>23</v>
      </c>
      <c r="O1392" s="4" t="s">
        <v>24</v>
      </c>
    </row>
    <row r="1393" spans="1:15" x14ac:dyDescent="0.25">
      <c r="A1393" s="4" t="s">
        <v>15</v>
      </c>
      <c r="B1393" s="4" t="str">
        <f>"FES1162750902"</f>
        <v>FES1162750902</v>
      </c>
      <c r="C1393" s="4" t="s">
        <v>1189</v>
      </c>
      <c r="D1393" s="4">
        <v>1</v>
      </c>
      <c r="E1393" s="4" t="str">
        <f>"2170740432"</f>
        <v>2170740432</v>
      </c>
      <c r="F1393" s="4" t="s">
        <v>17</v>
      </c>
      <c r="G1393" s="4" t="s">
        <v>18</v>
      </c>
      <c r="H1393" s="4" t="s">
        <v>48</v>
      </c>
      <c r="I1393" s="4" t="s">
        <v>49</v>
      </c>
      <c r="J1393" s="4" t="s">
        <v>322</v>
      </c>
      <c r="K1393" s="4" t="s">
        <v>1294</v>
      </c>
      <c r="L1393" s="5">
        <v>0.31388888888888888</v>
      </c>
      <c r="M1393" s="4" t="s">
        <v>1404</v>
      </c>
      <c r="N1393" s="6" t="s">
        <v>23</v>
      </c>
      <c r="O1393" s="4" t="s">
        <v>24</v>
      </c>
    </row>
    <row r="1394" spans="1:15" x14ac:dyDescent="0.25">
      <c r="A1394" s="4" t="s">
        <v>15</v>
      </c>
      <c r="B1394" s="4" t="str">
        <f>"FES1162750896"</f>
        <v>FES1162750896</v>
      </c>
      <c r="C1394" s="4" t="s">
        <v>1189</v>
      </c>
      <c r="D1394" s="4">
        <v>1</v>
      </c>
      <c r="E1394" s="4" t="str">
        <f>"2170740977"</f>
        <v>2170740977</v>
      </c>
      <c r="F1394" s="4" t="s">
        <v>17</v>
      </c>
      <c r="G1394" s="4" t="s">
        <v>18</v>
      </c>
      <c r="H1394" s="4" t="s">
        <v>52</v>
      </c>
      <c r="I1394" s="4" t="s">
        <v>53</v>
      </c>
      <c r="J1394" s="4" t="s">
        <v>592</v>
      </c>
      <c r="K1394" s="4" t="s">
        <v>1294</v>
      </c>
      <c r="L1394" s="5">
        <v>0.43263888888888885</v>
      </c>
      <c r="M1394" s="4" t="s">
        <v>1486</v>
      </c>
      <c r="N1394" s="6" t="s">
        <v>23</v>
      </c>
      <c r="O1394" s="4" t="s">
        <v>24</v>
      </c>
    </row>
    <row r="1395" spans="1:15" x14ac:dyDescent="0.25">
      <c r="A1395" s="4" t="s">
        <v>15</v>
      </c>
      <c r="B1395" s="4" t="str">
        <f>"FES1162750907"</f>
        <v>FES1162750907</v>
      </c>
      <c r="C1395" s="4" t="s">
        <v>1189</v>
      </c>
      <c r="D1395" s="4">
        <v>1</v>
      </c>
      <c r="E1395" s="4" t="str">
        <f>"217070471013"</f>
        <v>217070471013</v>
      </c>
      <c r="F1395" s="4" t="s">
        <v>17</v>
      </c>
      <c r="G1395" s="4" t="s">
        <v>18</v>
      </c>
      <c r="H1395" s="4" t="s">
        <v>85</v>
      </c>
      <c r="I1395" s="4" t="s">
        <v>152</v>
      </c>
      <c r="J1395" s="4" t="s">
        <v>371</v>
      </c>
      <c r="K1395" s="4" t="s">
        <v>1294</v>
      </c>
      <c r="L1395" s="5">
        <v>0.43263888888888885</v>
      </c>
      <c r="M1395" s="4" t="s">
        <v>1449</v>
      </c>
      <c r="N1395" s="6" t="s">
        <v>23</v>
      </c>
      <c r="O1395" s="4" t="s">
        <v>24</v>
      </c>
    </row>
    <row r="1396" spans="1:15" x14ac:dyDescent="0.25">
      <c r="A1396" s="4" t="s">
        <v>15</v>
      </c>
      <c r="B1396" s="4" t="str">
        <f>"FES1162750909"</f>
        <v>FES1162750909</v>
      </c>
      <c r="C1396" s="4" t="s">
        <v>1189</v>
      </c>
      <c r="D1396" s="4">
        <v>1</v>
      </c>
      <c r="E1396" s="4" t="str">
        <f>"2170741016"</f>
        <v>2170741016</v>
      </c>
      <c r="F1396" s="4" t="s">
        <v>17</v>
      </c>
      <c r="G1396" s="4" t="s">
        <v>18</v>
      </c>
      <c r="H1396" s="4" t="s">
        <v>85</v>
      </c>
      <c r="I1396" s="4" t="s">
        <v>207</v>
      </c>
      <c r="J1396" s="4" t="s">
        <v>633</v>
      </c>
      <c r="K1396" s="4" t="s">
        <v>1294</v>
      </c>
      <c r="L1396" s="5">
        <v>0.35347222222222219</v>
      </c>
      <c r="M1396" s="4" t="s">
        <v>752</v>
      </c>
      <c r="N1396" s="6" t="s">
        <v>23</v>
      </c>
      <c r="O1396" s="4" t="s">
        <v>24</v>
      </c>
    </row>
    <row r="1397" spans="1:15" x14ac:dyDescent="0.25">
      <c r="A1397" s="4" t="s">
        <v>15</v>
      </c>
      <c r="B1397" s="4" t="str">
        <f>"FES1162750906"</f>
        <v>FES1162750906</v>
      </c>
      <c r="C1397" s="4" t="s">
        <v>1189</v>
      </c>
      <c r="D1397" s="4">
        <v>1</v>
      </c>
      <c r="E1397" s="4" t="str">
        <f>"2170741011"</f>
        <v>2170741011</v>
      </c>
      <c r="F1397" s="4" t="s">
        <v>17</v>
      </c>
      <c r="G1397" s="4" t="s">
        <v>18</v>
      </c>
      <c r="H1397" s="4" t="s">
        <v>18</v>
      </c>
      <c r="I1397" s="4" t="s">
        <v>19</v>
      </c>
      <c r="J1397" s="4" t="s">
        <v>554</v>
      </c>
      <c r="K1397" s="4" t="s">
        <v>1294</v>
      </c>
      <c r="L1397" s="5">
        <v>0.33333333333333331</v>
      </c>
      <c r="M1397" s="4" t="s">
        <v>1487</v>
      </c>
      <c r="N1397" s="6" t="s">
        <v>23</v>
      </c>
      <c r="O1397" s="4" t="s">
        <v>24</v>
      </c>
    </row>
    <row r="1398" spans="1:15" x14ac:dyDescent="0.25">
      <c r="A1398" s="4" t="s">
        <v>15</v>
      </c>
      <c r="B1398" s="4" t="str">
        <f>"FES1162750912"</f>
        <v>FES1162750912</v>
      </c>
      <c r="C1398" s="4" t="s">
        <v>1189</v>
      </c>
      <c r="D1398" s="4">
        <v>1</v>
      </c>
      <c r="E1398" s="4" t="str">
        <f>"217070740950"</f>
        <v>217070740950</v>
      </c>
      <c r="F1398" s="4" t="s">
        <v>17</v>
      </c>
      <c r="G1398" s="4" t="s">
        <v>18</v>
      </c>
      <c r="H1398" s="4" t="s">
        <v>32</v>
      </c>
      <c r="I1398" s="4" t="s">
        <v>33</v>
      </c>
      <c r="J1398" s="4" t="s">
        <v>1405</v>
      </c>
      <c r="K1398" s="4" t="s">
        <v>1294</v>
      </c>
      <c r="L1398" s="5">
        <v>0.42986111111111108</v>
      </c>
      <c r="M1398" s="4" t="s">
        <v>1488</v>
      </c>
      <c r="N1398" s="6" t="s">
        <v>23</v>
      </c>
      <c r="O1398" s="4" t="s">
        <v>24</v>
      </c>
    </row>
    <row r="1399" spans="1:15" x14ac:dyDescent="0.25">
      <c r="A1399" s="4" t="s">
        <v>15</v>
      </c>
      <c r="B1399" s="4" t="str">
        <f>"FES1162750893"</f>
        <v>FES1162750893</v>
      </c>
      <c r="C1399" s="4" t="s">
        <v>1189</v>
      </c>
      <c r="D1399" s="4">
        <v>1</v>
      </c>
      <c r="E1399" s="4" t="str">
        <f>"2170740792"</f>
        <v>2170740792</v>
      </c>
      <c r="F1399" s="4" t="s">
        <v>17</v>
      </c>
      <c r="G1399" s="4" t="s">
        <v>18</v>
      </c>
      <c r="H1399" s="4" t="s">
        <v>18</v>
      </c>
      <c r="I1399" s="4" t="s">
        <v>290</v>
      </c>
      <c r="J1399" s="4" t="s">
        <v>1224</v>
      </c>
      <c r="K1399" s="4" t="s">
        <v>1294</v>
      </c>
      <c r="L1399" s="5">
        <v>0.41666666666666669</v>
      </c>
      <c r="M1399" s="4" t="s">
        <v>1489</v>
      </c>
      <c r="N1399" s="6" t="s">
        <v>23</v>
      </c>
      <c r="O1399" s="4" t="s">
        <v>24</v>
      </c>
    </row>
    <row r="1400" spans="1:15" x14ac:dyDescent="0.25">
      <c r="A1400" s="4" t="s">
        <v>15</v>
      </c>
      <c r="B1400" s="4" t="str">
        <f>"FES1162750901"</f>
        <v>FES1162750901</v>
      </c>
      <c r="C1400" s="4" t="s">
        <v>1189</v>
      </c>
      <c r="D1400" s="4">
        <v>1</v>
      </c>
      <c r="E1400" s="4" t="str">
        <f>"2170741003"</f>
        <v>2170741003</v>
      </c>
      <c r="F1400" s="4" t="s">
        <v>17</v>
      </c>
      <c r="G1400" s="4" t="s">
        <v>18</v>
      </c>
      <c r="H1400" s="4" t="s">
        <v>18</v>
      </c>
      <c r="I1400" s="4" t="s">
        <v>97</v>
      </c>
      <c r="J1400" s="4" t="s">
        <v>806</v>
      </c>
      <c r="K1400" s="4" t="s">
        <v>1294</v>
      </c>
      <c r="L1400" s="5">
        <v>0.31180555555555556</v>
      </c>
      <c r="M1400" s="4" t="s">
        <v>923</v>
      </c>
      <c r="N1400" s="6" t="s">
        <v>23</v>
      </c>
      <c r="O1400" s="4" t="s">
        <v>24</v>
      </c>
    </row>
    <row r="1401" spans="1:15" x14ac:dyDescent="0.25">
      <c r="A1401" s="4" t="s">
        <v>15</v>
      </c>
      <c r="B1401" s="4" t="str">
        <f>"FES1162750913"</f>
        <v>FES1162750913</v>
      </c>
      <c r="C1401" s="4" t="s">
        <v>1189</v>
      </c>
      <c r="D1401" s="4">
        <v>1</v>
      </c>
      <c r="E1401" s="4" t="str">
        <f>"2170740953"</f>
        <v>2170740953</v>
      </c>
      <c r="F1401" s="4" t="s">
        <v>17</v>
      </c>
      <c r="G1401" s="4" t="s">
        <v>18</v>
      </c>
      <c r="H1401" s="4" t="s">
        <v>18</v>
      </c>
      <c r="I1401" s="4" t="s">
        <v>19</v>
      </c>
      <c r="J1401" s="4" t="s">
        <v>61</v>
      </c>
      <c r="K1401" s="4" t="s">
        <v>1294</v>
      </c>
      <c r="L1401" s="5">
        <v>0.33333333333333331</v>
      </c>
      <c r="M1401" s="4" t="s">
        <v>1490</v>
      </c>
      <c r="N1401" s="6" t="s">
        <v>23</v>
      </c>
      <c r="O1401" s="4" t="s">
        <v>24</v>
      </c>
    </row>
    <row r="1402" spans="1:15" x14ac:dyDescent="0.25">
      <c r="A1402" s="4" t="s">
        <v>15</v>
      </c>
      <c r="B1402" s="4" t="str">
        <f>"FES1162750903"</f>
        <v>FES1162750903</v>
      </c>
      <c r="C1402" s="4" t="s">
        <v>1189</v>
      </c>
      <c r="D1402" s="4">
        <v>1</v>
      </c>
      <c r="E1402" s="4" t="str">
        <f>"2170741008"</f>
        <v>2170741008</v>
      </c>
      <c r="F1402" s="4" t="s">
        <v>17</v>
      </c>
      <c r="G1402" s="4" t="s">
        <v>18</v>
      </c>
      <c r="H1402" s="4" t="s">
        <v>18</v>
      </c>
      <c r="I1402" s="4" t="s">
        <v>19</v>
      </c>
      <c r="J1402" s="4" t="s">
        <v>1406</v>
      </c>
      <c r="K1402" s="4" t="s">
        <v>1294</v>
      </c>
      <c r="L1402" s="5">
        <v>0.33333333333333331</v>
      </c>
      <c r="M1402" s="4" t="s">
        <v>987</v>
      </c>
      <c r="N1402" s="6" t="s">
        <v>23</v>
      </c>
      <c r="O1402" s="4" t="s">
        <v>24</v>
      </c>
    </row>
    <row r="1403" spans="1:15" x14ac:dyDescent="0.25">
      <c r="A1403" s="4" t="s">
        <v>15</v>
      </c>
      <c r="B1403" s="4" t="str">
        <f>"FES1162750914"</f>
        <v>FES1162750914</v>
      </c>
      <c r="C1403" s="4" t="s">
        <v>1189</v>
      </c>
      <c r="D1403" s="4">
        <v>1</v>
      </c>
      <c r="E1403" s="4" t="str">
        <f>"2170741018"</f>
        <v>2170741018</v>
      </c>
      <c r="F1403" s="4" t="s">
        <v>1162</v>
      </c>
      <c r="G1403" s="4" t="s">
        <v>1163</v>
      </c>
      <c r="H1403" s="4" t="s">
        <v>48</v>
      </c>
      <c r="I1403" s="4" t="s">
        <v>49</v>
      </c>
      <c r="J1403" s="4" t="s">
        <v>138</v>
      </c>
      <c r="K1403" s="4" t="s">
        <v>1294</v>
      </c>
      <c r="L1403" s="5">
        <v>0.33333333333333331</v>
      </c>
      <c r="M1403" s="4" t="s">
        <v>1543</v>
      </c>
      <c r="N1403" s="6" t="s">
        <v>23</v>
      </c>
      <c r="O1403" s="4" t="s">
        <v>166</v>
      </c>
    </row>
    <row r="1404" spans="1:15" x14ac:dyDescent="0.25">
      <c r="A1404" s="4" t="s">
        <v>15</v>
      </c>
      <c r="B1404" s="4" t="str">
        <f>"FES1162750908"</f>
        <v>FES1162750908</v>
      </c>
      <c r="C1404" s="4" t="s">
        <v>1189</v>
      </c>
      <c r="D1404" s="4">
        <v>1</v>
      </c>
      <c r="E1404" s="4" t="str">
        <f>"2170741014"</f>
        <v>2170741014</v>
      </c>
      <c r="F1404" s="4" t="s">
        <v>17</v>
      </c>
      <c r="G1404" s="4" t="s">
        <v>18</v>
      </c>
      <c r="H1404" s="4" t="s">
        <v>48</v>
      </c>
      <c r="I1404" s="4" t="s">
        <v>49</v>
      </c>
      <c r="J1404" s="4" t="s">
        <v>252</v>
      </c>
      <c r="K1404" s="4" t="s">
        <v>1294</v>
      </c>
      <c r="L1404" s="5">
        <v>0.3840277777777778</v>
      </c>
      <c r="M1404" s="4" t="s">
        <v>1310</v>
      </c>
      <c r="N1404" s="6" t="s">
        <v>23</v>
      </c>
      <c r="O1404" s="4" t="s">
        <v>24</v>
      </c>
    </row>
    <row r="1405" spans="1:15" x14ac:dyDescent="0.25">
      <c r="A1405" s="4" t="s">
        <v>15</v>
      </c>
      <c r="B1405" s="4" t="str">
        <f>"009935712362"</f>
        <v>009935712362</v>
      </c>
      <c r="C1405" s="4" t="s">
        <v>1189</v>
      </c>
      <c r="D1405" s="4">
        <v>1</v>
      </c>
      <c r="E1405" s="4" t="str">
        <f>"1162744615"</f>
        <v>1162744615</v>
      </c>
      <c r="F1405" s="4" t="s">
        <v>17</v>
      </c>
      <c r="G1405" s="4" t="s">
        <v>18</v>
      </c>
      <c r="H1405" s="4" t="s">
        <v>40</v>
      </c>
      <c r="I1405" s="4" t="s">
        <v>41</v>
      </c>
      <c r="J1405" s="4" t="s">
        <v>852</v>
      </c>
      <c r="K1405" s="4" t="s">
        <v>1294</v>
      </c>
      <c r="L1405" s="5">
        <v>0.3840277777777778</v>
      </c>
      <c r="M1405" s="4" t="s">
        <v>1542</v>
      </c>
      <c r="N1405" s="6" t="s">
        <v>23</v>
      </c>
      <c r="O1405" s="4" t="s">
        <v>801</v>
      </c>
    </row>
    <row r="1406" spans="1:15" x14ac:dyDescent="0.25">
      <c r="A1406" s="4" t="s">
        <v>15</v>
      </c>
      <c r="B1406" s="4" t="str">
        <f>"FES1162750910"</f>
        <v>FES1162750910</v>
      </c>
      <c r="C1406" s="4" t="s">
        <v>1189</v>
      </c>
      <c r="D1406" s="4">
        <v>1</v>
      </c>
      <c r="E1406" s="4" t="str">
        <f>"2170739855"</f>
        <v>2170739855</v>
      </c>
      <c r="F1406" s="4" t="s">
        <v>17</v>
      </c>
      <c r="G1406" s="4" t="s">
        <v>18</v>
      </c>
      <c r="H1406" s="4" t="s">
        <v>25</v>
      </c>
      <c r="I1406" s="4" t="s">
        <v>26</v>
      </c>
      <c r="J1406" s="4" t="s">
        <v>1087</v>
      </c>
      <c r="K1406" s="4" t="s">
        <v>1294</v>
      </c>
      <c r="L1406" s="5">
        <v>0.38125000000000003</v>
      </c>
      <c r="M1406" s="4" t="s">
        <v>1491</v>
      </c>
      <c r="N1406" s="6" t="s">
        <v>23</v>
      </c>
      <c r="O1406" s="4" t="s">
        <v>24</v>
      </c>
    </row>
    <row r="1407" spans="1:15" x14ac:dyDescent="0.25">
      <c r="A1407" s="4" t="s">
        <v>15</v>
      </c>
      <c r="B1407" s="4" t="str">
        <f>"FES1162750888"</f>
        <v>FES1162750888</v>
      </c>
      <c r="C1407" s="4" t="s">
        <v>1189</v>
      </c>
      <c r="D1407" s="4">
        <v>1</v>
      </c>
      <c r="E1407" s="4" t="str">
        <f>"2170740997"</f>
        <v>2170740997</v>
      </c>
      <c r="F1407" s="4" t="s">
        <v>17</v>
      </c>
      <c r="G1407" s="4" t="s">
        <v>18</v>
      </c>
      <c r="H1407" s="4" t="s">
        <v>40</v>
      </c>
      <c r="I1407" s="4" t="s">
        <v>41</v>
      </c>
      <c r="J1407" s="4" t="s">
        <v>42</v>
      </c>
      <c r="K1407" s="4" t="s">
        <v>1294</v>
      </c>
      <c r="L1407" s="5">
        <v>0.39583333333333331</v>
      </c>
      <c r="M1407" s="4" t="s">
        <v>1443</v>
      </c>
      <c r="N1407" s="6" t="s">
        <v>23</v>
      </c>
      <c r="O1407" s="4" t="s">
        <v>24</v>
      </c>
    </row>
    <row r="1408" spans="1:15" x14ac:dyDescent="0.25">
      <c r="A1408" s="4" t="s">
        <v>15</v>
      </c>
      <c r="B1408" s="4" t="str">
        <f>"FES1162750818"</f>
        <v>FES1162750818</v>
      </c>
      <c r="C1408" s="4" t="s">
        <v>1189</v>
      </c>
      <c r="D1408" s="4">
        <v>1</v>
      </c>
      <c r="E1408" s="4" t="str">
        <f>"2170740917"</f>
        <v>2170740917</v>
      </c>
      <c r="F1408" s="4" t="s">
        <v>17</v>
      </c>
      <c r="G1408" s="4" t="s">
        <v>18</v>
      </c>
      <c r="H1408" s="4" t="s">
        <v>40</v>
      </c>
      <c r="I1408" s="4" t="s">
        <v>41</v>
      </c>
      <c r="J1408" s="4" t="s">
        <v>42</v>
      </c>
      <c r="K1408" s="4" t="s">
        <v>1294</v>
      </c>
      <c r="L1408" s="5">
        <v>0.39583333333333331</v>
      </c>
      <c r="M1408" s="4" t="s">
        <v>1443</v>
      </c>
      <c r="N1408" s="6" t="s">
        <v>23</v>
      </c>
      <c r="O1408" s="4" t="s">
        <v>24</v>
      </c>
    </row>
    <row r="1409" spans="1:15" x14ac:dyDescent="0.25">
      <c r="A1409" s="4" t="s">
        <v>15</v>
      </c>
      <c r="B1409" s="4" t="str">
        <f>"FES1162750916"</f>
        <v>FES1162750916</v>
      </c>
      <c r="C1409" s="4" t="s">
        <v>1189</v>
      </c>
      <c r="D1409" s="4">
        <v>1</v>
      </c>
      <c r="E1409" s="4" t="str">
        <f>"2170736037"</f>
        <v>2170736037</v>
      </c>
      <c r="F1409" s="4" t="s">
        <v>17</v>
      </c>
      <c r="G1409" s="4" t="s">
        <v>18</v>
      </c>
      <c r="H1409" s="4" t="s">
        <v>85</v>
      </c>
      <c r="I1409" s="4" t="s">
        <v>152</v>
      </c>
      <c r="J1409" s="4" t="s">
        <v>371</v>
      </c>
      <c r="K1409" s="4" t="s">
        <v>1294</v>
      </c>
      <c r="L1409" s="5">
        <v>0.43263888888888885</v>
      </c>
      <c r="M1409" s="4" t="s">
        <v>1449</v>
      </c>
      <c r="N1409" s="6" t="s">
        <v>23</v>
      </c>
      <c r="O1409" s="4" t="s">
        <v>24</v>
      </c>
    </row>
    <row r="1410" spans="1:15" ht="15.75" thickBot="1" x14ac:dyDescent="0.3">
      <c r="A1410" s="7" t="s">
        <v>15</v>
      </c>
      <c r="B1410" s="7" t="str">
        <f>"009940118645"</f>
        <v>009940118645</v>
      </c>
      <c r="C1410" s="7" t="s">
        <v>1189</v>
      </c>
      <c r="D1410" s="7">
        <v>1</v>
      </c>
      <c r="E1410" s="7" t="str">
        <f>""</f>
        <v/>
      </c>
      <c r="F1410" s="7" t="s">
        <v>17</v>
      </c>
      <c r="G1410" s="7" t="s">
        <v>1163</v>
      </c>
      <c r="H1410" s="7" t="s">
        <v>1407</v>
      </c>
      <c r="I1410" s="7" t="s">
        <v>292</v>
      </c>
      <c r="J1410" s="7" t="s">
        <v>1408</v>
      </c>
      <c r="K1410" s="7" t="s">
        <v>1294</v>
      </c>
      <c r="L1410" s="8">
        <v>0.43263888888888885</v>
      </c>
      <c r="M1410" s="7" t="s">
        <v>1556</v>
      </c>
      <c r="N1410" s="7" t="s">
        <v>23</v>
      </c>
      <c r="O1410" s="7" t="s">
        <v>24</v>
      </c>
    </row>
    <row r="1411" spans="1:15" x14ac:dyDescent="0.25">
      <c r="A1411" s="1" t="s">
        <v>15</v>
      </c>
      <c r="B1411" s="1" t="str">
        <f>"FES1162750968"</f>
        <v>FES1162750968</v>
      </c>
      <c r="C1411" s="1" t="s">
        <v>1294</v>
      </c>
      <c r="D1411" s="1">
        <v>1</v>
      </c>
      <c r="E1411" s="1" t="str">
        <f>"2170741097"</f>
        <v>2170741097</v>
      </c>
      <c r="F1411" s="1" t="s">
        <v>17</v>
      </c>
      <c r="G1411" s="1" t="s">
        <v>18</v>
      </c>
      <c r="H1411" s="1" t="s">
        <v>48</v>
      </c>
      <c r="I1411" s="1" t="s">
        <v>73</v>
      </c>
      <c r="J1411" s="1" t="s">
        <v>160</v>
      </c>
      <c r="K1411" s="1" t="s">
        <v>1492</v>
      </c>
      <c r="L1411" s="2">
        <v>0.51597222222222217</v>
      </c>
      <c r="M1411" s="1" t="s">
        <v>161</v>
      </c>
      <c r="N1411" s="3" t="s">
        <v>23</v>
      </c>
      <c r="O1411" s="1" t="s">
        <v>24</v>
      </c>
    </row>
    <row r="1412" spans="1:15" x14ac:dyDescent="0.25">
      <c r="A1412" s="4" t="s">
        <v>15</v>
      </c>
      <c r="B1412" s="4" t="str">
        <f>"FES1162750944"</f>
        <v>FES1162750944</v>
      </c>
      <c r="C1412" s="4" t="s">
        <v>1294</v>
      </c>
      <c r="D1412" s="4">
        <v>1</v>
      </c>
      <c r="E1412" s="4" t="str">
        <f>"2170741048"</f>
        <v>2170741048</v>
      </c>
      <c r="F1412" s="4" t="s">
        <v>17</v>
      </c>
      <c r="G1412" s="4" t="s">
        <v>18</v>
      </c>
      <c r="H1412" s="4" t="s">
        <v>48</v>
      </c>
      <c r="I1412" s="4" t="s">
        <v>49</v>
      </c>
      <c r="J1412" s="4" t="s">
        <v>100</v>
      </c>
      <c r="K1412" s="4" t="s">
        <v>1492</v>
      </c>
      <c r="L1412" s="5">
        <v>0.375</v>
      </c>
      <c r="M1412" s="4" t="s">
        <v>1493</v>
      </c>
      <c r="N1412" s="6" t="s">
        <v>23</v>
      </c>
      <c r="O1412" s="4" t="s">
        <v>24</v>
      </c>
    </row>
    <row r="1413" spans="1:15" x14ac:dyDescent="0.25">
      <c r="A1413" s="10" t="s">
        <v>15</v>
      </c>
      <c r="B1413" s="10" t="str">
        <f>"FES1162750958"</f>
        <v>FES1162750958</v>
      </c>
      <c r="C1413" s="10" t="s">
        <v>1294</v>
      </c>
      <c r="D1413" s="10">
        <v>1</v>
      </c>
      <c r="E1413" s="10" t="str">
        <f>"2170741086"</f>
        <v>2170741086</v>
      </c>
      <c r="F1413" s="10" t="s">
        <v>17</v>
      </c>
      <c r="G1413" s="10" t="s">
        <v>18</v>
      </c>
      <c r="H1413" s="10" t="s">
        <v>18</v>
      </c>
      <c r="I1413" s="10" t="s">
        <v>29</v>
      </c>
      <c r="J1413" s="10" t="s">
        <v>300</v>
      </c>
      <c r="K1413" s="10" t="s">
        <v>43</v>
      </c>
      <c r="L1413" s="10"/>
      <c r="M1413" s="10" t="s">
        <v>44</v>
      </c>
      <c r="N1413" s="10" t="s">
        <v>433</v>
      </c>
      <c r="O1413" s="10" t="s">
        <v>433</v>
      </c>
    </row>
    <row r="1414" spans="1:15" x14ac:dyDescent="0.25">
      <c r="A1414" s="4" t="s">
        <v>15</v>
      </c>
      <c r="B1414" s="4" t="str">
        <f>"FES1162750951"</f>
        <v>FES1162750951</v>
      </c>
      <c r="C1414" s="4" t="s">
        <v>1294</v>
      </c>
      <c r="D1414" s="4">
        <v>1</v>
      </c>
      <c r="E1414" s="4" t="str">
        <f>"2170741067"</f>
        <v>2170741067</v>
      </c>
      <c r="F1414" s="4" t="s">
        <v>17</v>
      </c>
      <c r="G1414" s="4" t="s">
        <v>18</v>
      </c>
      <c r="H1414" s="4" t="s">
        <v>48</v>
      </c>
      <c r="I1414" s="4" t="s">
        <v>199</v>
      </c>
      <c r="J1414" s="4" t="s">
        <v>233</v>
      </c>
      <c r="K1414" s="4" t="s">
        <v>1492</v>
      </c>
      <c r="L1414" s="5">
        <v>0.41666666666666669</v>
      </c>
      <c r="M1414" s="4" t="s">
        <v>1557</v>
      </c>
      <c r="N1414" s="6" t="s">
        <v>23</v>
      </c>
      <c r="O1414" s="4" t="s">
        <v>24</v>
      </c>
    </row>
    <row r="1415" spans="1:15" x14ac:dyDescent="0.25">
      <c r="A1415" s="4" t="s">
        <v>15</v>
      </c>
      <c r="B1415" s="4" t="str">
        <f>"009935712363"</f>
        <v>009935712363</v>
      </c>
      <c r="C1415" s="4" t="s">
        <v>1294</v>
      </c>
      <c r="D1415" s="4">
        <v>1</v>
      </c>
      <c r="E1415" s="4" t="str">
        <f>"2170736209"</f>
        <v>2170736209</v>
      </c>
      <c r="F1415" s="4" t="s">
        <v>17</v>
      </c>
      <c r="G1415" s="4" t="s">
        <v>18</v>
      </c>
      <c r="H1415" s="4" t="s">
        <v>32</v>
      </c>
      <c r="I1415" s="4" t="s">
        <v>33</v>
      </c>
      <c r="J1415" s="4" t="s">
        <v>34</v>
      </c>
      <c r="K1415" s="4" t="s">
        <v>1492</v>
      </c>
      <c r="L1415" s="5">
        <v>0.38194444444444442</v>
      </c>
      <c r="M1415" s="4" t="s">
        <v>1558</v>
      </c>
      <c r="N1415" s="6" t="s">
        <v>23</v>
      </c>
      <c r="O1415" s="4" t="s">
        <v>24</v>
      </c>
    </row>
    <row r="1416" spans="1:15" x14ac:dyDescent="0.25">
      <c r="A1416" s="4" t="s">
        <v>15</v>
      </c>
      <c r="B1416" s="4" t="str">
        <f>"FES1162751061"</f>
        <v>FES1162751061</v>
      </c>
      <c r="C1416" s="4" t="s">
        <v>1294</v>
      </c>
      <c r="D1416" s="4">
        <v>1</v>
      </c>
      <c r="E1416" s="4" t="str">
        <f>"2170741119"</f>
        <v>2170741119</v>
      </c>
      <c r="F1416" s="4" t="s">
        <v>17</v>
      </c>
      <c r="G1416" s="4" t="s">
        <v>18</v>
      </c>
      <c r="H1416" s="4" t="s">
        <v>25</v>
      </c>
      <c r="I1416" s="4" t="s">
        <v>26</v>
      </c>
      <c r="J1416" s="4" t="s">
        <v>414</v>
      </c>
      <c r="K1416" s="4" t="s">
        <v>1492</v>
      </c>
      <c r="L1416" s="5">
        <v>0.4375</v>
      </c>
      <c r="M1416" s="4" t="s">
        <v>1290</v>
      </c>
      <c r="N1416" s="6" t="s">
        <v>23</v>
      </c>
      <c r="O1416" s="4" t="s">
        <v>24</v>
      </c>
    </row>
    <row r="1417" spans="1:15" x14ac:dyDescent="0.25">
      <c r="A1417" s="4" t="s">
        <v>15</v>
      </c>
      <c r="B1417" s="4" t="str">
        <f>"FES1162751008"</f>
        <v>FES1162751008</v>
      </c>
      <c r="C1417" s="4" t="s">
        <v>1294</v>
      </c>
      <c r="D1417" s="4">
        <v>1</v>
      </c>
      <c r="E1417" s="4" t="str">
        <f>"217073991"</f>
        <v>217073991</v>
      </c>
      <c r="F1417" s="4" t="s">
        <v>17</v>
      </c>
      <c r="G1417" s="4" t="s">
        <v>18</v>
      </c>
      <c r="H1417" s="4" t="s">
        <v>48</v>
      </c>
      <c r="I1417" s="4" t="s">
        <v>49</v>
      </c>
      <c r="J1417" s="4" t="s">
        <v>630</v>
      </c>
      <c r="K1417" s="4" t="s">
        <v>1492</v>
      </c>
      <c r="L1417" s="5">
        <v>0.4777777777777778</v>
      </c>
      <c r="M1417" s="4" t="s">
        <v>749</v>
      </c>
      <c r="N1417" s="6" t="s">
        <v>23</v>
      </c>
      <c r="O1417" s="4" t="s">
        <v>24</v>
      </c>
    </row>
    <row r="1418" spans="1:15" x14ac:dyDescent="0.25">
      <c r="A1418" s="4" t="s">
        <v>15</v>
      </c>
      <c r="B1418" s="4" t="str">
        <f>"FES1162750975"</f>
        <v>FES1162750975</v>
      </c>
      <c r="C1418" s="4" t="s">
        <v>1294</v>
      </c>
      <c r="D1418" s="4">
        <v>1</v>
      </c>
      <c r="E1418" s="4" t="str">
        <f>"2170738181"</f>
        <v>2170738181</v>
      </c>
      <c r="F1418" s="4" t="s">
        <v>17</v>
      </c>
      <c r="G1418" s="4" t="s">
        <v>18</v>
      </c>
      <c r="H1418" s="4" t="s">
        <v>48</v>
      </c>
      <c r="I1418" s="4" t="s">
        <v>49</v>
      </c>
      <c r="J1418" s="4" t="s">
        <v>342</v>
      </c>
      <c r="K1418" s="4" t="s">
        <v>1492</v>
      </c>
      <c r="L1418" s="5">
        <v>0.42777777777777781</v>
      </c>
      <c r="M1418" s="4" t="s">
        <v>1559</v>
      </c>
      <c r="N1418" s="6" t="s">
        <v>23</v>
      </c>
      <c r="O1418" s="4" t="s">
        <v>24</v>
      </c>
    </row>
    <row r="1419" spans="1:15" x14ac:dyDescent="0.25">
      <c r="A1419" s="4" t="s">
        <v>15</v>
      </c>
      <c r="B1419" s="4" t="str">
        <f>"FES1162750997"</f>
        <v>FES1162750997</v>
      </c>
      <c r="C1419" s="4" t="s">
        <v>1294</v>
      </c>
      <c r="D1419" s="4">
        <v>1</v>
      </c>
      <c r="E1419" s="4" t="str">
        <f>"2170739858"</f>
        <v>2170739858</v>
      </c>
      <c r="F1419" s="4" t="s">
        <v>17</v>
      </c>
      <c r="G1419" s="4" t="s">
        <v>18</v>
      </c>
      <c r="H1419" s="4" t="s">
        <v>25</v>
      </c>
      <c r="I1419" s="4" t="s">
        <v>26</v>
      </c>
      <c r="J1419" s="4" t="s">
        <v>414</v>
      </c>
      <c r="K1419" s="4" t="s">
        <v>1492</v>
      </c>
      <c r="L1419" s="5">
        <v>0.4375</v>
      </c>
      <c r="M1419" s="4" t="s">
        <v>1290</v>
      </c>
      <c r="N1419" s="6" t="s">
        <v>23</v>
      </c>
      <c r="O1419" s="4" t="s">
        <v>24</v>
      </c>
    </row>
    <row r="1420" spans="1:15" x14ac:dyDescent="0.25">
      <c r="A1420" s="4" t="s">
        <v>15</v>
      </c>
      <c r="B1420" s="4" t="str">
        <f>"FES1162750934"</f>
        <v>FES1162750934</v>
      </c>
      <c r="C1420" s="4" t="s">
        <v>1294</v>
      </c>
      <c r="D1420" s="4">
        <v>1</v>
      </c>
      <c r="E1420" s="4" t="str">
        <f>"2170741036"</f>
        <v>2170741036</v>
      </c>
      <c r="F1420" s="4" t="s">
        <v>17</v>
      </c>
      <c r="G1420" s="4" t="s">
        <v>18</v>
      </c>
      <c r="H1420" s="4" t="s">
        <v>48</v>
      </c>
      <c r="I1420" s="4" t="s">
        <v>49</v>
      </c>
      <c r="J1420" s="4" t="s">
        <v>1494</v>
      </c>
      <c r="K1420" s="4" t="s">
        <v>1492</v>
      </c>
      <c r="L1420" s="5">
        <v>0.34930555555555554</v>
      </c>
      <c r="M1420" s="4" t="s">
        <v>1495</v>
      </c>
      <c r="N1420" s="6" t="s">
        <v>23</v>
      </c>
      <c r="O1420" s="4" t="s">
        <v>24</v>
      </c>
    </row>
    <row r="1421" spans="1:15" x14ac:dyDescent="0.25">
      <c r="A1421" s="4" t="s">
        <v>15</v>
      </c>
      <c r="B1421" s="4" t="str">
        <f>"FES1162751011"</f>
        <v>FES1162751011</v>
      </c>
      <c r="C1421" s="4" t="s">
        <v>1294</v>
      </c>
      <c r="D1421" s="4">
        <v>1</v>
      </c>
      <c r="E1421" s="4" t="str">
        <f>"2170739920"</f>
        <v>2170739920</v>
      </c>
      <c r="F1421" s="4" t="s">
        <v>17</v>
      </c>
      <c r="G1421" s="4" t="s">
        <v>18</v>
      </c>
      <c r="H1421" s="4" t="s">
        <v>48</v>
      </c>
      <c r="I1421" s="4" t="s">
        <v>49</v>
      </c>
      <c r="J1421" s="4" t="s">
        <v>100</v>
      </c>
      <c r="K1421" s="4" t="s">
        <v>1492</v>
      </c>
      <c r="L1421" s="5">
        <v>0.375</v>
      </c>
      <c r="M1421" s="4" t="s">
        <v>1493</v>
      </c>
      <c r="N1421" s="6" t="s">
        <v>23</v>
      </c>
      <c r="O1421" s="4" t="s">
        <v>24</v>
      </c>
    </row>
    <row r="1422" spans="1:15" x14ac:dyDescent="0.25">
      <c r="A1422" s="10" t="s">
        <v>15</v>
      </c>
      <c r="B1422" s="10" t="str">
        <f>"FES1162750974"</f>
        <v>FES1162750974</v>
      </c>
      <c r="C1422" s="10" t="s">
        <v>1294</v>
      </c>
      <c r="D1422" s="10">
        <v>1</v>
      </c>
      <c r="E1422" s="10" t="str">
        <f>"2170732449"</f>
        <v>2170732449</v>
      </c>
      <c r="F1422" s="10" t="s">
        <v>17</v>
      </c>
      <c r="G1422" s="10" t="s">
        <v>18</v>
      </c>
      <c r="H1422" s="10" t="s">
        <v>32</v>
      </c>
      <c r="I1422" s="10" t="s">
        <v>140</v>
      </c>
      <c r="J1422" s="10" t="s">
        <v>303</v>
      </c>
      <c r="K1422" s="10" t="s">
        <v>43</v>
      </c>
      <c r="L1422" s="10"/>
      <c r="M1422" s="10" t="s">
        <v>44</v>
      </c>
      <c r="N1422" s="10" t="s">
        <v>833</v>
      </c>
      <c r="O1422" s="10" t="s">
        <v>833</v>
      </c>
    </row>
    <row r="1423" spans="1:15" x14ac:dyDescent="0.25">
      <c r="A1423" s="4" t="s">
        <v>15</v>
      </c>
      <c r="B1423" s="4" t="str">
        <f>"FES1162751030"</f>
        <v>FES1162751030</v>
      </c>
      <c r="C1423" s="4" t="s">
        <v>1294</v>
      </c>
      <c r="D1423" s="4">
        <v>1</v>
      </c>
      <c r="E1423" s="4" t="str">
        <f>"2170741082"</f>
        <v>2170741082</v>
      </c>
      <c r="F1423" s="4" t="s">
        <v>17</v>
      </c>
      <c r="G1423" s="4" t="s">
        <v>18</v>
      </c>
      <c r="H1423" s="4" t="s">
        <v>48</v>
      </c>
      <c r="I1423" s="4" t="s">
        <v>49</v>
      </c>
      <c r="J1423" s="4" t="s">
        <v>406</v>
      </c>
      <c r="K1423" s="4" t="s">
        <v>1492</v>
      </c>
      <c r="L1423" s="5">
        <v>0.38611111111111113</v>
      </c>
      <c r="M1423" s="4" t="s">
        <v>533</v>
      </c>
      <c r="N1423" s="6" t="s">
        <v>23</v>
      </c>
      <c r="O1423" s="4" t="s">
        <v>24</v>
      </c>
    </row>
    <row r="1424" spans="1:15" x14ac:dyDescent="0.25">
      <c r="A1424" s="4" t="s">
        <v>15</v>
      </c>
      <c r="B1424" s="4" t="str">
        <f>"FES1162750932"</f>
        <v>FES1162750932</v>
      </c>
      <c r="C1424" s="4" t="s">
        <v>1294</v>
      </c>
      <c r="D1424" s="4">
        <v>1</v>
      </c>
      <c r="E1424" s="4" t="str">
        <f>"2170741034"</f>
        <v>2170741034</v>
      </c>
      <c r="F1424" s="4" t="s">
        <v>17</v>
      </c>
      <c r="G1424" s="4" t="s">
        <v>18</v>
      </c>
      <c r="H1424" s="4" t="s">
        <v>32</v>
      </c>
      <c r="I1424" s="4" t="s">
        <v>33</v>
      </c>
      <c r="J1424" s="4" t="s">
        <v>1239</v>
      </c>
      <c r="K1424" s="4" t="s">
        <v>1492</v>
      </c>
      <c r="L1424" s="5">
        <v>0.43055555555555558</v>
      </c>
      <c r="M1424" s="4" t="s">
        <v>65</v>
      </c>
      <c r="N1424" s="6" t="s">
        <v>23</v>
      </c>
      <c r="O1424" s="4" t="s">
        <v>24</v>
      </c>
    </row>
    <row r="1425" spans="1:15" x14ac:dyDescent="0.25">
      <c r="A1425" s="4" t="s">
        <v>15</v>
      </c>
      <c r="B1425" s="4" t="str">
        <f>"FES1162750948"</f>
        <v>FES1162750948</v>
      </c>
      <c r="C1425" s="4" t="s">
        <v>1294</v>
      </c>
      <c r="D1425" s="4">
        <v>1</v>
      </c>
      <c r="E1425" s="4" t="str">
        <f>"2170741060"</f>
        <v>2170741060</v>
      </c>
      <c r="F1425" s="4" t="s">
        <v>17</v>
      </c>
      <c r="G1425" s="4" t="s">
        <v>18</v>
      </c>
      <c r="H1425" s="4" t="s">
        <v>32</v>
      </c>
      <c r="I1425" s="4" t="s">
        <v>33</v>
      </c>
      <c r="J1425" s="4" t="s">
        <v>1096</v>
      </c>
      <c r="K1425" s="4" t="s">
        <v>1492</v>
      </c>
      <c r="L1425" s="5">
        <v>0.41666666666666669</v>
      </c>
      <c r="M1425" s="4" t="s">
        <v>1183</v>
      </c>
      <c r="N1425" s="6" t="s">
        <v>23</v>
      </c>
      <c r="O1425" s="4" t="s">
        <v>24</v>
      </c>
    </row>
    <row r="1426" spans="1:15" x14ac:dyDescent="0.25">
      <c r="A1426" s="4" t="s">
        <v>15</v>
      </c>
      <c r="B1426" s="4" t="str">
        <f>"FES1162750967"</f>
        <v>FES1162750967</v>
      </c>
      <c r="C1426" s="4" t="s">
        <v>1294</v>
      </c>
      <c r="D1426" s="4">
        <v>1</v>
      </c>
      <c r="E1426" s="4" t="str">
        <f>"2170741096"</f>
        <v>2170741096</v>
      </c>
      <c r="F1426" s="4" t="s">
        <v>17</v>
      </c>
      <c r="G1426" s="4" t="s">
        <v>18</v>
      </c>
      <c r="H1426" s="4" t="s">
        <v>48</v>
      </c>
      <c r="I1426" s="4" t="s">
        <v>49</v>
      </c>
      <c r="J1426" s="4" t="s">
        <v>1496</v>
      </c>
      <c r="K1426" s="4" t="s">
        <v>1492</v>
      </c>
      <c r="L1426" s="5">
        <v>0.33888888888888885</v>
      </c>
      <c r="M1426" s="4" t="s">
        <v>1497</v>
      </c>
      <c r="N1426" s="6" t="s">
        <v>23</v>
      </c>
      <c r="O1426" s="4" t="s">
        <v>24</v>
      </c>
    </row>
    <row r="1427" spans="1:15" x14ac:dyDescent="0.25">
      <c r="A1427" s="4" t="s">
        <v>15</v>
      </c>
      <c r="B1427" s="4" t="str">
        <f>"FES1162750959"</f>
        <v>FES1162750959</v>
      </c>
      <c r="C1427" s="4" t="s">
        <v>1294</v>
      </c>
      <c r="D1427" s="4">
        <v>1</v>
      </c>
      <c r="E1427" s="4" t="str">
        <f>"2170741087"</f>
        <v>2170741087</v>
      </c>
      <c r="F1427" s="4" t="s">
        <v>17</v>
      </c>
      <c r="G1427" s="4" t="s">
        <v>18</v>
      </c>
      <c r="H1427" s="4" t="s">
        <v>32</v>
      </c>
      <c r="I1427" s="4" t="s">
        <v>33</v>
      </c>
      <c r="J1427" s="4" t="s">
        <v>891</v>
      </c>
      <c r="K1427" s="4" t="s">
        <v>1492</v>
      </c>
      <c r="L1427" s="5">
        <v>0.3888888888888889</v>
      </c>
      <c r="M1427" s="4" t="s">
        <v>65</v>
      </c>
      <c r="N1427" s="6" t="s">
        <v>23</v>
      </c>
      <c r="O1427" s="4" t="s">
        <v>24</v>
      </c>
    </row>
    <row r="1428" spans="1:15" x14ac:dyDescent="0.25">
      <c r="A1428" s="4" t="s">
        <v>15</v>
      </c>
      <c r="B1428" s="4" t="str">
        <f>"FES1162751058"</f>
        <v>FES1162751058</v>
      </c>
      <c r="C1428" s="4" t="s">
        <v>1294</v>
      </c>
      <c r="D1428" s="4">
        <v>1</v>
      </c>
      <c r="E1428" s="4" t="str">
        <f>"2170741111"</f>
        <v>2170741111</v>
      </c>
      <c r="F1428" s="4" t="s">
        <v>17</v>
      </c>
      <c r="G1428" s="4" t="s">
        <v>18</v>
      </c>
      <c r="H1428" s="4" t="s">
        <v>32</v>
      </c>
      <c r="I1428" s="4" t="s">
        <v>33</v>
      </c>
      <c r="J1428" s="4" t="s">
        <v>317</v>
      </c>
      <c r="K1428" s="4" t="s">
        <v>1492</v>
      </c>
      <c r="L1428" s="5">
        <v>0.3979166666666667</v>
      </c>
      <c r="M1428" s="4" t="s">
        <v>474</v>
      </c>
      <c r="N1428" s="6" t="s">
        <v>23</v>
      </c>
      <c r="O1428" s="4" t="s">
        <v>24</v>
      </c>
    </row>
    <row r="1429" spans="1:15" x14ac:dyDescent="0.25">
      <c r="A1429" s="4" t="s">
        <v>15</v>
      </c>
      <c r="B1429" s="4" t="str">
        <f>"FES1162750957"</f>
        <v>FES1162750957</v>
      </c>
      <c r="C1429" s="4" t="s">
        <v>1294</v>
      </c>
      <c r="D1429" s="4">
        <v>1</v>
      </c>
      <c r="E1429" s="4" t="str">
        <f>"2170741062"</f>
        <v>2170741062</v>
      </c>
      <c r="F1429" s="4" t="s">
        <v>17</v>
      </c>
      <c r="G1429" s="4" t="s">
        <v>18</v>
      </c>
      <c r="H1429" s="4" t="s">
        <v>48</v>
      </c>
      <c r="I1429" s="4" t="s">
        <v>49</v>
      </c>
      <c r="J1429" s="4" t="s">
        <v>322</v>
      </c>
      <c r="K1429" s="4" t="s">
        <v>1492</v>
      </c>
      <c r="L1429" s="5">
        <v>0.3354166666666667</v>
      </c>
      <c r="M1429" s="4" t="s">
        <v>1498</v>
      </c>
      <c r="N1429" s="6" t="s">
        <v>23</v>
      </c>
      <c r="O1429" s="4" t="s">
        <v>24</v>
      </c>
    </row>
    <row r="1430" spans="1:15" x14ac:dyDescent="0.25">
      <c r="A1430" s="4" t="s">
        <v>15</v>
      </c>
      <c r="B1430" s="4" t="str">
        <f>"FES1162750949"</f>
        <v>FES1162750949</v>
      </c>
      <c r="C1430" s="4" t="s">
        <v>1294</v>
      </c>
      <c r="D1430" s="4">
        <v>1</v>
      </c>
      <c r="E1430" s="4" t="str">
        <f>"21702740161"</f>
        <v>21702740161</v>
      </c>
      <c r="F1430" s="4" t="s">
        <v>17</v>
      </c>
      <c r="G1430" s="4" t="s">
        <v>18</v>
      </c>
      <c r="H1430" s="4" t="s">
        <v>18</v>
      </c>
      <c r="I1430" s="4" t="s">
        <v>29</v>
      </c>
      <c r="J1430" s="4" t="s">
        <v>302</v>
      </c>
      <c r="K1430" s="4" t="s">
        <v>1492</v>
      </c>
      <c r="L1430" s="5">
        <v>0.33333333333333331</v>
      </c>
      <c r="M1430" s="4" t="s">
        <v>462</v>
      </c>
      <c r="N1430" s="6" t="s">
        <v>23</v>
      </c>
      <c r="O1430" s="4" t="s">
        <v>24</v>
      </c>
    </row>
    <row r="1431" spans="1:15" x14ac:dyDescent="0.25">
      <c r="A1431" s="4" t="s">
        <v>15</v>
      </c>
      <c r="B1431" s="4" t="str">
        <f>"FES1162751022"</f>
        <v>FES1162751022</v>
      </c>
      <c r="C1431" s="4" t="s">
        <v>1294</v>
      </c>
      <c r="D1431" s="4">
        <v>1</v>
      </c>
      <c r="E1431" s="4" t="str">
        <f>"2170740038"</f>
        <v>2170740038</v>
      </c>
      <c r="F1431" s="4" t="s">
        <v>17</v>
      </c>
      <c r="G1431" s="4" t="s">
        <v>18</v>
      </c>
      <c r="H1431" s="4" t="s">
        <v>18</v>
      </c>
      <c r="I1431" s="4" t="s">
        <v>29</v>
      </c>
      <c r="J1431" s="4" t="s">
        <v>300</v>
      </c>
      <c r="K1431" s="4" t="s">
        <v>1492</v>
      </c>
      <c r="L1431" s="5">
        <v>0.39305555555555555</v>
      </c>
      <c r="M1431" s="4" t="s">
        <v>1458</v>
      </c>
      <c r="N1431" s="6" t="s">
        <v>23</v>
      </c>
      <c r="O1431" s="4" t="s">
        <v>24</v>
      </c>
    </row>
    <row r="1432" spans="1:15" x14ac:dyDescent="0.25">
      <c r="A1432" s="4" t="s">
        <v>15</v>
      </c>
      <c r="B1432" s="4" t="str">
        <f>"FES1162751005"</f>
        <v>FES1162751005</v>
      </c>
      <c r="C1432" s="4" t="s">
        <v>1294</v>
      </c>
      <c r="D1432" s="4">
        <v>1</v>
      </c>
      <c r="E1432" s="4" t="str">
        <f>"2170739902"</f>
        <v>2170739902</v>
      </c>
      <c r="F1432" s="4" t="s">
        <v>17</v>
      </c>
      <c r="G1432" s="4" t="s">
        <v>18</v>
      </c>
      <c r="H1432" s="4" t="s">
        <v>18</v>
      </c>
      <c r="I1432" s="4" t="s">
        <v>97</v>
      </c>
      <c r="J1432" s="4" t="s">
        <v>859</v>
      </c>
      <c r="K1432" s="4" t="s">
        <v>1492</v>
      </c>
      <c r="L1432" s="5">
        <v>0.31597222222222221</v>
      </c>
      <c r="M1432" s="4" t="s">
        <v>1022</v>
      </c>
      <c r="N1432" s="6" t="s">
        <v>23</v>
      </c>
      <c r="O1432" s="4" t="s">
        <v>24</v>
      </c>
    </row>
    <row r="1433" spans="1:15" x14ac:dyDescent="0.25">
      <c r="A1433" s="4" t="s">
        <v>15</v>
      </c>
      <c r="B1433" s="4" t="str">
        <f>"FES1162751047"</f>
        <v>FES1162751047</v>
      </c>
      <c r="C1433" s="4" t="s">
        <v>1294</v>
      </c>
      <c r="D1433" s="4">
        <v>1</v>
      </c>
      <c r="E1433" s="4" t="str">
        <f>"2170741135"</f>
        <v>2170741135</v>
      </c>
      <c r="F1433" s="4" t="s">
        <v>17</v>
      </c>
      <c r="G1433" s="4" t="s">
        <v>18</v>
      </c>
      <c r="H1433" s="4" t="s">
        <v>48</v>
      </c>
      <c r="I1433" s="4" t="s">
        <v>49</v>
      </c>
      <c r="J1433" s="4" t="s">
        <v>605</v>
      </c>
      <c r="K1433" s="4" t="s">
        <v>1492</v>
      </c>
      <c r="L1433" s="5">
        <v>0.39513888888888887</v>
      </c>
      <c r="M1433" s="4" t="s">
        <v>717</v>
      </c>
      <c r="N1433" s="6" t="s">
        <v>23</v>
      </c>
      <c r="O1433" s="4" t="s">
        <v>24</v>
      </c>
    </row>
    <row r="1434" spans="1:15" x14ac:dyDescent="0.25">
      <c r="A1434" s="4" t="s">
        <v>15</v>
      </c>
      <c r="B1434" s="4" t="str">
        <f>"FES1162750979"</f>
        <v>FES1162750979</v>
      </c>
      <c r="C1434" s="4" t="s">
        <v>1294</v>
      </c>
      <c r="D1434" s="4">
        <v>1</v>
      </c>
      <c r="E1434" s="4" t="str">
        <f>"2170738441"</f>
        <v>2170738441</v>
      </c>
      <c r="F1434" s="4" t="s">
        <v>17</v>
      </c>
      <c r="G1434" s="4" t="s">
        <v>18</v>
      </c>
      <c r="H1434" s="4" t="s">
        <v>48</v>
      </c>
      <c r="I1434" s="4" t="s">
        <v>49</v>
      </c>
      <c r="J1434" s="4" t="s">
        <v>867</v>
      </c>
      <c r="K1434" s="4" t="s">
        <v>1492</v>
      </c>
      <c r="L1434" s="5">
        <v>0.41666666666666669</v>
      </c>
      <c r="M1434" s="4" t="s">
        <v>1560</v>
      </c>
      <c r="N1434" s="6" t="s">
        <v>23</v>
      </c>
      <c r="O1434" s="4" t="s">
        <v>24</v>
      </c>
    </row>
    <row r="1435" spans="1:15" x14ac:dyDescent="0.25">
      <c r="A1435" s="4" t="s">
        <v>15</v>
      </c>
      <c r="B1435" s="4" t="str">
        <f>"FES1162750991"</f>
        <v>FES1162750991</v>
      </c>
      <c r="C1435" s="4" t="s">
        <v>1294</v>
      </c>
      <c r="D1435" s="4">
        <v>1</v>
      </c>
      <c r="E1435" s="4" t="str">
        <f>"2170739797"</f>
        <v>2170739797</v>
      </c>
      <c r="F1435" s="4" t="s">
        <v>17</v>
      </c>
      <c r="G1435" s="4" t="s">
        <v>18</v>
      </c>
      <c r="H1435" s="4" t="s">
        <v>85</v>
      </c>
      <c r="I1435" s="4" t="s">
        <v>207</v>
      </c>
      <c r="J1435" s="4" t="s">
        <v>619</v>
      </c>
      <c r="K1435" s="4" t="s">
        <v>1492</v>
      </c>
      <c r="L1435" s="5">
        <v>0.43402777777777773</v>
      </c>
      <c r="M1435" s="4" t="s">
        <v>753</v>
      </c>
      <c r="N1435" s="6" t="s">
        <v>23</v>
      </c>
      <c r="O1435" s="4" t="s">
        <v>24</v>
      </c>
    </row>
    <row r="1436" spans="1:15" x14ac:dyDescent="0.25">
      <c r="A1436" s="4" t="s">
        <v>15</v>
      </c>
      <c r="B1436" s="4" t="str">
        <f>"FES1162751018"</f>
        <v>FES1162751018</v>
      </c>
      <c r="C1436" s="4" t="s">
        <v>1294</v>
      </c>
      <c r="D1436" s="4">
        <v>1</v>
      </c>
      <c r="E1436" s="4" t="str">
        <f>"2170739997"</f>
        <v>2170739997</v>
      </c>
      <c r="F1436" s="4" t="s">
        <v>17</v>
      </c>
      <c r="G1436" s="4" t="s">
        <v>18</v>
      </c>
      <c r="H1436" s="4" t="s">
        <v>32</v>
      </c>
      <c r="I1436" s="4" t="s">
        <v>33</v>
      </c>
      <c r="J1436" s="4" t="s">
        <v>388</v>
      </c>
      <c r="K1436" s="4" t="s">
        <v>1492</v>
      </c>
      <c r="L1436" s="5">
        <v>0.375</v>
      </c>
      <c r="M1436" s="4" t="s">
        <v>949</v>
      </c>
      <c r="N1436" s="6" t="s">
        <v>23</v>
      </c>
      <c r="O1436" s="4" t="s">
        <v>24</v>
      </c>
    </row>
    <row r="1437" spans="1:15" x14ac:dyDescent="0.25">
      <c r="A1437" s="4" t="s">
        <v>15</v>
      </c>
      <c r="B1437" s="4" t="str">
        <f>"FES1162750966"</f>
        <v>FES1162750966</v>
      </c>
      <c r="C1437" s="4" t="s">
        <v>1294</v>
      </c>
      <c r="D1437" s="4">
        <v>1</v>
      </c>
      <c r="E1437" s="4" t="str">
        <f>"2170741095"</f>
        <v>2170741095</v>
      </c>
      <c r="F1437" s="4" t="s">
        <v>17</v>
      </c>
      <c r="G1437" s="4" t="s">
        <v>18</v>
      </c>
      <c r="H1437" s="4" t="s">
        <v>32</v>
      </c>
      <c r="I1437" s="4" t="s">
        <v>33</v>
      </c>
      <c r="J1437" s="4" t="s">
        <v>600</v>
      </c>
      <c r="K1437" s="4" t="s">
        <v>1492</v>
      </c>
      <c r="L1437" s="5">
        <v>0.35486111111111113</v>
      </c>
      <c r="M1437" s="4" t="s">
        <v>711</v>
      </c>
      <c r="N1437" s="6" t="s">
        <v>23</v>
      </c>
      <c r="O1437" s="4" t="s">
        <v>24</v>
      </c>
    </row>
    <row r="1438" spans="1:15" x14ac:dyDescent="0.25">
      <c r="A1438" s="4" t="s">
        <v>15</v>
      </c>
      <c r="B1438" s="4" t="str">
        <f>"FES1162751007"</f>
        <v>FES1162751007</v>
      </c>
      <c r="C1438" s="4" t="s">
        <v>1294</v>
      </c>
      <c r="D1438" s="4">
        <v>1</v>
      </c>
      <c r="E1438" s="4" t="str">
        <f>"2170739909"</f>
        <v>2170739909</v>
      </c>
      <c r="F1438" s="4" t="s">
        <v>17</v>
      </c>
      <c r="G1438" s="4" t="s">
        <v>18</v>
      </c>
      <c r="H1438" s="4" t="s">
        <v>48</v>
      </c>
      <c r="I1438" s="4" t="s">
        <v>49</v>
      </c>
      <c r="J1438" s="4" t="s">
        <v>630</v>
      </c>
      <c r="K1438" s="4" t="s">
        <v>1492</v>
      </c>
      <c r="L1438" s="5">
        <v>0.4770833333333333</v>
      </c>
      <c r="M1438" s="4" t="s">
        <v>749</v>
      </c>
      <c r="N1438" s="6" t="s">
        <v>23</v>
      </c>
      <c r="O1438" s="4" t="s">
        <v>24</v>
      </c>
    </row>
    <row r="1439" spans="1:15" x14ac:dyDescent="0.25">
      <c r="A1439" s="4" t="s">
        <v>15</v>
      </c>
      <c r="B1439" s="4" t="str">
        <f>"FES1162750940"</f>
        <v>FES1162750940</v>
      </c>
      <c r="C1439" s="4" t="s">
        <v>1294</v>
      </c>
      <c r="D1439" s="4">
        <v>1</v>
      </c>
      <c r="E1439" s="4" t="str">
        <f>"2170741042"</f>
        <v>2170741042</v>
      </c>
      <c r="F1439" s="4" t="s">
        <v>17</v>
      </c>
      <c r="G1439" s="4" t="s">
        <v>18</v>
      </c>
      <c r="H1439" s="4" t="s">
        <v>48</v>
      </c>
      <c r="I1439" s="4" t="s">
        <v>49</v>
      </c>
      <c r="J1439" s="4" t="s">
        <v>100</v>
      </c>
      <c r="K1439" s="4" t="s">
        <v>1492</v>
      </c>
      <c r="L1439" s="5">
        <v>0.3743055555555555</v>
      </c>
      <c r="M1439" s="4" t="s">
        <v>1493</v>
      </c>
      <c r="N1439" s="6" t="s">
        <v>23</v>
      </c>
      <c r="O1439" s="4" t="s">
        <v>24</v>
      </c>
    </row>
    <row r="1440" spans="1:15" x14ac:dyDescent="0.25">
      <c r="A1440" s="4" t="s">
        <v>15</v>
      </c>
      <c r="B1440" s="4" t="str">
        <f>"FES1162750950"</f>
        <v>FES1162750950</v>
      </c>
      <c r="C1440" s="4" t="s">
        <v>1294</v>
      </c>
      <c r="D1440" s="4">
        <v>1</v>
      </c>
      <c r="E1440" s="4" t="str">
        <f>"2170741066"</f>
        <v>2170741066</v>
      </c>
      <c r="F1440" s="4" t="s">
        <v>17</v>
      </c>
      <c r="G1440" s="4" t="s">
        <v>18</v>
      </c>
      <c r="H1440" s="4" t="s">
        <v>25</v>
      </c>
      <c r="I1440" s="4" t="s">
        <v>281</v>
      </c>
      <c r="J1440" s="4" t="s">
        <v>624</v>
      </c>
      <c r="K1440" s="4" t="s">
        <v>1492</v>
      </c>
      <c r="L1440" s="5">
        <v>0.39583333333333331</v>
      </c>
      <c r="M1440" s="4" t="s">
        <v>737</v>
      </c>
      <c r="N1440" s="6" t="s">
        <v>23</v>
      </c>
      <c r="O1440" s="4" t="s">
        <v>24</v>
      </c>
    </row>
    <row r="1441" spans="1:15" x14ac:dyDescent="0.25">
      <c r="A1441" s="4" t="s">
        <v>15</v>
      </c>
      <c r="B1441" s="4" t="str">
        <f>"FES1162750927"</f>
        <v>FES1162750927</v>
      </c>
      <c r="C1441" s="4" t="s">
        <v>1294</v>
      </c>
      <c r="D1441" s="4">
        <v>1</v>
      </c>
      <c r="E1441" s="4" t="str">
        <f>"2170741023"</f>
        <v>2170741023</v>
      </c>
      <c r="F1441" s="4" t="s">
        <v>17</v>
      </c>
      <c r="G1441" s="4" t="s">
        <v>18</v>
      </c>
      <c r="H1441" s="4" t="s">
        <v>48</v>
      </c>
      <c r="I1441" s="4" t="s">
        <v>49</v>
      </c>
      <c r="J1441" s="4" t="s">
        <v>884</v>
      </c>
      <c r="K1441" s="4" t="s">
        <v>1492</v>
      </c>
      <c r="L1441" s="5">
        <v>0.39166666666666666</v>
      </c>
      <c r="M1441" s="4" t="s">
        <v>1561</v>
      </c>
      <c r="N1441" s="6" t="s">
        <v>23</v>
      </c>
      <c r="O1441" s="4" t="s">
        <v>24</v>
      </c>
    </row>
    <row r="1442" spans="1:15" x14ac:dyDescent="0.25">
      <c r="A1442" s="4" t="s">
        <v>15</v>
      </c>
      <c r="B1442" s="4" t="str">
        <f>"FES1162751013"</f>
        <v>FES1162751013</v>
      </c>
      <c r="C1442" s="4" t="s">
        <v>1294</v>
      </c>
      <c r="D1442" s="4">
        <v>1</v>
      </c>
      <c r="E1442" s="4" t="str">
        <f>"2170739956"</f>
        <v>2170739956</v>
      </c>
      <c r="F1442" s="4" t="s">
        <v>17</v>
      </c>
      <c r="G1442" s="4" t="s">
        <v>18</v>
      </c>
      <c r="H1442" s="4" t="s">
        <v>52</v>
      </c>
      <c r="I1442" s="4" t="s">
        <v>53</v>
      </c>
      <c r="J1442" s="4" t="s">
        <v>56</v>
      </c>
      <c r="K1442" s="4" t="s">
        <v>1492</v>
      </c>
      <c r="L1442" s="5">
        <v>0.43402777777777773</v>
      </c>
      <c r="M1442" s="4" t="s">
        <v>57</v>
      </c>
      <c r="N1442" s="6" t="s">
        <v>23</v>
      </c>
      <c r="O1442" s="4" t="s">
        <v>24</v>
      </c>
    </row>
    <row r="1443" spans="1:15" x14ac:dyDescent="0.25">
      <c r="A1443" s="4" t="s">
        <v>15</v>
      </c>
      <c r="B1443" s="4" t="str">
        <f>"FES1162751071"</f>
        <v>FES1162751071</v>
      </c>
      <c r="C1443" s="4" t="s">
        <v>1294</v>
      </c>
      <c r="D1443" s="4">
        <v>1</v>
      </c>
      <c r="E1443" s="4" t="str">
        <f>"2170741160"</f>
        <v>2170741160</v>
      </c>
      <c r="F1443" s="4" t="s">
        <v>17</v>
      </c>
      <c r="G1443" s="4" t="s">
        <v>18</v>
      </c>
      <c r="H1443" s="4" t="s">
        <v>25</v>
      </c>
      <c r="I1443" s="4" t="s">
        <v>26</v>
      </c>
      <c r="J1443" s="4" t="s">
        <v>1499</v>
      </c>
      <c r="K1443" s="4" t="s">
        <v>1492</v>
      </c>
      <c r="L1443" s="5">
        <v>0.41666666666666669</v>
      </c>
      <c r="M1443" s="4" t="s">
        <v>1562</v>
      </c>
      <c r="N1443" s="6" t="s">
        <v>23</v>
      </c>
      <c r="O1443" s="4" t="s">
        <v>24</v>
      </c>
    </row>
    <row r="1444" spans="1:15" x14ac:dyDescent="0.25">
      <c r="A1444" s="4" t="s">
        <v>15</v>
      </c>
      <c r="B1444" s="4" t="str">
        <f>"FES1162751001"</f>
        <v>FES1162751001</v>
      </c>
      <c r="C1444" s="4" t="s">
        <v>1294</v>
      </c>
      <c r="D1444" s="4">
        <v>1</v>
      </c>
      <c r="E1444" s="4" t="str">
        <f>"2170739894"</f>
        <v>2170739894</v>
      </c>
      <c r="F1444" s="4" t="s">
        <v>17</v>
      </c>
      <c r="G1444" s="4" t="s">
        <v>18</v>
      </c>
      <c r="H1444" s="4" t="s">
        <v>25</v>
      </c>
      <c r="I1444" s="4" t="s">
        <v>26</v>
      </c>
      <c r="J1444" s="4" t="s">
        <v>1500</v>
      </c>
      <c r="K1444" s="4" t="s">
        <v>1492</v>
      </c>
      <c r="L1444" s="5">
        <v>0.41666666666666669</v>
      </c>
      <c r="M1444" s="4" t="s">
        <v>1635</v>
      </c>
      <c r="N1444" s="6" t="s">
        <v>23</v>
      </c>
      <c r="O1444" s="4" t="s">
        <v>24</v>
      </c>
    </row>
    <row r="1445" spans="1:15" x14ac:dyDescent="0.25">
      <c r="A1445" s="4" t="s">
        <v>15</v>
      </c>
      <c r="B1445" s="4" t="str">
        <f>"FES1162750964"</f>
        <v>FES1162750964</v>
      </c>
      <c r="C1445" s="4" t="s">
        <v>1294</v>
      </c>
      <c r="D1445" s="4">
        <v>1</v>
      </c>
      <c r="E1445" s="4" t="str">
        <f>"2170741092"</f>
        <v>2170741092</v>
      </c>
      <c r="F1445" s="4" t="s">
        <v>17</v>
      </c>
      <c r="G1445" s="4" t="s">
        <v>18</v>
      </c>
      <c r="H1445" s="4" t="s">
        <v>85</v>
      </c>
      <c r="I1445" s="4" t="s">
        <v>144</v>
      </c>
      <c r="J1445" s="4" t="s">
        <v>1373</v>
      </c>
      <c r="K1445" s="4" t="s">
        <v>1492</v>
      </c>
      <c r="L1445" s="5">
        <v>0.37916666666666665</v>
      </c>
      <c r="M1445" s="4" t="s">
        <v>1563</v>
      </c>
      <c r="N1445" s="6" t="s">
        <v>23</v>
      </c>
      <c r="O1445" s="4" t="s">
        <v>24</v>
      </c>
    </row>
    <row r="1446" spans="1:15" x14ac:dyDescent="0.25">
      <c r="A1446" s="4" t="s">
        <v>15</v>
      </c>
      <c r="B1446" s="4" t="str">
        <f>"FES1162750926"</f>
        <v>FES1162750926</v>
      </c>
      <c r="C1446" s="4" t="s">
        <v>1294</v>
      </c>
      <c r="D1446" s="4">
        <v>1</v>
      </c>
      <c r="E1446" s="4" t="str">
        <f>"2170741015"</f>
        <v>2170741015</v>
      </c>
      <c r="F1446" s="4" t="s">
        <v>17</v>
      </c>
      <c r="G1446" s="4" t="s">
        <v>18</v>
      </c>
      <c r="H1446" s="4" t="s">
        <v>48</v>
      </c>
      <c r="I1446" s="4" t="s">
        <v>49</v>
      </c>
      <c r="J1446" s="4" t="s">
        <v>322</v>
      </c>
      <c r="K1446" s="4" t="s">
        <v>1492</v>
      </c>
      <c r="L1446" s="5">
        <v>0.3354166666666667</v>
      </c>
      <c r="M1446" s="4" t="s">
        <v>1498</v>
      </c>
      <c r="N1446" s="6" t="s">
        <v>23</v>
      </c>
      <c r="O1446" s="4" t="s">
        <v>24</v>
      </c>
    </row>
    <row r="1447" spans="1:15" x14ac:dyDescent="0.25">
      <c r="A1447" s="10" t="s">
        <v>15</v>
      </c>
      <c r="B1447" s="10" t="str">
        <f>"FES1162751040"</f>
        <v>FES1162751040</v>
      </c>
      <c r="C1447" s="10" t="s">
        <v>1294</v>
      </c>
      <c r="D1447" s="10">
        <v>1</v>
      </c>
      <c r="E1447" s="10" t="str">
        <f>"2170741125"</f>
        <v>2170741125</v>
      </c>
      <c r="F1447" s="10" t="s">
        <v>17</v>
      </c>
      <c r="G1447" s="10" t="s">
        <v>18</v>
      </c>
      <c r="H1447" s="10" t="s">
        <v>25</v>
      </c>
      <c r="I1447" s="10" t="s">
        <v>92</v>
      </c>
      <c r="J1447" s="10" t="s">
        <v>1501</v>
      </c>
      <c r="K1447" s="10" t="s">
        <v>43</v>
      </c>
      <c r="L1447" s="10"/>
      <c r="M1447" s="10" t="s">
        <v>44</v>
      </c>
      <c r="N1447" s="10" t="s">
        <v>965</v>
      </c>
      <c r="O1447" s="10" t="s">
        <v>965</v>
      </c>
    </row>
    <row r="1448" spans="1:15" x14ac:dyDescent="0.25">
      <c r="A1448" s="4" t="s">
        <v>15</v>
      </c>
      <c r="B1448" s="4" t="str">
        <f>"FES1162751050"</f>
        <v>FES1162751050</v>
      </c>
      <c r="C1448" s="4" t="s">
        <v>1294</v>
      </c>
      <c r="D1448" s="4">
        <v>1</v>
      </c>
      <c r="E1448" s="4" t="str">
        <f>"2170741137"</f>
        <v>2170741137</v>
      </c>
      <c r="F1448" s="4" t="s">
        <v>17</v>
      </c>
      <c r="G1448" s="4" t="s">
        <v>18</v>
      </c>
      <c r="H1448" s="4" t="s">
        <v>52</v>
      </c>
      <c r="I1448" s="4" t="s">
        <v>53</v>
      </c>
      <c r="J1448" s="4" t="s">
        <v>56</v>
      </c>
      <c r="K1448" s="4" t="s">
        <v>1492</v>
      </c>
      <c r="L1448" s="5">
        <v>0.43402777777777773</v>
      </c>
      <c r="M1448" s="4" t="s">
        <v>57</v>
      </c>
      <c r="N1448" s="6" t="s">
        <v>23</v>
      </c>
      <c r="O1448" s="4" t="s">
        <v>24</v>
      </c>
    </row>
    <row r="1449" spans="1:15" x14ac:dyDescent="0.25">
      <c r="A1449" s="4" t="s">
        <v>15</v>
      </c>
      <c r="B1449" s="4" t="str">
        <f>"FES1162750963"</f>
        <v>FES1162750963</v>
      </c>
      <c r="C1449" s="4" t="s">
        <v>1294</v>
      </c>
      <c r="D1449" s="4">
        <v>1</v>
      </c>
      <c r="E1449" s="4" t="str">
        <f>"2170741091"</f>
        <v>2170741091</v>
      </c>
      <c r="F1449" s="4" t="s">
        <v>17</v>
      </c>
      <c r="G1449" s="4" t="s">
        <v>18</v>
      </c>
      <c r="H1449" s="4" t="s">
        <v>25</v>
      </c>
      <c r="I1449" s="4" t="s">
        <v>26</v>
      </c>
      <c r="J1449" s="4" t="s">
        <v>411</v>
      </c>
      <c r="K1449" s="4" t="s">
        <v>1492</v>
      </c>
      <c r="L1449" s="5">
        <v>0.42222222222222222</v>
      </c>
      <c r="M1449" s="4" t="s">
        <v>404</v>
      </c>
      <c r="N1449" s="6" t="s">
        <v>23</v>
      </c>
      <c r="O1449" s="4" t="s">
        <v>24</v>
      </c>
    </row>
    <row r="1450" spans="1:15" x14ac:dyDescent="0.25">
      <c r="A1450" s="4" t="s">
        <v>15</v>
      </c>
      <c r="B1450" s="4" t="str">
        <f>"FES1162750982"</f>
        <v>FES1162750982</v>
      </c>
      <c r="C1450" s="4" t="s">
        <v>1294</v>
      </c>
      <c r="D1450" s="4">
        <v>1</v>
      </c>
      <c r="E1450" s="4" t="str">
        <f>"2170739645"</f>
        <v>2170739645</v>
      </c>
      <c r="F1450" s="4" t="s">
        <v>17</v>
      </c>
      <c r="G1450" s="4" t="s">
        <v>18</v>
      </c>
      <c r="H1450" s="4" t="s">
        <v>85</v>
      </c>
      <c r="I1450" s="4" t="s">
        <v>408</v>
      </c>
      <c r="J1450" s="4" t="s">
        <v>34</v>
      </c>
      <c r="K1450" s="4" t="s">
        <v>1492</v>
      </c>
      <c r="L1450" s="5">
        <v>0.58333333333333337</v>
      </c>
      <c r="M1450" s="4" t="s">
        <v>1564</v>
      </c>
      <c r="N1450" s="6" t="s">
        <v>23</v>
      </c>
      <c r="O1450" s="4" t="s">
        <v>24</v>
      </c>
    </row>
    <row r="1451" spans="1:15" x14ac:dyDescent="0.25">
      <c r="A1451" s="4" t="s">
        <v>15</v>
      </c>
      <c r="B1451" s="4" t="str">
        <f>"FES1162751014"</f>
        <v>FES1162751014</v>
      </c>
      <c r="C1451" s="4" t="s">
        <v>1294</v>
      </c>
      <c r="D1451" s="4">
        <v>1</v>
      </c>
      <c r="E1451" s="4" t="str">
        <f>"2170739961"</f>
        <v>2170739961</v>
      </c>
      <c r="F1451" s="4" t="s">
        <v>17</v>
      </c>
      <c r="G1451" s="4" t="s">
        <v>18</v>
      </c>
      <c r="H1451" s="4" t="s">
        <v>48</v>
      </c>
      <c r="I1451" s="4" t="s">
        <v>49</v>
      </c>
      <c r="J1451" s="4" t="s">
        <v>376</v>
      </c>
      <c r="K1451" s="4" t="s">
        <v>1492</v>
      </c>
      <c r="L1451" s="5">
        <v>0.41388888888888892</v>
      </c>
      <c r="M1451" s="4" t="s">
        <v>1565</v>
      </c>
      <c r="N1451" s="6" t="s">
        <v>23</v>
      </c>
      <c r="O1451" s="4" t="s">
        <v>24</v>
      </c>
    </row>
    <row r="1452" spans="1:15" x14ac:dyDescent="0.25">
      <c r="A1452" s="4" t="s">
        <v>15</v>
      </c>
      <c r="B1452" s="4" t="str">
        <f>"FES1162750980"</f>
        <v>FES1162750980</v>
      </c>
      <c r="C1452" s="4" t="s">
        <v>1294</v>
      </c>
      <c r="D1452" s="4">
        <v>1</v>
      </c>
      <c r="E1452" s="4" t="str">
        <f>"2170738688"</f>
        <v>2170738688</v>
      </c>
      <c r="F1452" s="4" t="s">
        <v>17</v>
      </c>
      <c r="G1452" s="4" t="s">
        <v>18</v>
      </c>
      <c r="H1452" s="4" t="s">
        <v>48</v>
      </c>
      <c r="I1452" s="4" t="s">
        <v>49</v>
      </c>
      <c r="J1452" s="4" t="s">
        <v>100</v>
      </c>
      <c r="K1452" s="4" t="s">
        <v>1492</v>
      </c>
      <c r="L1452" s="5">
        <v>0.37361111111111112</v>
      </c>
      <c r="M1452" s="4" t="s">
        <v>1493</v>
      </c>
      <c r="N1452" s="6" t="s">
        <v>23</v>
      </c>
      <c r="O1452" s="4" t="s">
        <v>24</v>
      </c>
    </row>
    <row r="1453" spans="1:15" x14ac:dyDescent="0.25">
      <c r="A1453" s="4" t="s">
        <v>15</v>
      </c>
      <c r="B1453" s="4" t="str">
        <f>"FES1162750987"</f>
        <v>FES1162750987</v>
      </c>
      <c r="C1453" s="4" t="s">
        <v>1294</v>
      </c>
      <c r="D1453" s="4">
        <v>1</v>
      </c>
      <c r="E1453" s="4" t="str">
        <f>"2170739730"</f>
        <v>2170739730</v>
      </c>
      <c r="F1453" s="4" t="s">
        <v>17</v>
      </c>
      <c r="G1453" s="4" t="s">
        <v>18</v>
      </c>
      <c r="H1453" s="4" t="s">
        <v>48</v>
      </c>
      <c r="I1453" s="4" t="s">
        <v>49</v>
      </c>
      <c r="J1453" s="4" t="s">
        <v>1502</v>
      </c>
      <c r="K1453" s="4" t="s">
        <v>1492</v>
      </c>
      <c r="L1453" s="5">
        <v>0.41666666666666669</v>
      </c>
      <c r="M1453" s="4" t="s">
        <v>470</v>
      </c>
      <c r="N1453" s="6" t="s">
        <v>23</v>
      </c>
      <c r="O1453" s="4" t="s">
        <v>24</v>
      </c>
    </row>
    <row r="1454" spans="1:15" x14ac:dyDescent="0.25">
      <c r="A1454" s="4" t="s">
        <v>15</v>
      </c>
      <c r="B1454" s="4" t="str">
        <f>"FES1162750995"</f>
        <v>FES1162750995</v>
      </c>
      <c r="C1454" s="4" t="s">
        <v>1294</v>
      </c>
      <c r="D1454" s="4">
        <v>1</v>
      </c>
      <c r="E1454" s="4" t="str">
        <f>"2170739851"</f>
        <v>2170739851</v>
      </c>
      <c r="F1454" s="4" t="s">
        <v>17</v>
      </c>
      <c r="G1454" s="4" t="s">
        <v>18</v>
      </c>
      <c r="H1454" s="4" t="s">
        <v>48</v>
      </c>
      <c r="I1454" s="4" t="s">
        <v>73</v>
      </c>
      <c r="J1454" s="4" t="s">
        <v>160</v>
      </c>
      <c r="K1454" s="4" t="s">
        <v>1492</v>
      </c>
      <c r="L1454" s="5">
        <v>0.51597222222222217</v>
      </c>
      <c r="M1454" s="4" t="s">
        <v>161</v>
      </c>
      <c r="N1454" s="6" t="s">
        <v>23</v>
      </c>
      <c r="O1454" s="4" t="s">
        <v>24</v>
      </c>
    </row>
    <row r="1455" spans="1:15" x14ac:dyDescent="0.25">
      <c r="A1455" s="4" t="s">
        <v>15</v>
      </c>
      <c r="B1455" s="4" t="str">
        <f>"FES1162751038"</f>
        <v>FES1162751038</v>
      </c>
      <c r="C1455" s="4" t="s">
        <v>1294</v>
      </c>
      <c r="D1455" s="4">
        <v>1</v>
      </c>
      <c r="E1455" s="4" t="str">
        <f>"2170741118"</f>
        <v>2170741118</v>
      </c>
      <c r="F1455" s="4" t="s">
        <v>17</v>
      </c>
      <c r="G1455" s="4" t="s">
        <v>18</v>
      </c>
      <c r="H1455" s="4" t="s">
        <v>52</v>
      </c>
      <c r="I1455" s="4" t="s">
        <v>53</v>
      </c>
      <c r="J1455" s="4" t="s">
        <v>56</v>
      </c>
      <c r="K1455" s="4" t="s">
        <v>1492</v>
      </c>
      <c r="L1455" s="5">
        <v>0.43611111111111112</v>
      </c>
      <c r="M1455" s="4" t="s">
        <v>57</v>
      </c>
      <c r="N1455" s="6" t="s">
        <v>23</v>
      </c>
      <c r="O1455" s="4" t="s">
        <v>24</v>
      </c>
    </row>
    <row r="1456" spans="1:15" x14ac:dyDescent="0.25">
      <c r="A1456" s="4" t="s">
        <v>15</v>
      </c>
      <c r="B1456" s="4" t="str">
        <f>"FES1162750922"</f>
        <v>FES1162750922</v>
      </c>
      <c r="C1456" s="4" t="s">
        <v>1294</v>
      </c>
      <c r="D1456" s="4">
        <v>1</v>
      </c>
      <c r="E1456" s="4" t="str">
        <f>"2170740944"</f>
        <v>2170740944</v>
      </c>
      <c r="F1456" s="4" t="s">
        <v>17</v>
      </c>
      <c r="G1456" s="4" t="s">
        <v>18</v>
      </c>
      <c r="H1456" s="4" t="s">
        <v>85</v>
      </c>
      <c r="I1456" s="4" t="s">
        <v>144</v>
      </c>
      <c r="J1456" s="4" t="s">
        <v>1503</v>
      </c>
      <c r="K1456" s="4" t="s">
        <v>1492</v>
      </c>
      <c r="L1456" s="5">
        <v>0.375</v>
      </c>
      <c r="M1456" s="4" t="s">
        <v>1566</v>
      </c>
      <c r="N1456" s="6" t="s">
        <v>23</v>
      </c>
      <c r="O1456" s="4" t="s">
        <v>24</v>
      </c>
    </row>
    <row r="1457" spans="1:15" x14ac:dyDescent="0.25">
      <c r="A1457" s="4" t="s">
        <v>15</v>
      </c>
      <c r="B1457" s="4" t="str">
        <f>"FES1162750962"</f>
        <v>FES1162750962</v>
      </c>
      <c r="C1457" s="4" t="s">
        <v>1294</v>
      </c>
      <c r="D1457" s="4">
        <v>1</v>
      </c>
      <c r="E1457" s="4" t="str">
        <f>"2170741090"</f>
        <v>2170741090</v>
      </c>
      <c r="F1457" s="4" t="s">
        <v>17</v>
      </c>
      <c r="G1457" s="4" t="s">
        <v>18</v>
      </c>
      <c r="H1457" s="4" t="s">
        <v>85</v>
      </c>
      <c r="I1457" s="4" t="s">
        <v>408</v>
      </c>
      <c r="J1457" s="4" t="s">
        <v>34</v>
      </c>
      <c r="K1457" s="4" t="s">
        <v>1492</v>
      </c>
      <c r="L1457" s="5">
        <v>0.58333333333333337</v>
      </c>
      <c r="M1457" s="4" t="s">
        <v>1564</v>
      </c>
      <c r="N1457" s="6" t="s">
        <v>23</v>
      </c>
      <c r="O1457" s="4" t="s">
        <v>24</v>
      </c>
    </row>
    <row r="1458" spans="1:15" x14ac:dyDescent="0.25">
      <c r="A1458" s="4" t="s">
        <v>15</v>
      </c>
      <c r="B1458" s="4" t="str">
        <f>"FES1162751019"</f>
        <v>FES1162751019</v>
      </c>
      <c r="C1458" s="4" t="s">
        <v>1294</v>
      </c>
      <c r="D1458" s="4">
        <v>1</v>
      </c>
      <c r="E1458" s="4" t="str">
        <f>"2170740000"</f>
        <v>2170740000</v>
      </c>
      <c r="F1458" s="4" t="s">
        <v>17</v>
      </c>
      <c r="G1458" s="4" t="s">
        <v>18</v>
      </c>
      <c r="H1458" s="4" t="s">
        <v>25</v>
      </c>
      <c r="I1458" s="4" t="s">
        <v>281</v>
      </c>
      <c r="J1458" s="4" t="s">
        <v>624</v>
      </c>
      <c r="K1458" s="4" t="s">
        <v>1492</v>
      </c>
      <c r="L1458" s="5">
        <v>0.39583333333333331</v>
      </c>
      <c r="M1458" s="4" t="s">
        <v>737</v>
      </c>
      <c r="N1458" s="6" t="s">
        <v>23</v>
      </c>
      <c r="O1458" s="4" t="s">
        <v>24</v>
      </c>
    </row>
    <row r="1459" spans="1:15" x14ac:dyDescent="0.25">
      <c r="A1459" s="4" t="s">
        <v>15</v>
      </c>
      <c r="B1459" s="4" t="str">
        <f>"FES1162750947"</f>
        <v>FES1162750947</v>
      </c>
      <c r="C1459" s="4" t="s">
        <v>1294</v>
      </c>
      <c r="D1459" s="4">
        <v>1</v>
      </c>
      <c r="E1459" s="4" t="str">
        <f>"2170741057"</f>
        <v>2170741057</v>
      </c>
      <c r="F1459" s="4" t="s">
        <v>17</v>
      </c>
      <c r="G1459" s="4" t="s">
        <v>18</v>
      </c>
      <c r="H1459" s="4" t="s">
        <v>25</v>
      </c>
      <c r="I1459" s="4" t="s">
        <v>26</v>
      </c>
      <c r="J1459" s="4" t="s">
        <v>283</v>
      </c>
      <c r="K1459" s="4" t="s">
        <v>1492</v>
      </c>
      <c r="L1459" s="5">
        <v>0.4284722222222222</v>
      </c>
      <c r="M1459" s="4" t="s">
        <v>447</v>
      </c>
      <c r="N1459" s="6" t="s">
        <v>23</v>
      </c>
      <c r="O1459" s="4" t="s">
        <v>24</v>
      </c>
    </row>
    <row r="1460" spans="1:15" x14ac:dyDescent="0.25">
      <c r="A1460" s="4" t="s">
        <v>15</v>
      </c>
      <c r="B1460" s="4" t="str">
        <f>"FES1162750994"</f>
        <v>FES1162750994</v>
      </c>
      <c r="C1460" s="4" t="s">
        <v>1294</v>
      </c>
      <c r="D1460" s="4">
        <v>1</v>
      </c>
      <c r="E1460" s="4" t="str">
        <f>"2170739827"</f>
        <v>2170739827</v>
      </c>
      <c r="F1460" s="4" t="s">
        <v>17</v>
      </c>
      <c r="G1460" s="4" t="s">
        <v>18</v>
      </c>
      <c r="H1460" s="4" t="s">
        <v>25</v>
      </c>
      <c r="I1460" s="4" t="s">
        <v>26</v>
      </c>
      <c r="J1460" s="4" t="s">
        <v>416</v>
      </c>
      <c r="K1460" s="4" t="s">
        <v>1492</v>
      </c>
      <c r="L1460" s="5">
        <v>0.39513888888888887</v>
      </c>
      <c r="M1460" s="4" t="s">
        <v>1567</v>
      </c>
      <c r="N1460" s="6" t="s">
        <v>23</v>
      </c>
      <c r="O1460" s="4" t="s">
        <v>24</v>
      </c>
    </row>
    <row r="1461" spans="1:15" x14ac:dyDescent="0.25">
      <c r="A1461" s="4" t="s">
        <v>15</v>
      </c>
      <c r="B1461" s="4" t="str">
        <f>"FES1162750935"</f>
        <v>FES1162750935</v>
      </c>
      <c r="C1461" s="4" t="s">
        <v>1294</v>
      </c>
      <c r="D1461" s="4">
        <v>1</v>
      </c>
      <c r="E1461" s="4" t="str">
        <f>"2170741037"</f>
        <v>2170741037</v>
      </c>
      <c r="F1461" s="4" t="s">
        <v>17</v>
      </c>
      <c r="G1461" s="4" t="s">
        <v>18</v>
      </c>
      <c r="H1461" s="4" t="s">
        <v>48</v>
      </c>
      <c r="I1461" s="4" t="s">
        <v>110</v>
      </c>
      <c r="J1461" s="4" t="s">
        <v>111</v>
      </c>
      <c r="K1461" s="4" t="s">
        <v>1492</v>
      </c>
      <c r="L1461" s="5">
        <v>0.39513888888888887</v>
      </c>
      <c r="M1461" s="4" t="s">
        <v>647</v>
      </c>
      <c r="N1461" s="6" t="s">
        <v>23</v>
      </c>
      <c r="O1461" s="4" t="s">
        <v>24</v>
      </c>
    </row>
    <row r="1462" spans="1:15" x14ac:dyDescent="0.25">
      <c r="A1462" s="4" t="s">
        <v>15</v>
      </c>
      <c r="B1462" s="4" t="str">
        <f>"FES1162750984"</f>
        <v>FES1162750984</v>
      </c>
      <c r="C1462" s="4" t="s">
        <v>1294</v>
      </c>
      <c r="D1462" s="4">
        <v>1</v>
      </c>
      <c r="E1462" s="4" t="str">
        <f>"217039674"</f>
        <v>217039674</v>
      </c>
      <c r="F1462" s="4" t="s">
        <v>17</v>
      </c>
      <c r="G1462" s="4" t="s">
        <v>18</v>
      </c>
      <c r="H1462" s="4" t="s">
        <v>40</v>
      </c>
      <c r="I1462" s="4" t="s">
        <v>41</v>
      </c>
      <c r="J1462" s="4" t="s">
        <v>77</v>
      </c>
      <c r="K1462" s="4" t="s">
        <v>1492</v>
      </c>
      <c r="L1462" s="5">
        <v>0.49444444444444446</v>
      </c>
      <c r="M1462" s="4" t="s">
        <v>1568</v>
      </c>
      <c r="N1462" s="6" t="s">
        <v>23</v>
      </c>
      <c r="O1462" s="4" t="s">
        <v>24</v>
      </c>
    </row>
    <row r="1463" spans="1:15" x14ac:dyDescent="0.25">
      <c r="A1463" s="4" t="s">
        <v>15</v>
      </c>
      <c r="B1463" s="4" t="str">
        <f>"FES1162750945"</f>
        <v>FES1162750945</v>
      </c>
      <c r="C1463" s="4" t="s">
        <v>1294</v>
      </c>
      <c r="D1463" s="4">
        <v>1</v>
      </c>
      <c r="E1463" s="4" t="str">
        <f>"2170741050"</f>
        <v>2170741050</v>
      </c>
      <c r="F1463" s="4" t="s">
        <v>17</v>
      </c>
      <c r="G1463" s="4" t="s">
        <v>18</v>
      </c>
      <c r="H1463" s="4" t="s">
        <v>36</v>
      </c>
      <c r="I1463" s="4" t="s">
        <v>842</v>
      </c>
      <c r="J1463" s="4" t="s">
        <v>1208</v>
      </c>
      <c r="K1463" s="4" t="s">
        <v>1492</v>
      </c>
      <c r="L1463" s="5">
        <v>0.3923611111111111</v>
      </c>
      <c r="M1463" s="4" t="s">
        <v>1569</v>
      </c>
      <c r="N1463" s="6" t="s">
        <v>23</v>
      </c>
      <c r="O1463" s="4" t="s">
        <v>24</v>
      </c>
    </row>
    <row r="1464" spans="1:15" x14ac:dyDescent="0.25">
      <c r="A1464" s="4" t="s">
        <v>15</v>
      </c>
      <c r="B1464" s="4" t="str">
        <f>"FES1162750925"</f>
        <v>FES1162750925</v>
      </c>
      <c r="C1464" s="4" t="s">
        <v>1294</v>
      </c>
      <c r="D1464" s="4">
        <v>1</v>
      </c>
      <c r="E1464" s="4" t="str">
        <f>"2170741002"</f>
        <v>2170741002</v>
      </c>
      <c r="F1464" s="4" t="s">
        <v>17</v>
      </c>
      <c r="G1464" s="4" t="s">
        <v>18</v>
      </c>
      <c r="H1464" s="4" t="s">
        <v>48</v>
      </c>
      <c r="I1464" s="4" t="s">
        <v>73</v>
      </c>
      <c r="J1464" s="4" t="s">
        <v>247</v>
      </c>
      <c r="K1464" s="4" t="s">
        <v>1492</v>
      </c>
      <c r="L1464" s="5">
        <v>0.51041666666666663</v>
      </c>
      <c r="M1464" s="4" t="s">
        <v>1125</v>
      </c>
      <c r="N1464" s="6" t="s">
        <v>23</v>
      </c>
      <c r="O1464" s="4" t="s">
        <v>24</v>
      </c>
    </row>
    <row r="1465" spans="1:15" x14ac:dyDescent="0.25">
      <c r="A1465" s="4" t="s">
        <v>15</v>
      </c>
      <c r="B1465" s="4" t="str">
        <f>"FES1162751026"</f>
        <v>FES1162751026</v>
      </c>
      <c r="C1465" s="4" t="s">
        <v>1294</v>
      </c>
      <c r="D1465" s="4">
        <v>1</v>
      </c>
      <c r="E1465" s="4" t="str">
        <f>"2170740958"</f>
        <v>2170740958</v>
      </c>
      <c r="F1465" s="4" t="s">
        <v>17</v>
      </c>
      <c r="G1465" s="4" t="s">
        <v>18</v>
      </c>
      <c r="H1465" s="4" t="s">
        <v>18</v>
      </c>
      <c r="I1465" s="4" t="s">
        <v>97</v>
      </c>
      <c r="J1465" s="4" t="s">
        <v>1394</v>
      </c>
      <c r="K1465" s="4" t="s">
        <v>1492</v>
      </c>
      <c r="L1465" s="5">
        <v>0.27430555555555552</v>
      </c>
      <c r="M1465" s="4" t="s">
        <v>170</v>
      </c>
      <c r="N1465" s="6" t="s">
        <v>23</v>
      </c>
      <c r="O1465" s="4" t="s">
        <v>24</v>
      </c>
    </row>
    <row r="1466" spans="1:15" x14ac:dyDescent="0.25">
      <c r="A1466" s="4" t="s">
        <v>15</v>
      </c>
      <c r="B1466" s="4" t="str">
        <f>"FES1162751003"</f>
        <v>FES1162751003</v>
      </c>
      <c r="C1466" s="4" t="s">
        <v>1294</v>
      </c>
      <c r="D1466" s="4">
        <v>1</v>
      </c>
      <c r="E1466" s="4" t="str">
        <f>"2170739897"</f>
        <v>2170739897</v>
      </c>
      <c r="F1466" s="4" t="s">
        <v>17</v>
      </c>
      <c r="G1466" s="4" t="s">
        <v>18</v>
      </c>
      <c r="H1466" s="4" t="s">
        <v>18</v>
      </c>
      <c r="I1466" s="4" t="s">
        <v>19</v>
      </c>
      <c r="J1466" s="4" t="s">
        <v>1200</v>
      </c>
      <c r="K1466" s="4" t="s">
        <v>1492</v>
      </c>
      <c r="L1466" s="5">
        <v>0.36458333333333331</v>
      </c>
      <c r="M1466" s="4" t="s">
        <v>1504</v>
      </c>
      <c r="N1466" s="6" t="s">
        <v>23</v>
      </c>
      <c r="O1466" s="4" t="s">
        <v>24</v>
      </c>
    </row>
    <row r="1467" spans="1:15" x14ac:dyDescent="0.25">
      <c r="A1467" s="4" t="s">
        <v>15</v>
      </c>
      <c r="B1467" s="4" t="str">
        <f>"FES1162751009"</f>
        <v>FES1162751009</v>
      </c>
      <c r="C1467" s="4" t="s">
        <v>1294</v>
      </c>
      <c r="D1467" s="4">
        <v>1</v>
      </c>
      <c r="E1467" s="4" t="str">
        <f>"2170739913"</f>
        <v>2170739913</v>
      </c>
      <c r="F1467" s="4" t="s">
        <v>17</v>
      </c>
      <c r="G1467" s="4" t="s">
        <v>18</v>
      </c>
      <c r="H1467" s="4" t="s">
        <v>48</v>
      </c>
      <c r="I1467" s="4" t="s">
        <v>49</v>
      </c>
      <c r="J1467" s="4" t="s">
        <v>630</v>
      </c>
      <c r="K1467" s="4" t="s">
        <v>1492</v>
      </c>
      <c r="L1467" s="5">
        <v>0.4770833333333333</v>
      </c>
      <c r="M1467" s="4" t="s">
        <v>749</v>
      </c>
      <c r="N1467" s="6" t="s">
        <v>23</v>
      </c>
      <c r="O1467" s="4" t="s">
        <v>24</v>
      </c>
    </row>
    <row r="1468" spans="1:15" x14ac:dyDescent="0.25">
      <c r="A1468" s="4" t="s">
        <v>15</v>
      </c>
      <c r="B1468" s="4" t="str">
        <f>"FES1162750942"</f>
        <v>FES1162750942</v>
      </c>
      <c r="C1468" s="4" t="s">
        <v>1294</v>
      </c>
      <c r="D1468" s="4">
        <v>1</v>
      </c>
      <c r="E1468" s="4" t="str">
        <f>"2170741044"</f>
        <v>2170741044</v>
      </c>
      <c r="F1468" s="4" t="s">
        <v>17</v>
      </c>
      <c r="G1468" s="4" t="s">
        <v>18</v>
      </c>
      <c r="H1468" s="4" t="s">
        <v>18</v>
      </c>
      <c r="I1468" s="4" t="s">
        <v>19</v>
      </c>
      <c r="J1468" s="4" t="s">
        <v>20</v>
      </c>
      <c r="K1468" s="4" t="s">
        <v>1492</v>
      </c>
      <c r="L1468" s="5">
        <v>0.3743055555555555</v>
      </c>
      <c r="M1468" s="4" t="s">
        <v>706</v>
      </c>
      <c r="N1468" s="6" t="s">
        <v>23</v>
      </c>
      <c r="O1468" s="4" t="s">
        <v>24</v>
      </c>
    </row>
    <row r="1469" spans="1:15" x14ac:dyDescent="0.25">
      <c r="A1469" s="4" t="s">
        <v>15</v>
      </c>
      <c r="B1469" s="4" t="str">
        <f>"FES1162751049"</f>
        <v>FES1162751049</v>
      </c>
      <c r="C1469" s="4" t="s">
        <v>1294</v>
      </c>
      <c r="D1469" s="4">
        <v>1</v>
      </c>
      <c r="E1469" s="4" t="str">
        <f>"2170741063"</f>
        <v>2170741063</v>
      </c>
      <c r="F1469" s="4" t="s">
        <v>17</v>
      </c>
      <c r="G1469" s="4" t="s">
        <v>18</v>
      </c>
      <c r="H1469" s="4" t="s">
        <v>32</v>
      </c>
      <c r="I1469" s="4" t="s">
        <v>192</v>
      </c>
      <c r="J1469" s="4" t="s">
        <v>1505</v>
      </c>
      <c r="K1469" s="4" t="s">
        <v>1492</v>
      </c>
      <c r="L1469" s="5">
        <v>0.40625</v>
      </c>
      <c r="M1469" s="4" t="s">
        <v>65</v>
      </c>
      <c r="N1469" s="6" t="s">
        <v>23</v>
      </c>
      <c r="O1469" s="4" t="s">
        <v>24</v>
      </c>
    </row>
    <row r="1470" spans="1:15" x14ac:dyDescent="0.25">
      <c r="A1470" s="4" t="s">
        <v>15</v>
      </c>
      <c r="B1470" s="4" t="str">
        <f>"FES1162751010"</f>
        <v>FES1162751010</v>
      </c>
      <c r="C1470" s="4" t="s">
        <v>1294</v>
      </c>
      <c r="D1470" s="4">
        <v>1</v>
      </c>
      <c r="E1470" s="4" t="str">
        <f>"2170739915"</f>
        <v>2170739915</v>
      </c>
      <c r="F1470" s="4" t="s">
        <v>17</v>
      </c>
      <c r="G1470" s="4" t="s">
        <v>18</v>
      </c>
      <c r="H1470" s="4" t="s">
        <v>18</v>
      </c>
      <c r="I1470" s="4" t="s">
        <v>97</v>
      </c>
      <c r="J1470" s="4" t="s">
        <v>133</v>
      </c>
      <c r="K1470" s="4" t="s">
        <v>1492</v>
      </c>
      <c r="L1470" s="5">
        <v>0.38263888888888892</v>
      </c>
      <c r="M1470" s="4" t="s">
        <v>1450</v>
      </c>
      <c r="N1470" s="6" t="s">
        <v>23</v>
      </c>
      <c r="O1470" s="4" t="s">
        <v>24</v>
      </c>
    </row>
    <row r="1471" spans="1:15" x14ac:dyDescent="0.25">
      <c r="A1471" s="4" t="s">
        <v>15</v>
      </c>
      <c r="B1471" s="4" t="str">
        <f>"FES1162750999"</f>
        <v>FES1162750999</v>
      </c>
      <c r="C1471" s="4" t="s">
        <v>1294</v>
      </c>
      <c r="D1471" s="4">
        <v>1</v>
      </c>
      <c r="E1471" s="4" t="str">
        <f>"2170739868"</f>
        <v>2170739868</v>
      </c>
      <c r="F1471" s="4" t="s">
        <v>17</v>
      </c>
      <c r="G1471" s="4" t="s">
        <v>18</v>
      </c>
      <c r="H1471" s="4" t="s">
        <v>18</v>
      </c>
      <c r="I1471" s="4" t="s">
        <v>19</v>
      </c>
      <c r="J1471" s="4" t="s">
        <v>1200</v>
      </c>
      <c r="K1471" s="4" t="s">
        <v>1492</v>
      </c>
      <c r="L1471" s="5">
        <v>0.36458333333333331</v>
      </c>
      <c r="M1471" s="4" t="s">
        <v>1504</v>
      </c>
      <c r="N1471" s="6" t="s">
        <v>23</v>
      </c>
      <c r="O1471" s="4" t="s">
        <v>24</v>
      </c>
    </row>
    <row r="1472" spans="1:15" x14ac:dyDescent="0.25">
      <c r="A1472" s="4" t="s">
        <v>15</v>
      </c>
      <c r="B1472" s="4" t="str">
        <f>"FES1162751031"</f>
        <v>FES1162751031</v>
      </c>
      <c r="C1472" s="4" t="s">
        <v>1294</v>
      </c>
      <c r="D1472" s="4">
        <v>1</v>
      </c>
      <c r="E1472" s="4" t="str">
        <f>"2170741083"</f>
        <v>2170741083</v>
      </c>
      <c r="F1472" s="4" t="s">
        <v>17</v>
      </c>
      <c r="G1472" s="4" t="s">
        <v>18</v>
      </c>
      <c r="H1472" s="4" t="s">
        <v>48</v>
      </c>
      <c r="I1472" s="4" t="s">
        <v>49</v>
      </c>
      <c r="J1472" s="4" t="s">
        <v>406</v>
      </c>
      <c r="K1472" s="4" t="s">
        <v>1492</v>
      </c>
      <c r="L1472" s="5">
        <v>0.38611111111111113</v>
      </c>
      <c r="M1472" s="4" t="s">
        <v>533</v>
      </c>
      <c r="N1472" s="6" t="s">
        <v>23</v>
      </c>
      <c r="O1472" s="4" t="s">
        <v>24</v>
      </c>
    </row>
    <row r="1473" spans="1:15" x14ac:dyDescent="0.25">
      <c r="A1473" s="10" t="s">
        <v>15</v>
      </c>
      <c r="B1473" s="10" t="str">
        <f>"FES1162750936"</f>
        <v>FES1162750936</v>
      </c>
      <c r="C1473" s="10" t="s">
        <v>1294</v>
      </c>
      <c r="D1473" s="10">
        <v>1</v>
      </c>
      <c r="E1473" s="10" t="str">
        <f>"2170741038"</f>
        <v>2170741038</v>
      </c>
      <c r="F1473" s="10" t="s">
        <v>17</v>
      </c>
      <c r="G1473" s="10" t="s">
        <v>18</v>
      </c>
      <c r="H1473" s="10" t="s">
        <v>18</v>
      </c>
      <c r="I1473" s="10" t="s">
        <v>19</v>
      </c>
      <c r="J1473" s="10" t="s">
        <v>1506</v>
      </c>
      <c r="K1473" s="10" t="s">
        <v>43</v>
      </c>
      <c r="L1473" s="10"/>
      <c r="M1473" s="10" t="s">
        <v>44</v>
      </c>
      <c r="N1473" s="10" t="s">
        <v>833</v>
      </c>
      <c r="O1473" s="10" t="s">
        <v>833</v>
      </c>
    </row>
    <row r="1474" spans="1:15" x14ac:dyDescent="0.25">
      <c r="A1474" s="4" t="s">
        <v>15</v>
      </c>
      <c r="B1474" s="4" t="str">
        <f>"FES1162751034"</f>
        <v>FES1162751034</v>
      </c>
      <c r="C1474" s="4" t="s">
        <v>1294</v>
      </c>
      <c r="D1474" s="4">
        <v>1</v>
      </c>
      <c r="E1474" s="4" t="str">
        <f>"21707399872"</f>
        <v>21707399872</v>
      </c>
      <c r="F1474" s="4" t="s">
        <v>17</v>
      </c>
      <c r="G1474" s="4" t="s">
        <v>18</v>
      </c>
      <c r="H1474" s="4" t="s">
        <v>18</v>
      </c>
      <c r="I1474" s="4" t="s">
        <v>292</v>
      </c>
      <c r="J1474" s="4" t="s">
        <v>293</v>
      </c>
      <c r="K1474" s="4" t="s">
        <v>1492</v>
      </c>
      <c r="L1474" s="5">
        <v>0.33333333333333331</v>
      </c>
      <c r="M1474" s="4" t="s">
        <v>1570</v>
      </c>
      <c r="N1474" s="6" t="s">
        <v>23</v>
      </c>
      <c r="O1474" s="4" t="s">
        <v>24</v>
      </c>
    </row>
    <row r="1475" spans="1:15" x14ac:dyDescent="0.25">
      <c r="A1475" s="4" t="s">
        <v>15</v>
      </c>
      <c r="B1475" s="4" t="str">
        <f>"FES1162750998"</f>
        <v>FES1162750998</v>
      </c>
      <c r="C1475" s="4" t="s">
        <v>1294</v>
      </c>
      <c r="D1475" s="4">
        <v>1</v>
      </c>
      <c r="E1475" s="4" t="str">
        <f>"2170739867"</f>
        <v>2170739867</v>
      </c>
      <c r="F1475" s="4" t="s">
        <v>17</v>
      </c>
      <c r="G1475" s="4" t="s">
        <v>18</v>
      </c>
      <c r="H1475" s="4" t="s">
        <v>18</v>
      </c>
      <c r="I1475" s="4" t="s">
        <v>183</v>
      </c>
      <c r="J1475" s="4" t="s">
        <v>1507</v>
      </c>
      <c r="K1475" s="4" t="s">
        <v>1492</v>
      </c>
      <c r="L1475" s="5">
        <v>0.35902777777777778</v>
      </c>
      <c r="M1475" s="4" t="s">
        <v>1508</v>
      </c>
      <c r="N1475" s="6" t="s">
        <v>23</v>
      </c>
      <c r="O1475" s="4" t="s">
        <v>24</v>
      </c>
    </row>
    <row r="1476" spans="1:15" x14ac:dyDescent="0.25">
      <c r="A1476" s="4" t="s">
        <v>15</v>
      </c>
      <c r="B1476" s="4" t="str">
        <f>"FES1162750992"</f>
        <v>FES1162750992</v>
      </c>
      <c r="C1476" s="4" t="s">
        <v>1294</v>
      </c>
      <c r="D1476" s="4">
        <v>1</v>
      </c>
      <c r="E1476" s="4" t="str">
        <f>"2170739818"</f>
        <v>2170739818</v>
      </c>
      <c r="F1476" s="4" t="s">
        <v>17</v>
      </c>
      <c r="G1476" s="4" t="s">
        <v>18</v>
      </c>
      <c r="H1476" s="4" t="s">
        <v>18</v>
      </c>
      <c r="I1476" s="4" t="s">
        <v>19</v>
      </c>
      <c r="J1476" s="4" t="s">
        <v>300</v>
      </c>
      <c r="K1476" s="4" t="s">
        <v>1492</v>
      </c>
      <c r="L1476" s="5">
        <v>0.31597222222222221</v>
      </c>
      <c r="M1476" s="4" t="s">
        <v>1571</v>
      </c>
      <c r="N1476" s="6" t="s">
        <v>23</v>
      </c>
      <c r="O1476" s="4" t="s">
        <v>24</v>
      </c>
    </row>
    <row r="1477" spans="1:15" x14ac:dyDescent="0.25">
      <c r="A1477" s="4" t="s">
        <v>15</v>
      </c>
      <c r="B1477" s="4" t="str">
        <f>"FES1162750874"</f>
        <v>FES1162750874</v>
      </c>
      <c r="C1477" s="4" t="s">
        <v>1294</v>
      </c>
      <c r="D1477" s="4">
        <v>1</v>
      </c>
      <c r="E1477" s="4" t="str">
        <f>"2170740974"</f>
        <v>2170740974</v>
      </c>
      <c r="F1477" s="4" t="s">
        <v>17</v>
      </c>
      <c r="G1477" s="4" t="s">
        <v>18</v>
      </c>
      <c r="H1477" s="4" t="s">
        <v>48</v>
      </c>
      <c r="I1477" s="4" t="s">
        <v>49</v>
      </c>
      <c r="J1477" s="4" t="s">
        <v>1044</v>
      </c>
      <c r="K1477" s="4" t="s">
        <v>1572</v>
      </c>
      <c r="L1477" s="5">
        <v>0.30624999999999997</v>
      </c>
      <c r="M1477" s="4" t="s">
        <v>1045</v>
      </c>
      <c r="N1477" s="6" t="s">
        <v>23</v>
      </c>
      <c r="O1477" s="4" t="s">
        <v>24</v>
      </c>
    </row>
    <row r="1478" spans="1:15" x14ac:dyDescent="0.25">
      <c r="A1478" s="10" t="s">
        <v>15</v>
      </c>
      <c r="B1478" s="10" t="str">
        <f>"FES1162750918"</f>
        <v>FES1162750918</v>
      </c>
      <c r="C1478" s="10" t="s">
        <v>1294</v>
      </c>
      <c r="D1478" s="10">
        <v>1</v>
      </c>
      <c r="E1478" s="10" t="str">
        <f>"2170737982"</f>
        <v>2170737982</v>
      </c>
      <c r="F1478" s="10" t="s">
        <v>17</v>
      </c>
      <c r="G1478" s="10" t="s">
        <v>18</v>
      </c>
      <c r="H1478" s="10" t="s">
        <v>18</v>
      </c>
      <c r="I1478" s="10" t="s">
        <v>29</v>
      </c>
      <c r="J1478" s="10" t="s">
        <v>1509</v>
      </c>
      <c r="K1478" s="10" t="s">
        <v>43</v>
      </c>
      <c r="L1478" s="10"/>
      <c r="M1478" s="10" t="s">
        <v>44</v>
      </c>
      <c r="N1478" s="10" t="s">
        <v>432</v>
      </c>
      <c r="O1478" s="10" t="s">
        <v>432</v>
      </c>
    </row>
    <row r="1479" spans="1:15" x14ac:dyDescent="0.25">
      <c r="A1479" s="4" t="s">
        <v>15</v>
      </c>
      <c r="B1479" s="4" t="str">
        <f>"FES1162750933"</f>
        <v>FES1162750933</v>
      </c>
      <c r="C1479" s="4" t="s">
        <v>1294</v>
      </c>
      <c r="D1479" s="4">
        <v>1</v>
      </c>
      <c r="E1479" s="4" t="str">
        <f>"2170741035"</f>
        <v>2170741035</v>
      </c>
      <c r="F1479" s="4" t="s">
        <v>17</v>
      </c>
      <c r="G1479" s="4" t="s">
        <v>18</v>
      </c>
      <c r="H1479" s="4" t="s">
        <v>18</v>
      </c>
      <c r="I1479" s="4" t="s">
        <v>97</v>
      </c>
      <c r="J1479" s="4" t="s">
        <v>1510</v>
      </c>
      <c r="K1479" s="4" t="s">
        <v>1492</v>
      </c>
      <c r="L1479" s="5">
        <v>0.3756944444444445</v>
      </c>
      <c r="M1479" s="4" t="s">
        <v>1511</v>
      </c>
      <c r="N1479" s="6" t="s">
        <v>23</v>
      </c>
      <c r="O1479" s="4" t="s">
        <v>24</v>
      </c>
    </row>
    <row r="1480" spans="1:15" x14ac:dyDescent="0.25">
      <c r="A1480" s="4" t="s">
        <v>15</v>
      </c>
      <c r="B1480" s="4" t="str">
        <f>"FES1162751000"</f>
        <v>FES1162751000</v>
      </c>
      <c r="C1480" s="4" t="s">
        <v>1294</v>
      </c>
      <c r="D1480" s="4">
        <v>1</v>
      </c>
      <c r="E1480" s="4" t="str">
        <f>"2170739883"</f>
        <v>2170739883</v>
      </c>
      <c r="F1480" s="4" t="s">
        <v>17</v>
      </c>
      <c r="G1480" s="4" t="s">
        <v>18</v>
      </c>
      <c r="H1480" s="4" t="s">
        <v>85</v>
      </c>
      <c r="I1480" s="4" t="s">
        <v>152</v>
      </c>
      <c r="J1480" s="4" t="s">
        <v>371</v>
      </c>
      <c r="K1480" s="4" t="s">
        <v>1492</v>
      </c>
      <c r="L1480" s="5">
        <v>0.34652777777777777</v>
      </c>
      <c r="M1480" s="4" t="s">
        <v>504</v>
      </c>
      <c r="N1480" s="6" t="s">
        <v>23</v>
      </c>
      <c r="O1480" s="4" t="s">
        <v>24</v>
      </c>
    </row>
    <row r="1481" spans="1:15" x14ac:dyDescent="0.25">
      <c r="A1481" s="4" t="s">
        <v>15</v>
      </c>
      <c r="B1481" s="4" t="str">
        <f>"FES1162751024"</f>
        <v>FES1162751024</v>
      </c>
      <c r="C1481" s="4" t="s">
        <v>1294</v>
      </c>
      <c r="D1481" s="4">
        <v>1</v>
      </c>
      <c r="E1481" s="4" t="str">
        <f>"2170740072"</f>
        <v>2170740072</v>
      </c>
      <c r="F1481" s="4" t="s">
        <v>17</v>
      </c>
      <c r="G1481" s="4" t="s">
        <v>18</v>
      </c>
      <c r="H1481" s="4" t="s">
        <v>85</v>
      </c>
      <c r="I1481" s="4" t="s">
        <v>144</v>
      </c>
      <c r="J1481" s="4" t="s">
        <v>593</v>
      </c>
      <c r="K1481" s="4" t="s">
        <v>1492</v>
      </c>
      <c r="L1481" s="5">
        <v>0.4145833333333333</v>
      </c>
      <c r="M1481" s="4" t="s">
        <v>1448</v>
      </c>
      <c r="N1481" s="6" t="s">
        <v>23</v>
      </c>
      <c r="O1481" s="4" t="s">
        <v>24</v>
      </c>
    </row>
    <row r="1482" spans="1:15" x14ac:dyDescent="0.25">
      <c r="A1482" s="4" t="s">
        <v>15</v>
      </c>
      <c r="B1482" s="4" t="str">
        <f>"FES1162751027"</f>
        <v>FES1162751027</v>
      </c>
      <c r="C1482" s="4" t="s">
        <v>1294</v>
      </c>
      <c r="D1482" s="4">
        <v>1</v>
      </c>
      <c r="E1482" s="4" t="str">
        <f>"2170741050"</f>
        <v>2170741050</v>
      </c>
      <c r="F1482" s="4" t="s">
        <v>17</v>
      </c>
      <c r="G1482" s="4" t="s">
        <v>18</v>
      </c>
      <c r="H1482" s="4" t="s">
        <v>36</v>
      </c>
      <c r="I1482" s="4" t="s">
        <v>842</v>
      </c>
      <c r="J1482" s="4" t="s">
        <v>1208</v>
      </c>
      <c r="K1482" s="4" t="s">
        <v>1492</v>
      </c>
      <c r="L1482" s="5">
        <v>0.3923611111111111</v>
      </c>
      <c r="M1482" s="4" t="s">
        <v>1569</v>
      </c>
      <c r="N1482" s="6" t="s">
        <v>23</v>
      </c>
      <c r="O1482" s="4" t="s">
        <v>24</v>
      </c>
    </row>
    <row r="1483" spans="1:15" x14ac:dyDescent="0.25">
      <c r="A1483" s="4" t="s">
        <v>15</v>
      </c>
      <c r="B1483" s="4" t="str">
        <f>"FES1162751028"</f>
        <v>FES1162751028</v>
      </c>
      <c r="C1483" s="4" t="s">
        <v>1294</v>
      </c>
      <c r="D1483" s="4">
        <v>1</v>
      </c>
      <c r="E1483" s="4" t="str">
        <f>"2170740152"</f>
        <v>2170740152</v>
      </c>
      <c r="F1483" s="4" t="s">
        <v>17</v>
      </c>
      <c r="G1483" s="4" t="s">
        <v>18</v>
      </c>
      <c r="H1483" s="4" t="s">
        <v>85</v>
      </c>
      <c r="I1483" s="4" t="s">
        <v>207</v>
      </c>
      <c r="J1483" s="4" t="s">
        <v>245</v>
      </c>
      <c r="K1483" s="4" t="s">
        <v>1492</v>
      </c>
      <c r="L1483" s="5">
        <v>0.38611111111111113</v>
      </c>
      <c r="M1483" s="4" t="s">
        <v>909</v>
      </c>
      <c r="N1483" s="6" t="s">
        <v>23</v>
      </c>
      <c r="O1483" s="4" t="s">
        <v>24</v>
      </c>
    </row>
    <row r="1484" spans="1:15" x14ac:dyDescent="0.25">
      <c r="A1484" s="4" t="s">
        <v>15</v>
      </c>
      <c r="B1484" s="4" t="str">
        <f>"FES1162751023"</f>
        <v>FES1162751023</v>
      </c>
      <c r="C1484" s="4" t="s">
        <v>1294</v>
      </c>
      <c r="D1484" s="4">
        <v>1</v>
      </c>
      <c r="E1484" s="4" t="str">
        <f>"2170740069"</f>
        <v>2170740069</v>
      </c>
      <c r="F1484" s="4" t="s">
        <v>17</v>
      </c>
      <c r="G1484" s="4" t="s">
        <v>18</v>
      </c>
      <c r="H1484" s="4" t="s">
        <v>40</v>
      </c>
      <c r="I1484" s="4" t="s">
        <v>41</v>
      </c>
      <c r="J1484" s="4" t="s">
        <v>221</v>
      </c>
      <c r="K1484" s="4" t="s">
        <v>1492</v>
      </c>
      <c r="L1484" s="5">
        <v>0.41319444444444442</v>
      </c>
      <c r="M1484" s="4" t="s">
        <v>1573</v>
      </c>
      <c r="N1484" s="6" t="s">
        <v>23</v>
      </c>
      <c r="O1484" s="4" t="s">
        <v>24</v>
      </c>
    </row>
    <row r="1485" spans="1:15" x14ac:dyDescent="0.25">
      <c r="A1485" s="4" t="s">
        <v>15</v>
      </c>
      <c r="B1485" s="4" t="str">
        <f>"FES1162750988"</f>
        <v>FES1162750988</v>
      </c>
      <c r="C1485" s="4" t="s">
        <v>1294</v>
      </c>
      <c r="D1485" s="4">
        <v>1</v>
      </c>
      <c r="E1485" s="4" t="str">
        <f>"2170737984"</f>
        <v>2170737984</v>
      </c>
      <c r="F1485" s="4" t="s">
        <v>17</v>
      </c>
      <c r="G1485" s="4" t="s">
        <v>18</v>
      </c>
      <c r="H1485" s="4" t="s">
        <v>18</v>
      </c>
      <c r="I1485" s="4" t="s">
        <v>19</v>
      </c>
      <c r="J1485" s="4" t="s">
        <v>250</v>
      </c>
      <c r="K1485" s="4" t="s">
        <v>1492</v>
      </c>
      <c r="L1485" s="5">
        <v>0.375</v>
      </c>
      <c r="M1485" s="4" t="s">
        <v>65</v>
      </c>
      <c r="N1485" s="6" t="s">
        <v>23</v>
      </c>
      <c r="O1485" s="4" t="s">
        <v>24</v>
      </c>
    </row>
    <row r="1486" spans="1:15" x14ac:dyDescent="0.25">
      <c r="A1486" s="4" t="s">
        <v>15</v>
      </c>
      <c r="B1486" s="4" t="str">
        <f>"FES1162750928"</f>
        <v>FES1162750928</v>
      </c>
      <c r="C1486" s="4" t="s">
        <v>1294</v>
      </c>
      <c r="D1486" s="4">
        <v>1</v>
      </c>
      <c r="E1486" s="4" t="str">
        <f>"2170741024"</f>
        <v>2170741024</v>
      </c>
      <c r="F1486" s="4" t="s">
        <v>17</v>
      </c>
      <c r="G1486" s="4" t="s">
        <v>18</v>
      </c>
      <c r="H1486" s="4" t="s">
        <v>18</v>
      </c>
      <c r="I1486" s="4" t="s">
        <v>19</v>
      </c>
      <c r="J1486" s="4" t="s">
        <v>355</v>
      </c>
      <c r="K1486" s="4" t="s">
        <v>1492</v>
      </c>
      <c r="L1486" s="5">
        <v>0.375</v>
      </c>
      <c r="M1486" s="4" t="s">
        <v>465</v>
      </c>
      <c r="N1486" s="6" t="s">
        <v>23</v>
      </c>
      <c r="O1486" s="4" t="s">
        <v>24</v>
      </c>
    </row>
    <row r="1487" spans="1:15" x14ac:dyDescent="0.25">
      <c r="A1487" s="4" t="s">
        <v>15</v>
      </c>
      <c r="B1487" s="4" t="str">
        <f>"FES1162750939"</f>
        <v>FES1162750939</v>
      </c>
      <c r="C1487" s="4" t="s">
        <v>1294</v>
      </c>
      <c r="D1487" s="4">
        <v>1</v>
      </c>
      <c r="E1487" s="4" t="str">
        <f>"2170741041"</f>
        <v>2170741041</v>
      </c>
      <c r="F1487" s="4" t="s">
        <v>17</v>
      </c>
      <c r="G1487" s="4" t="s">
        <v>18</v>
      </c>
      <c r="H1487" s="4" t="s">
        <v>18</v>
      </c>
      <c r="I1487" s="4" t="s">
        <v>19</v>
      </c>
      <c r="J1487" s="4" t="s">
        <v>20</v>
      </c>
      <c r="K1487" s="4" t="s">
        <v>1492</v>
      </c>
      <c r="L1487" s="5">
        <v>0.37638888888888888</v>
      </c>
      <c r="M1487" s="4" t="s">
        <v>706</v>
      </c>
      <c r="N1487" s="6" t="s">
        <v>23</v>
      </c>
      <c r="O1487" s="4" t="s">
        <v>24</v>
      </c>
    </row>
    <row r="1488" spans="1:15" x14ac:dyDescent="0.25">
      <c r="A1488" s="4" t="s">
        <v>15</v>
      </c>
      <c r="B1488" s="4" t="str">
        <f>"FES1162750983"</f>
        <v>FES1162750983</v>
      </c>
      <c r="C1488" s="4" t="s">
        <v>1294</v>
      </c>
      <c r="D1488" s="4">
        <v>1</v>
      </c>
      <c r="E1488" s="4" t="str">
        <f>"2170739652"</f>
        <v>2170739652</v>
      </c>
      <c r="F1488" s="4" t="s">
        <v>17</v>
      </c>
      <c r="G1488" s="4" t="s">
        <v>18</v>
      </c>
      <c r="H1488" s="4" t="s">
        <v>18</v>
      </c>
      <c r="I1488" s="4" t="s">
        <v>68</v>
      </c>
      <c r="J1488" s="4" t="s">
        <v>69</v>
      </c>
      <c r="K1488" s="4" t="s">
        <v>1492</v>
      </c>
      <c r="L1488" s="5">
        <v>0.38611111111111113</v>
      </c>
      <c r="M1488" s="4" t="s">
        <v>1574</v>
      </c>
      <c r="N1488" s="6" t="s">
        <v>23</v>
      </c>
      <c r="O1488" s="4" t="s">
        <v>24</v>
      </c>
    </row>
    <row r="1489" spans="1:15" x14ac:dyDescent="0.25">
      <c r="A1489" s="4" t="s">
        <v>15</v>
      </c>
      <c r="B1489" s="4" t="str">
        <f>"FES1162751041"</f>
        <v>FES1162751041</v>
      </c>
      <c r="C1489" s="4" t="s">
        <v>1294</v>
      </c>
      <c r="D1489" s="4">
        <v>1</v>
      </c>
      <c r="E1489" s="4" t="str">
        <f>"2170741128"</f>
        <v>2170741128</v>
      </c>
      <c r="F1489" s="4" t="s">
        <v>17</v>
      </c>
      <c r="G1489" s="4" t="s">
        <v>18</v>
      </c>
      <c r="H1489" s="4" t="s">
        <v>48</v>
      </c>
      <c r="I1489" s="4" t="s">
        <v>108</v>
      </c>
      <c r="J1489" s="4" t="s">
        <v>109</v>
      </c>
      <c r="K1489" s="4" t="s">
        <v>1492</v>
      </c>
      <c r="L1489" s="5">
        <v>0.58333333333333337</v>
      </c>
      <c r="M1489" s="4" t="s">
        <v>946</v>
      </c>
      <c r="N1489" s="6" t="s">
        <v>23</v>
      </c>
      <c r="O1489" s="4" t="s">
        <v>24</v>
      </c>
    </row>
    <row r="1490" spans="1:15" x14ac:dyDescent="0.25">
      <c r="A1490" s="4" t="s">
        <v>15</v>
      </c>
      <c r="B1490" s="4" t="str">
        <f>"FES1162751051"</f>
        <v>FES1162751051</v>
      </c>
      <c r="C1490" s="4" t="s">
        <v>1294</v>
      </c>
      <c r="D1490" s="4">
        <v>1</v>
      </c>
      <c r="E1490" s="4" t="str">
        <f>"2170741138"</f>
        <v>2170741138</v>
      </c>
      <c r="F1490" s="4" t="s">
        <v>17</v>
      </c>
      <c r="G1490" s="4" t="s">
        <v>18</v>
      </c>
      <c r="H1490" s="4" t="s">
        <v>48</v>
      </c>
      <c r="I1490" s="4" t="s">
        <v>49</v>
      </c>
      <c r="J1490" s="4" t="s">
        <v>1226</v>
      </c>
      <c r="K1490" s="4" t="s">
        <v>1492</v>
      </c>
      <c r="L1490" s="5">
        <v>0.38194444444444442</v>
      </c>
      <c r="M1490" s="4" t="s">
        <v>1512</v>
      </c>
      <c r="N1490" s="6" t="s">
        <v>23</v>
      </c>
      <c r="O1490" s="4" t="s">
        <v>24</v>
      </c>
    </row>
    <row r="1491" spans="1:15" x14ac:dyDescent="0.25">
      <c r="A1491" s="4" t="s">
        <v>15</v>
      </c>
      <c r="B1491" s="4" t="str">
        <f>"FES1162751055"</f>
        <v>FES1162751055</v>
      </c>
      <c r="C1491" s="4" t="s">
        <v>1294</v>
      </c>
      <c r="D1491" s="4">
        <v>1</v>
      </c>
      <c r="E1491" s="4" t="str">
        <f>"2170741144"</f>
        <v>2170741144</v>
      </c>
      <c r="F1491" s="4" t="s">
        <v>17</v>
      </c>
      <c r="G1491" s="4" t="s">
        <v>18</v>
      </c>
      <c r="H1491" s="4" t="s">
        <v>48</v>
      </c>
      <c r="I1491" s="4" t="s">
        <v>49</v>
      </c>
      <c r="J1491" s="4" t="s">
        <v>1502</v>
      </c>
      <c r="K1491" s="4" t="s">
        <v>1492</v>
      </c>
      <c r="L1491" s="5">
        <v>0.41666666666666669</v>
      </c>
      <c r="M1491" s="4" t="s">
        <v>470</v>
      </c>
      <c r="N1491" s="6" t="s">
        <v>23</v>
      </c>
      <c r="O1491" s="4" t="s">
        <v>24</v>
      </c>
    </row>
    <row r="1492" spans="1:15" x14ac:dyDescent="0.25">
      <c r="A1492" s="4" t="s">
        <v>15</v>
      </c>
      <c r="B1492" s="4" t="str">
        <f>"FES1162750929"</f>
        <v>FES1162750929</v>
      </c>
      <c r="C1492" s="4" t="s">
        <v>1294</v>
      </c>
      <c r="D1492" s="4">
        <v>1</v>
      </c>
      <c r="E1492" s="4" t="str">
        <f>"2170741025"</f>
        <v>2170741025</v>
      </c>
      <c r="F1492" s="4" t="s">
        <v>17</v>
      </c>
      <c r="G1492" s="4" t="s">
        <v>18</v>
      </c>
      <c r="H1492" s="4" t="s">
        <v>18</v>
      </c>
      <c r="I1492" s="4" t="s">
        <v>19</v>
      </c>
      <c r="J1492" s="4" t="s">
        <v>355</v>
      </c>
      <c r="K1492" s="4" t="s">
        <v>1492</v>
      </c>
      <c r="L1492" s="5">
        <v>0.375</v>
      </c>
      <c r="M1492" s="4" t="s">
        <v>465</v>
      </c>
      <c r="N1492" s="6" t="s">
        <v>23</v>
      </c>
      <c r="O1492" s="4" t="s">
        <v>24</v>
      </c>
    </row>
    <row r="1493" spans="1:15" x14ac:dyDescent="0.25">
      <c r="A1493" s="4" t="s">
        <v>15</v>
      </c>
      <c r="B1493" s="4" t="str">
        <f>"FES1162751045"</f>
        <v>FES1162751045</v>
      </c>
      <c r="C1493" s="4" t="s">
        <v>1294</v>
      </c>
      <c r="D1493" s="4">
        <v>1</v>
      </c>
      <c r="E1493" s="4" t="str">
        <f>"2170741130"</f>
        <v>2170741130</v>
      </c>
      <c r="F1493" s="4" t="s">
        <v>17</v>
      </c>
      <c r="G1493" s="4" t="s">
        <v>18</v>
      </c>
      <c r="H1493" s="4" t="s">
        <v>48</v>
      </c>
      <c r="I1493" s="4" t="s">
        <v>108</v>
      </c>
      <c r="J1493" s="4" t="s">
        <v>109</v>
      </c>
      <c r="K1493" s="4" t="s">
        <v>1492</v>
      </c>
      <c r="L1493" s="5">
        <v>0.58263888888888882</v>
      </c>
      <c r="M1493" s="4" t="s">
        <v>946</v>
      </c>
      <c r="N1493" s="6" t="s">
        <v>23</v>
      </c>
      <c r="O1493" s="4" t="s">
        <v>24</v>
      </c>
    </row>
    <row r="1494" spans="1:15" x14ac:dyDescent="0.25">
      <c r="A1494" s="4" t="s">
        <v>15</v>
      </c>
      <c r="B1494" s="4" t="str">
        <f>"FES1162751043"</f>
        <v>FES1162751043</v>
      </c>
      <c r="C1494" s="4" t="s">
        <v>1294</v>
      </c>
      <c r="D1494" s="4">
        <v>1</v>
      </c>
      <c r="E1494" s="4" t="str">
        <f>"2170741132"</f>
        <v>2170741132</v>
      </c>
      <c r="F1494" s="4" t="s">
        <v>17</v>
      </c>
      <c r="G1494" s="4" t="s">
        <v>18</v>
      </c>
      <c r="H1494" s="4" t="s">
        <v>32</v>
      </c>
      <c r="I1494" s="4" t="s">
        <v>33</v>
      </c>
      <c r="J1494" s="4" t="s">
        <v>388</v>
      </c>
      <c r="K1494" s="4" t="s">
        <v>1492</v>
      </c>
      <c r="L1494" s="5">
        <v>0.37916666666666665</v>
      </c>
      <c r="M1494" s="4" t="s">
        <v>949</v>
      </c>
      <c r="N1494" s="6" t="s">
        <v>23</v>
      </c>
      <c r="O1494" s="4" t="s">
        <v>24</v>
      </c>
    </row>
    <row r="1495" spans="1:15" x14ac:dyDescent="0.25">
      <c r="A1495" s="4" t="s">
        <v>15</v>
      </c>
      <c r="B1495" s="4" t="str">
        <f>"FES1162751079"</f>
        <v>FES1162751079</v>
      </c>
      <c r="C1495" s="4" t="s">
        <v>1294</v>
      </c>
      <c r="D1495" s="4">
        <v>1</v>
      </c>
      <c r="E1495" s="4" t="str">
        <f>"2170741175"</f>
        <v>2170741175</v>
      </c>
      <c r="F1495" s="4" t="s">
        <v>17</v>
      </c>
      <c r="G1495" s="4" t="s">
        <v>18</v>
      </c>
      <c r="H1495" s="4" t="s">
        <v>36</v>
      </c>
      <c r="I1495" s="4" t="s">
        <v>842</v>
      </c>
      <c r="J1495" s="4" t="s">
        <v>1197</v>
      </c>
      <c r="K1495" s="4" t="s">
        <v>1492</v>
      </c>
      <c r="L1495" s="5">
        <v>0.39305555555555555</v>
      </c>
      <c r="M1495" s="4" t="s">
        <v>1575</v>
      </c>
      <c r="N1495" s="6" t="s">
        <v>23</v>
      </c>
      <c r="O1495" s="4" t="s">
        <v>24</v>
      </c>
    </row>
    <row r="1496" spans="1:15" x14ac:dyDescent="0.25">
      <c r="A1496" s="11" t="s">
        <v>15</v>
      </c>
      <c r="B1496" s="11" t="str">
        <f>"FES1162751046"</f>
        <v>FES1162751046</v>
      </c>
      <c r="C1496" s="11" t="s">
        <v>1294</v>
      </c>
      <c r="D1496" s="11">
        <v>1</v>
      </c>
      <c r="E1496" s="11" t="str">
        <f>"2170741131"</f>
        <v>2170741131</v>
      </c>
      <c r="F1496" s="11" t="s">
        <v>17</v>
      </c>
      <c r="G1496" s="11" t="s">
        <v>18</v>
      </c>
      <c r="H1496" s="11" t="s">
        <v>48</v>
      </c>
      <c r="I1496" s="11" t="s">
        <v>108</v>
      </c>
      <c r="J1496" s="11" t="s">
        <v>109</v>
      </c>
      <c r="K1496" s="11" t="s">
        <v>1492</v>
      </c>
      <c r="L1496" s="12">
        <v>0.58263888888888882</v>
      </c>
      <c r="M1496" s="11" t="s">
        <v>946</v>
      </c>
      <c r="N1496" s="13" t="s">
        <v>23</v>
      </c>
      <c r="O1496" s="11" t="s">
        <v>24</v>
      </c>
    </row>
    <row r="1497" spans="1:15" x14ac:dyDescent="0.25">
      <c r="A1497" s="11" t="s">
        <v>15</v>
      </c>
      <c r="B1497" s="11" t="str">
        <f>"FES1162751021"</f>
        <v>FES1162751021</v>
      </c>
      <c r="C1497" s="11" t="s">
        <v>1294</v>
      </c>
      <c r="D1497" s="11">
        <v>1</v>
      </c>
      <c r="E1497" s="11" t="str">
        <f>"2170740020"</f>
        <v>2170740020</v>
      </c>
      <c r="F1497" s="11" t="s">
        <v>17</v>
      </c>
      <c r="G1497" s="11" t="s">
        <v>18</v>
      </c>
      <c r="H1497" s="11" t="s">
        <v>18</v>
      </c>
      <c r="I1497" s="11" t="s">
        <v>126</v>
      </c>
      <c r="J1497" s="11" t="s">
        <v>590</v>
      </c>
      <c r="K1497" s="11" t="s">
        <v>1492</v>
      </c>
      <c r="L1497" s="12">
        <v>0.58263888888888882</v>
      </c>
      <c r="M1497" s="11" t="s">
        <v>1690</v>
      </c>
      <c r="N1497" s="13" t="s">
        <v>23</v>
      </c>
      <c r="O1497" s="11" t="s">
        <v>1549</v>
      </c>
    </row>
    <row r="1498" spans="1:15" x14ac:dyDescent="0.25">
      <c r="A1498" s="11" t="s">
        <v>15</v>
      </c>
      <c r="B1498" s="11" t="str">
        <f>"FES1162750971"</f>
        <v>FES1162750971</v>
      </c>
      <c r="C1498" s="11" t="s">
        <v>1294</v>
      </c>
      <c r="D1498" s="11">
        <v>1</v>
      </c>
      <c r="E1498" s="11" t="str">
        <f>"2170741101"</f>
        <v>2170741101</v>
      </c>
      <c r="F1498" s="11" t="s">
        <v>17</v>
      </c>
      <c r="G1498" s="11" t="s">
        <v>18</v>
      </c>
      <c r="H1498" s="11" t="s">
        <v>18</v>
      </c>
      <c r="I1498" s="11" t="s">
        <v>45</v>
      </c>
      <c r="J1498" s="11" t="s">
        <v>1513</v>
      </c>
      <c r="K1498" s="11" t="s">
        <v>1492</v>
      </c>
      <c r="L1498" s="12">
        <v>0.33333333333333331</v>
      </c>
      <c r="M1498" s="11" t="s">
        <v>128</v>
      </c>
      <c r="N1498" s="13" t="s">
        <v>23</v>
      </c>
      <c r="O1498" s="11" t="s">
        <v>24</v>
      </c>
    </row>
    <row r="1499" spans="1:15" x14ac:dyDescent="0.25">
      <c r="A1499" s="11" t="s">
        <v>15</v>
      </c>
      <c r="B1499" s="11" t="str">
        <f>"FES1162751086"</f>
        <v>FES1162751086</v>
      </c>
      <c r="C1499" s="11" t="s">
        <v>1294</v>
      </c>
      <c r="D1499" s="11">
        <v>1</v>
      </c>
      <c r="E1499" s="11" t="str">
        <f>"2170741174"</f>
        <v>2170741174</v>
      </c>
      <c r="F1499" s="11" t="s">
        <v>17</v>
      </c>
      <c r="G1499" s="11" t="s">
        <v>18</v>
      </c>
      <c r="H1499" s="11" t="s">
        <v>48</v>
      </c>
      <c r="I1499" s="11" t="s">
        <v>110</v>
      </c>
      <c r="J1499" s="11" t="s">
        <v>1235</v>
      </c>
      <c r="K1499" s="11" t="s">
        <v>1492</v>
      </c>
      <c r="L1499" s="12">
        <v>0.33333333333333331</v>
      </c>
      <c r="M1499" s="11" t="s">
        <v>1634</v>
      </c>
      <c r="N1499" s="13" t="s">
        <v>23</v>
      </c>
      <c r="O1499" s="11" t="s">
        <v>24</v>
      </c>
    </row>
    <row r="1500" spans="1:15" x14ac:dyDescent="0.25">
      <c r="A1500" s="11" t="s">
        <v>15</v>
      </c>
      <c r="B1500" s="11" t="str">
        <f>"FES1162751090"</f>
        <v>FES1162751090</v>
      </c>
      <c r="C1500" s="11" t="s">
        <v>1294</v>
      </c>
      <c r="D1500" s="11">
        <v>1</v>
      </c>
      <c r="E1500" s="11" t="str">
        <f>"2170741182"</f>
        <v>2170741182</v>
      </c>
      <c r="F1500" s="11" t="s">
        <v>17</v>
      </c>
      <c r="G1500" s="11" t="s">
        <v>18</v>
      </c>
      <c r="H1500" s="11" t="s">
        <v>48</v>
      </c>
      <c r="I1500" s="11" t="s">
        <v>49</v>
      </c>
      <c r="J1500" s="11" t="s">
        <v>100</v>
      </c>
      <c r="K1500" s="11" t="s">
        <v>1492</v>
      </c>
      <c r="L1500" s="12">
        <v>0.37361111111111112</v>
      </c>
      <c r="M1500" s="11" t="s">
        <v>1493</v>
      </c>
      <c r="N1500" s="13" t="s">
        <v>23</v>
      </c>
      <c r="O1500" s="11" t="s">
        <v>24</v>
      </c>
    </row>
    <row r="1501" spans="1:15" x14ac:dyDescent="0.25">
      <c r="A1501" s="4" t="s">
        <v>15</v>
      </c>
      <c r="B1501" s="4" t="str">
        <f>"FES1162751073"</f>
        <v>FES1162751073</v>
      </c>
      <c r="C1501" s="4" t="s">
        <v>1294</v>
      </c>
      <c r="D1501" s="4">
        <v>1</v>
      </c>
      <c r="E1501" s="4" t="str">
        <f>"2170741164"</f>
        <v>2170741164</v>
      </c>
      <c r="F1501" s="4" t="s">
        <v>17</v>
      </c>
      <c r="G1501" s="4" t="s">
        <v>18</v>
      </c>
      <c r="H1501" s="4" t="s">
        <v>48</v>
      </c>
      <c r="I1501" s="4" t="s">
        <v>49</v>
      </c>
      <c r="J1501" s="4" t="s">
        <v>1514</v>
      </c>
      <c r="K1501" s="4" t="s">
        <v>1492</v>
      </c>
      <c r="L1501" s="5">
        <v>0.38194444444444442</v>
      </c>
      <c r="M1501" s="4" t="s">
        <v>1515</v>
      </c>
      <c r="N1501" s="6" t="s">
        <v>23</v>
      </c>
      <c r="O1501" s="4" t="s">
        <v>24</v>
      </c>
    </row>
    <row r="1502" spans="1:15" x14ac:dyDescent="0.25">
      <c r="A1502" s="4" t="s">
        <v>15</v>
      </c>
      <c r="B1502" s="4" t="str">
        <f>"FES1162751074"</f>
        <v>FES1162751074</v>
      </c>
      <c r="C1502" s="4" t="s">
        <v>1294</v>
      </c>
      <c r="D1502" s="4">
        <v>1</v>
      </c>
      <c r="E1502" s="4" t="str">
        <f>"2170741165"</f>
        <v>2170741165</v>
      </c>
      <c r="F1502" s="4" t="s">
        <v>17</v>
      </c>
      <c r="G1502" s="4" t="s">
        <v>18</v>
      </c>
      <c r="H1502" s="4" t="s">
        <v>48</v>
      </c>
      <c r="I1502" s="4" t="s">
        <v>49</v>
      </c>
      <c r="J1502" s="4" t="s">
        <v>277</v>
      </c>
      <c r="K1502" s="4" t="s">
        <v>1492</v>
      </c>
      <c r="L1502" s="5">
        <v>0.40902777777777777</v>
      </c>
      <c r="M1502" s="4" t="s">
        <v>443</v>
      </c>
      <c r="N1502" s="6" t="s">
        <v>23</v>
      </c>
      <c r="O1502" s="4" t="s">
        <v>24</v>
      </c>
    </row>
    <row r="1503" spans="1:15" x14ac:dyDescent="0.25">
      <c r="A1503" s="4" t="s">
        <v>15</v>
      </c>
      <c r="B1503" s="4" t="str">
        <f>"FES1162751072"</f>
        <v>FES1162751072</v>
      </c>
      <c r="C1503" s="4" t="s">
        <v>1294</v>
      </c>
      <c r="D1503" s="4">
        <v>1</v>
      </c>
      <c r="E1503" s="4" t="str">
        <f>"2170741162"</f>
        <v>2170741162</v>
      </c>
      <c r="F1503" s="4" t="s">
        <v>17</v>
      </c>
      <c r="G1503" s="4" t="s">
        <v>18</v>
      </c>
      <c r="H1503" s="4" t="s">
        <v>48</v>
      </c>
      <c r="I1503" s="4" t="s">
        <v>49</v>
      </c>
      <c r="J1503" s="4" t="s">
        <v>1388</v>
      </c>
      <c r="K1503" s="4" t="s">
        <v>1492</v>
      </c>
      <c r="L1503" s="5">
        <v>0.33055555555555555</v>
      </c>
      <c r="M1503" s="4" t="s">
        <v>1389</v>
      </c>
      <c r="N1503" s="6" t="s">
        <v>23</v>
      </c>
      <c r="O1503" s="4" t="s">
        <v>24</v>
      </c>
    </row>
    <row r="1504" spans="1:15" x14ac:dyDescent="0.25">
      <c r="A1504" s="4" t="s">
        <v>15</v>
      </c>
      <c r="B1504" s="4" t="str">
        <f>"FES1162751053"</f>
        <v>FES1162751053</v>
      </c>
      <c r="C1504" s="4" t="s">
        <v>1294</v>
      </c>
      <c r="D1504" s="4">
        <v>1</v>
      </c>
      <c r="E1504" s="4" t="str">
        <f>"2170741141"</f>
        <v>2170741141</v>
      </c>
      <c r="F1504" s="4" t="s">
        <v>17</v>
      </c>
      <c r="G1504" s="4" t="s">
        <v>18</v>
      </c>
      <c r="H1504" s="4" t="s">
        <v>18</v>
      </c>
      <c r="I1504" s="4" t="s">
        <v>89</v>
      </c>
      <c r="J1504" s="4" t="s">
        <v>1516</v>
      </c>
      <c r="K1504" s="4" t="s">
        <v>1492</v>
      </c>
      <c r="L1504" s="5">
        <v>0.375</v>
      </c>
      <c r="M1504" s="4" t="s">
        <v>741</v>
      </c>
      <c r="N1504" s="6" t="s">
        <v>23</v>
      </c>
      <c r="O1504" s="4" t="s">
        <v>24</v>
      </c>
    </row>
    <row r="1505" spans="1:15" x14ac:dyDescent="0.25">
      <c r="A1505" s="4" t="s">
        <v>15</v>
      </c>
      <c r="B1505" s="4" t="str">
        <f>"FES1162751089"</f>
        <v>FES1162751089</v>
      </c>
      <c r="C1505" s="4" t="s">
        <v>1294</v>
      </c>
      <c r="D1505" s="4">
        <v>1</v>
      </c>
      <c r="E1505" s="4" t="str">
        <f>"2170741181"</f>
        <v>2170741181</v>
      </c>
      <c r="F1505" s="4" t="s">
        <v>17</v>
      </c>
      <c r="G1505" s="4" t="s">
        <v>18</v>
      </c>
      <c r="H1505" s="4" t="s">
        <v>25</v>
      </c>
      <c r="I1505" s="4" t="s">
        <v>26</v>
      </c>
      <c r="J1505" s="4" t="s">
        <v>773</v>
      </c>
      <c r="K1505" s="4" t="s">
        <v>1492</v>
      </c>
      <c r="L1505" s="5">
        <v>0.41666666666666669</v>
      </c>
      <c r="M1505" s="4" t="s">
        <v>1576</v>
      </c>
      <c r="N1505" s="6" t="s">
        <v>23</v>
      </c>
      <c r="O1505" s="4" t="s">
        <v>24</v>
      </c>
    </row>
    <row r="1506" spans="1:15" x14ac:dyDescent="0.25">
      <c r="A1506" s="4" t="s">
        <v>15</v>
      </c>
      <c r="B1506" s="4" t="str">
        <f>"FES1162751029"</f>
        <v>FES1162751029</v>
      </c>
      <c r="C1506" s="4" t="s">
        <v>1294</v>
      </c>
      <c r="D1506" s="4">
        <v>1</v>
      </c>
      <c r="E1506" s="4" t="str">
        <f>"2170741064"</f>
        <v>2170741064</v>
      </c>
      <c r="F1506" s="4" t="s">
        <v>17</v>
      </c>
      <c r="G1506" s="4" t="s">
        <v>18</v>
      </c>
      <c r="H1506" s="4" t="s">
        <v>18</v>
      </c>
      <c r="I1506" s="4" t="s">
        <v>311</v>
      </c>
      <c r="J1506" s="4" t="s">
        <v>1517</v>
      </c>
      <c r="K1506" s="4" t="s">
        <v>1492</v>
      </c>
      <c r="L1506" s="5">
        <v>0.41666666666666669</v>
      </c>
      <c r="M1506" s="4" t="s">
        <v>1633</v>
      </c>
      <c r="N1506" s="6" t="s">
        <v>23</v>
      </c>
      <c r="O1506" s="4" t="s">
        <v>24</v>
      </c>
    </row>
    <row r="1507" spans="1:15" x14ac:dyDescent="0.25">
      <c r="A1507" s="4" t="s">
        <v>15</v>
      </c>
      <c r="B1507" s="4" t="str">
        <f>"FES1162750931"</f>
        <v>FES1162750931</v>
      </c>
      <c r="C1507" s="4" t="s">
        <v>1294</v>
      </c>
      <c r="D1507" s="4">
        <v>1</v>
      </c>
      <c r="E1507" s="4" t="str">
        <f>"2170741033"</f>
        <v>2170741033</v>
      </c>
      <c r="F1507" s="4" t="s">
        <v>17</v>
      </c>
      <c r="G1507" s="4" t="s">
        <v>18</v>
      </c>
      <c r="H1507" s="4" t="s">
        <v>18</v>
      </c>
      <c r="I1507" s="4" t="s">
        <v>97</v>
      </c>
      <c r="J1507" s="4" t="s">
        <v>1394</v>
      </c>
      <c r="K1507" s="4" t="s">
        <v>1492</v>
      </c>
      <c r="L1507" s="5">
        <v>0.33333333333333331</v>
      </c>
      <c r="M1507" s="4" t="s">
        <v>170</v>
      </c>
      <c r="N1507" s="6" t="s">
        <v>23</v>
      </c>
      <c r="O1507" s="4" t="s">
        <v>24</v>
      </c>
    </row>
    <row r="1508" spans="1:15" x14ac:dyDescent="0.25">
      <c r="A1508" s="4" t="s">
        <v>15</v>
      </c>
      <c r="B1508" s="4" t="str">
        <f>"FES1162751062"</f>
        <v>FES1162751062</v>
      </c>
      <c r="C1508" s="4" t="s">
        <v>1294</v>
      </c>
      <c r="D1508" s="4">
        <v>1</v>
      </c>
      <c r="E1508" s="4" t="str">
        <f>"2170741142"</f>
        <v>2170741142</v>
      </c>
      <c r="F1508" s="4" t="s">
        <v>17</v>
      </c>
      <c r="G1508" s="4" t="s">
        <v>18</v>
      </c>
      <c r="H1508" s="4" t="s">
        <v>48</v>
      </c>
      <c r="I1508" s="4" t="s">
        <v>49</v>
      </c>
      <c r="J1508" s="4" t="s">
        <v>322</v>
      </c>
      <c r="K1508" s="4" t="s">
        <v>1492</v>
      </c>
      <c r="L1508" s="5">
        <v>0.3354166666666667</v>
      </c>
      <c r="M1508" s="4" t="s">
        <v>1498</v>
      </c>
      <c r="N1508" s="6" t="s">
        <v>23</v>
      </c>
      <c r="O1508" s="4" t="s">
        <v>24</v>
      </c>
    </row>
    <row r="1509" spans="1:15" x14ac:dyDescent="0.25">
      <c r="A1509" s="4" t="s">
        <v>15</v>
      </c>
      <c r="B1509" s="4" t="str">
        <f>"FES1162751076"</f>
        <v>FES1162751076</v>
      </c>
      <c r="C1509" s="4" t="s">
        <v>1294</v>
      </c>
      <c r="D1509" s="4">
        <v>1</v>
      </c>
      <c r="E1509" s="4" t="str">
        <f>"2170740996"</f>
        <v>2170740996</v>
      </c>
      <c r="F1509" s="4" t="s">
        <v>17</v>
      </c>
      <c r="G1509" s="4" t="s">
        <v>18</v>
      </c>
      <c r="H1509" s="4" t="s">
        <v>32</v>
      </c>
      <c r="I1509" s="4" t="s">
        <v>33</v>
      </c>
      <c r="J1509" s="4" t="s">
        <v>891</v>
      </c>
      <c r="K1509" s="4" t="s">
        <v>1492</v>
      </c>
      <c r="L1509" s="5">
        <v>0.3888888888888889</v>
      </c>
      <c r="M1509" s="4" t="s">
        <v>65</v>
      </c>
      <c r="N1509" s="6" t="s">
        <v>23</v>
      </c>
      <c r="O1509" s="4" t="s">
        <v>24</v>
      </c>
    </row>
    <row r="1510" spans="1:15" x14ac:dyDescent="0.25">
      <c r="A1510" s="4" t="s">
        <v>15</v>
      </c>
      <c r="B1510" s="4" t="str">
        <f>"FES1162751002"</f>
        <v>FES1162751002</v>
      </c>
      <c r="C1510" s="4" t="s">
        <v>1294</v>
      </c>
      <c r="D1510" s="4">
        <v>1</v>
      </c>
      <c r="E1510" s="4" t="str">
        <f>"2170739895"</f>
        <v>2170739895</v>
      </c>
      <c r="F1510" s="4" t="s">
        <v>1162</v>
      </c>
      <c r="G1510" s="4" t="s">
        <v>1163</v>
      </c>
      <c r="H1510" s="4" t="s">
        <v>1163</v>
      </c>
      <c r="I1510" s="4" t="s">
        <v>1242</v>
      </c>
      <c r="J1510" s="4" t="s">
        <v>1243</v>
      </c>
      <c r="K1510" s="4" t="s">
        <v>1492</v>
      </c>
      <c r="L1510" s="5">
        <v>0.33333333333333331</v>
      </c>
      <c r="M1510" s="4" t="s">
        <v>1577</v>
      </c>
      <c r="N1510" s="6" t="s">
        <v>23</v>
      </c>
      <c r="O1510" s="4" t="s">
        <v>24</v>
      </c>
    </row>
    <row r="1511" spans="1:15" x14ac:dyDescent="0.25">
      <c r="A1511" s="4" t="s">
        <v>15</v>
      </c>
      <c r="B1511" s="4" t="str">
        <f>"FES1162750937"</f>
        <v>FES1162750937</v>
      </c>
      <c r="C1511" s="4" t="s">
        <v>1294</v>
      </c>
      <c r="D1511" s="4">
        <v>1</v>
      </c>
      <c r="E1511" s="4" t="str">
        <f>"2170741039"</f>
        <v>2170741039</v>
      </c>
      <c r="F1511" s="4" t="s">
        <v>17</v>
      </c>
      <c r="G1511" s="4" t="s">
        <v>18</v>
      </c>
      <c r="H1511" s="4" t="s">
        <v>18</v>
      </c>
      <c r="I1511" s="4" t="s">
        <v>29</v>
      </c>
      <c r="J1511" s="4" t="s">
        <v>1518</v>
      </c>
      <c r="K1511" s="4" t="s">
        <v>1492</v>
      </c>
      <c r="L1511" s="5">
        <v>0.33333333333333331</v>
      </c>
      <c r="M1511" s="4" t="s">
        <v>1578</v>
      </c>
      <c r="N1511" s="6" t="s">
        <v>23</v>
      </c>
      <c r="O1511" s="4" t="s">
        <v>24</v>
      </c>
    </row>
    <row r="1512" spans="1:15" x14ac:dyDescent="0.25">
      <c r="A1512" s="4" t="s">
        <v>15</v>
      </c>
      <c r="B1512" s="4" t="str">
        <f>"FES1162751087"</f>
        <v>FES1162751087</v>
      </c>
      <c r="C1512" s="4" t="s">
        <v>1294</v>
      </c>
      <c r="D1512" s="4">
        <v>1</v>
      </c>
      <c r="E1512" s="4" t="str">
        <f>"2170741179"</f>
        <v>2170741179</v>
      </c>
      <c r="F1512" s="4" t="s">
        <v>17</v>
      </c>
      <c r="G1512" s="4" t="s">
        <v>18</v>
      </c>
      <c r="H1512" s="4" t="s">
        <v>48</v>
      </c>
      <c r="I1512" s="4" t="s">
        <v>49</v>
      </c>
      <c r="J1512" s="4" t="s">
        <v>100</v>
      </c>
      <c r="K1512" s="4" t="s">
        <v>1492</v>
      </c>
      <c r="L1512" s="5">
        <v>0.3756944444444445</v>
      </c>
      <c r="M1512" s="4" t="s">
        <v>1493</v>
      </c>
      <c r="N1512" s="6" t="s">
        <v>23</v>
      </c>
      <c r="O1512" s="4" t="s">
        <v>24</v>
      </c>
    </row>
    <row r="1513" spans="1:15" x14ac:dyDescent="0.25">
      <c r="A1513" s="4" t="s">
        <v>15</v>
      </c>
      <c r="B1513" s="4" t="str">
        <f>"FES1162750977"</f>
        <v>FES1162750977</v>
      </c>
      <c r="C1513" s="4" t="s">
        <v>1294</v>
      </c>
      <c r="D1513" s="4">
        <v>1</v>
      </c>
      <c r="E1513" s="4" t="str">
        <f>"2170738217"</f>
        <v>2170738217</v>
      </c>
      <c r="F1513" s="4" t="s">
        <v>17</v>
      </c>
      <c r="G1513" s="4" t="s">
        <v>18</v>
      </c>
      <c r="H1513" s="4" t="s">
        <v>85</v>
      </c>
      <c r="I1513" s="4" t="s">
        <v>86</v>
      </c>
      <c r="J1513" s="4" t="s">
        <v>87</v>
      </c>
      <c r="K1513" s="4" t="s">
        <v>1492</v>
      </c>
      <c r="L1513" s="5">
        <v>0.39583333333333331</v>
      </c>
      <c r="M1513" s="4" t="s">
        <v>976</v>
      </c>
      <c r="N1513" s="6" t="s">
        <v>23</v>
      </c>
      <c r="O1513" s="4" t="s">
        <v>24</v>
      </c>
    </row>
    <row r="1514" spans="1:15" x14ac:dyDescent="0.25">
      <c r="A1514" s="4" t="s">
        <v>15</v>
      </c>
      <c r="B1514" s="4" t="str">
        <f>"FES1162750976"</f>
        <v>FES1162750976</v>
      </c>
      <c r="C1514" s="4" t="s">
        <v>1294</v>
      </c>
      <c r="D1514" s="4">
        <v>1</v>
      </c>
      <c r="E1514" s="4" t="str">
        <f>"2170738216"</f>
        <v>2170738216</v>
      </c>
      <c r="F1514" s="4" t="s">
        <v>17</v>
      </c>
      <c r="G1514" s="4" t="s">
        <v>18</v>
      </c>
      <c r="H1514" s="4" t="s">
        <v>85</v>
      </c>
      <c r="I1514" s="4" t="s">
        <v>86</v>
      </c>
      <c r="J1514" s="4" t="s">
        <v>87</v>
      </c>
      <c r="K1514" s="4" t="s">
        <v>1492</v>
      </c>
      <c r="L1514" s="5">
        <v>0.39583333333333331</v>
      </c>
      <c r="M1514" s="4" t="s">
        <v>976</v>
      </c>
      <c r="N1514" s="6" t="s">
        <v>23</v>
      </c>
      <c r="O1514" s="4" t="s">
        <v>24</v>
      </c>
    </row>
    <row r="1515" spans="1:15" x14ac:dyDescent="0.25">
      <c r="A1515" s="4" t="s">
        <v>15</v>
      </c>
      <c r="B1515" s="4" t="str">
        <f>"FES1162751015"</f>
        <v>FES1162751015</v>
      </c>
      <c r="C1515" s="4" t="s">
        <v>1294</v>
      </c>
      <c r="D1515" s="4">
        <v>1</v>
      </c>
      <c r="E1515" s="4" t="str">
        <f>"2170739982"</f>
        <v>2170739982</v>
      </c>
      <c r="F1515" s="4" t="s">
        <v>17</v>
      </c>
      <c r="G1515" s="4" t="s">
        <v>18</v>
      </c>
      <c r="H1515" s="4" t="s">
        <v>18</v>
      </c>
      <c r="I1515" s="4" t="s">
        <v>292</v>
      </c>
      <c r="J1515" s="4" t="s">
        <v>293</v>
      </c>
      <c r="K1515" s="4" t="s">
        <v>1492</v>
      </c>
      <c r="L1515" s="5">
        <v>0.33333333333333331</v>
      </c>
      <c r="M1515" s="4" t="s">
        <v>1570</v>
      </c>
      <c r="N1515" s="6" t="s">
        <v>23</v>
      </c>
      <c r="O1515" s="4" t="s">
        <v>24</v>
      </c>
    </row>
    <row r="1516" spans="1:15" x14ac:dyDescent="0.25">
      <c r="A1516" s="4" t="s">
        <v>15</v>
      </c>
      <c r="B1516" s="4" t="str">
        <f>"FES1162750978"</f>
        <v>FES1162750978</v>
      </c>
      <c r="C1516" s="4" t="s">
        <v>1294</v>
      </c>
      <c r="D1516" s="4">
        <v>1</v>
      </c>
      <c r="E1516" s="4" t="str">
        <f>"2170738290"</f>
        <v>2170738290</v>
      </c>
      <c r="F1516" s="4" t="s">
        <v>17</v>
      </c>
      <c r="G1516" s="4" t="s">
        <v>18</v>
      </c>
      <c r="H1516" s="4" t="s">
        <v>40</v>
      </c>
      <c r="I1516" s="4" t="s">
        <v>870</v>
      </c>
      <c r="J1516" s="4" t="s">
        <v>869</v>
      </c>
      <c r="K1516" s="4" t="s">
        <v>1492</v>
      </c>
      <c r="L1516" s="5">
        <v>0.45</v>
      </c>
      <c r="M1516" s="4" t="s">
        <v>1579</v>
      </c>
      <c r="N1516" s="6" t="s">
        <v>23</v>
      </c>
      <c r="O1516" s="4" t="s">
        <v>24</v>
      </c>
    </row>
    <row r="1517" spans="1:15" x14ac:dyDescent="0.25">
      <c r="A1517" s="4" t="s">
        <v>15</v>
      </c>
      <c r="B1517" s="4" t="str">
        <f>"FES1162750956"</f>
        <v>FES1162750956</v>
      </c>
      <c r="C1517" s="4" t="s">
        <v>1294</v>
      </c>
      <c r="D1517" s="4">
        <v>1</v>
      </c>
      <c r="E1517" s="4" t="str">
        <f>"2170741052"</f>
        <v>2170741052</v>
      </c>
      <c r="F1517" s="4" t="s">
        <v>17</v>
      </c>
      <c r="G1517" s="4" t="s">
        <v>18</v>
      </c>
      <c r="H1517" s="4" t="s">
        <v>85</v>
      </c>
      <c r="I1517" s="4" t="s">
        <v>207</v>
      </c>
      <c r="J1517" s="4" t="s">
        <v>245</v>
      </c>
      <c r="K1517" s="4" t="s">
        <v>1492</v>
      </c>
      <c r="L1517" s="5">
        <v>0.38611111111111113</v>
      </c>
      <c r="M1517" s="4" t="s">
        <v>909</v>
      </c>
      <c r="N1517" s="6" t="s">
        <v>23</v>
      </c>
      <c r="O1517" s="4" t="s">
        <v>24</v>
      </c>
    </row>
    <row r="1518" spans="1:15" x14ac:dyDescent="0.25">
      <c r="A1518" s="4" t="s">
        <v>15</v>
      </c>
      <c r="B1518" s="4" t="str">
        <f>"FES1162750965"</f>
        <v>FES1162750965</v>
      </c>
      <c r="C1518" s="4" t="s">
        <v>1294</v>
      </c>
      <c r="D1518" s="4">
        <v>1</v>
      </c>
      <c r="E1518" s="4" t="str">
        <f>"2170741093"</f>
        <v>2170741093</v>
      </c>
      <c r="F1518" s="4" t="s">
        <v>17</v>
      </c>
      <c r="G1518" s="4" t="s">
        <v>18</v>
      </c>
      <c r="H1518" s="4" t="s">
        <v>85</v>
      </c>
      <c r="I1518" s="4" t="s">
        <v>207</v>
      </c>
      <c r="J1518" s="4" t="s">
        <v>1230</v>
      </c>
      <c r="K1518" s="4" t="s">
        <v>1492</v>
      </c>
      <c r="L1518" s="5">
        <v>0.40833333333333338</v>
      </c>
      <c r="M1518" s="4" t="s">
        <v>1580</v>
      </c>
      <c r="N1518" s="6" t="s">
        <v>23</v>
      </c>
      <c r="O1518" s="4" t="s">
        <v>24</v>
      </c>
    </row>
    <row r="1519" spans="1:15" x14ac:dyDescent="0.25">
      <c r="A1519" s="4" t="s">
        <v>15</v>
      </c>
      <c r="B1519" s="4" t="str">
        <f>"FES1162750970"</f>
        <v>FES1162750970</v>
      </c>
      <c r="C1519" s="4" t="s">
        <v>1294</v>
      </c>
      <c r="D1519" s="4">
        <v>1</v>
      </c>
      <c r="E1519" s="4" t="str">
        <f>"2170741100"</f>
        <v>2170741100</v>
      </c>
      <c r="F1519" s="4" t="s">
        <v>17</v>
      </c>
      <c r="G1519" s="4" t="s">
        <v>18</v>
      </c>
      <c r="H1519" s="4" t="s">
        <v>85</v>
      </c>
      <c r="I1519" s="4" t="s">
        <v>144</v>
      </c>
      <c r="J1519" s="4" t="s">
        <v>1373</v>
      </c>
      <c r="K1519" s="4" t="s">
        <v>1492</v>
      </c>
      <c r="L1519" s="5">
        <v>0.37916666666666665</v>
      </c>
      <c r="M1519" s="4" t="s">
        <v>1563</v>
      </c>
      <c r="N1519" s="6" t="s">
        <v>23</v>
      </c>
      <c r="O1519" s="4" t="s">
        <v>24</v>
      </c>
    </row>
    <row r="1520" spans="1:15" x14ac:dyDescent="0.25">
      <c r="A1520" s="4" t="s">
        <v>15</v>
      </c>
      <c r="B1520" s="4" t="str">
        <f>"FES1162751080"</f>
        <v>FES1162751080</v>
      </c>
      <c r="C1520" s="4" t="s">
        <v>1294</v>
      </c>
      <c r="D1520" s="4">
        <v>1</v>
      </c>
      <c r="E1520" s="4" t="str">
        <f>"2170741176"</f>
        <v>2170741176</v>
      </c>
      <c r="F1520" s="4" t="s">
        <v>17</v>
      </c>
      <c r="G1520" s="4" t="s">
        <v>18</v>
      </c>
      <c r="H1520" s="4" t="s">
        <v>25</v>
      </c>
      <c r="I1520" s="4" t="s">
        <v>26</v>
      </c>
      <c r="J1520" s="4" t="s">
        <v>202</v>
      </c>
      <c r="K1520" s="4" t="s">
        <v>1492</v>
      </c>
      <c r="L1520" s="5">
        <v>0.38819444444444445</v>
      </c>
      <c r="M1520" s="4" t="s">
        <v>1519</v>
      </c>
      <c r="N1520" s="6" t="s">
        <v>23</v>
      </c>
      <c r="O1520" s="4" t="s">
        <v>24</v>
      </c>
    </row>
    <row r="1521" spans="1:15" x14ac:dyDescent="0.25">
      <c r="A1521" s="4" t="s">
        <v>15</v>
      </c>
      <c r="B1521" s="4" t="str">
        <f>"FES1162751068"</f>
        <v>FES1162751068</v>
      </c>
      <c r="C1521" s="4" t="s">
        <v>1294</v>
      </c>
      <c r="D1521" s="4">
        <v>1</v>
      </c>
      <c r="E1521" s="4" t="str">
        <f>"2170740705"</f>
        <v>2170740705</v>
      </c>
      <c r="F1521" s="4" t="s">
        <v>17</v>
      </c>
      <c r="G1521" s="4" t="s">
        <v>18</v>
      </c>
      <c r="H1521" s="4" t="s">
        <v>25</v>
      </c>
      <c r="I1521" s="4" t="s">
        <v>26</v>
      </c>
      <c r="J1521" s="4" t="s">
        <v>1520</v>
      </c>
      <c r="K1521" s="4" t="s">
        <v>1492</v>
      </c>
      <c r="L1521" s="5">
        <v>0.33333333333333331</v>
      </c>
      <c r="M1521" s="4" t="s">
        <v>1581</v>
      </c>
      <c r="N1521" s="6" t="s">
        <v>23</v>
      </c>
      <c r="O1521" s="4" t="s">
        <v>24</v>
      </c>
    </row>
    <row r="1522" spans="1:15" x14ac:dyDescent="0.25">
      <c r="A1522" s="4" t="s">
        <v>15</v>
      </c>
      <c r="B1522" s="4" t="str">
        <f>"FES1162751102"</f>
        <v>FES1162751102</v>
      </c>
      <c r="C1522" s="4" t="s">
        <v>1294</v>
      </c>
      <c r="D1522" s="4">
        <v>1</v>
      </c>
      <c r="E1522" s="4" t="str">
        <f>"2170709348"</f>
        <v>2170709348</v>
      </c>
      <c r="F1522" s="4" t="s">
        <v>17</v>
      </c>
      <c r="G1522" s="4" t="s">
        <v>18</v>
      </c>
      <c r="H1522" s="4" t="s">
        <v>1521</v>
      </c>
      <c r="I1522" s="4" t="s">
        <v>1522</v>
      </c>
      <c r="J1522" s="4" t="s">
        <v>1523</v>
      </c>
      <c r="K1522" s="4" t="s">
        <v>1492</v>
      </c>
      <c r="L1522" s="5">
        <v>0.33333333333333331</v>
      </c>
      <c r="M1522" s="4" t="s">
        <v>1632</v>
      </c>
      <c r="N1522" s="6" t="s">
        <v>23</v>
      </c>
      <c r="O1522" s="4" t="s">
        <v>24</v>
      </c>
    </row>
    <row r="1523" spans="1:15" x14ac:dyDescent="0.25">
      <c r="A1523" s="4" t="s">
        <v>15</v>
      </c>
      <c r="B1523" s="4" t="str">
        <f>"FES1162751063"</f>
        <v>FES1162751063</v>
      </c>
      <c r="C1523" s="4" t="s">
        <v>1294</v>
      </c>
      <c r="D1523" s="4">
        <v>1</v>
      </c>
      <c r="E1523" s="4" t="str">
        <f>"2170741147"</f>
        <v>2170741147</v>
      </c>
      <c r="F1523" s="4" t="s">
        <v>1162</v>
      </c>
      <c r="G1523" s="4" t="s">
        <v>1163</v>
      </c>
      <c r="H1523" s="4" t="s">
        <v>1407</v>
      </c>
      <c r="I1523" s="4" t="s">
        <v>45</v>
      </c>
      <c r="J1523" s="4" t="s">
        <v>46</v>
      </c>
      <c r="K1523" s="4" t="s">
        <v>1492</v>
      </c>
      <c r="L1523" s="5">
        <v>0.33333333333333331</v>
      </c>
      <c r="M1523" s="4" t="s">
        <v>47</v>
      </c>
      <c r="N1523" s="6" t="s">
        <v>23</v>
      </c>
      <c r="O1523" s="4" t="s">
        <v>166</v>
      </c>
    </row>
    <row r="1524" spans="1:15" x14ac:dyDescent="0.25">
      <c r="A1524" s="4" t="s">
        <v>15</v>
      </c>
      <c r="B1524" s="4" t="str">
        <f>"FES1162751108"</f>
        <v>FES1162751108</v>
      </c>
      <c r="C1524" s="4" t="s">
        <v>1294</v>
      </c>
      <c r="D1524" s="4">
        <v>1</v>
      </c>
      <c r="E1524" s="4" t="str">
        <f>"2170741123"</f>
        <v>2170741123</v>
      </c>
      <c r="F1524" s="4" t="s">
        <v>17</v>
      </c>
      <c r="G1524" s="4" t="s">
        <v>18</v>
      </c>
      <c r="H1524" s="4" t="s">
        <v>18</v>
      </c>
      <c r="I1524" s="4" t="s">
        <v>290</v>
      </c>
      <c r="J1524" s="4" t="s">
        <v>291</v>
      </c>
      <c r="K1524" s="4" t="s">
        <v>1492</v>
      </c>
      <c r="L1524" s="5">
        <v>0.41666666666666669</v>
      </c>
      <c r="M1524" s="4" t="s">
        <v>1582</v>
      </c>
      <c r="N1524" s="6" t="s">
        <v>23</v>
      </c>
      <c r="O1524" s="4" t="s">
        <v>24</v>
      </c>
    </row>
    <row r="1525" spans="1:15" x14ac:dyDescent="0.25">
      <c r="A1525" s="4" t="s">
        <v>15</v>
      </c>
      <c r="B1525" s="4" t="str">
        <f>"FES1162751078"</f>
        <v>FES1162751078</v>
      </c>
      <c r="C1525" s="4" t="s">
        <v>1294</v>
      </c>
      <c r="D1525" s="4">
        <v>1</v>
      </c>
      <c r="E1525" s="4" t="str">
        <f>"2170741170"</f>
        <v>2170741170</v>
      </c>
      <c r="F1525" s="4" t="s">
        <v>17</v>
      </c>
      <c r="G1525" s="4" t="s">
        <v>18</v>
      </c>
      <c r="H1525" s="4" t="s">
        <v>18</v>
      </c>
      <c r="I1525" s="4" t="s">
        <v>29</v>
      </c>
      <c r="J1525" s="4" t="s">
        <v>569</v>
      </c>
      <c r="K1525" s="4" t="s">
        <v>1492</v>
      </c>
      <c r="L1525" s="5">
        <v>0.29166666666666669</v>
      </c>
      <c r="M1525" s="4" t="s">
        <v>1583</v>
      </c>
      <c r="N1525" s="6" t="s">
        <v>23</v>
      </c>
      <c r="O1525" s="4" t="s">
        <v>24</v>
      </c>
    </row>
    <row r="1526" spans="1:15" x14ac:dyDescent="0.25">
      <c r="A1526" s="4" t="s">
        <v>15</v>
      </c>
      <c r="B1526" s="4" t="str">
        <f>"FES1162751048"</f>
        <v>FES1162751048</v>
      </c>
      <c r="C1526" s="4" t="s">
        <v>1294</v>
      </c>
      <c r="D1526" s="4">
        <v>1</v>
      </c>
      <c r="E1526" s="4" t="str">
        <f>"2170741059"</f>
        <v>2170741059</v>
      </c>
      <c r="F1526" s="4" t="s">
        <v>17</v>
      </c>
      <c r="G1526" s="4" t="s">
        <v>18</v>
      </c>
      <c r="H1526" s="4" t="s">
        <v>18</v>
      </c>
      <c r="I1526" s="4" t="s">
        <v>97</v>
      </c>
      <c r="J1526" s="4" t="s">
        <v>1524</v>
      </c>
      <c r="K1526" s="4" t="s">
        <v>1492</v>
      </c>
      <c r="L1526" s="5">
        <v>0.30972222222222223</v>
      </c>
      <c r="M1526" s="4" t="s">
        <v>170</v>
      </c>
      <c r="N1526" s="6" t="s">
        <v>23</v>
      </c>
      <c r="O1526" s="4" t="s">
        <v>24</v>
      </c>
    </row>
    <row r="1527" spans="1:15" x14ac:dyDescent="0.25">
      <c r="A1527" s="4" t="s">
        <v>15</v>
      </c>
      <c r="B1527" s="4" t="str">
        <f>"FES1162751111"</f>
        <v>FES1162751111</v>
      </c>
      <c r="C1527" s="4" t="s">
        <v>1294</v>
      </c>
      <c r="D1527" s="4">
        <v>1</v>
      </c>
      <c r="E1527" s="4" t="str">
        <f>"2170741184"</f>
        <v>2170741184</v>
      </c>
      <c r="F1527" s="4" t="s">
        <v>17</v>
      </c>
      <c r="G1527" s="4" t="s">
        <v>18</v>
      </c>
      <c r="H1527" s="4" t="s">
        <v>1525</v>
      </c>
      <c r="I1527" s="4" t="s">
        <v>1526</v>
      </c>
      <c r="J1527" s="4" t="s">
        <v>1527</v>
      </c>
      <c r="K1527" s="4" t="s">
        <v>1492</v>
      </c>
      <c r="L1527" s="5">
        <v>0.44097222222222227</v>
      </c>
      <c r="M1527" s="4" t="s">
        <v>1584</v>
      </c>
      <c r="N1527" s="6" t="s">
        <v>23</v>
      </c>
      <c r="O1527" s="4" t="s">
        <v>24</v>
      </c>
    </row>
    <row r="1528" spans="1:15" x14ac:dyDescent="0.25">
      <c r="A1528" s="4" t="s">
        <v>15</v>
      </c>
      <c r="B1528" s="4" t="str">
        <f>"FES1162750989"</f>
        <v>FES1162750989</v>
      </c>
      <c r="C1528" s="4" t="s">
        <v>1294</v>
      </c>
      <c r="D1528" s="4">
        <v>1</v>
      </c>
      <c r="E1528" s="4" t="str">
        <f>"2170737895"</f>
        <v>2170737895</v>
      </c>
      <c r="F1528" s="4" t="s">
        <v>17</v>
      </c>
      <c r="G1528" s="4" t="s">
        <v>18</v>
      </c>
      <c r="H1528" s="4" t="s">
        <v>18</v>
      </c>
      <c r="I1528" s="4" t="s">
        <v>382</v>
      </c>
      <c r="J1528" s="4" t="s">
        <v>805</v>
      </c>
      <c r="K1528" s="4" t="s">
        <v>1492</v>
      </c>
      <c r="L1528" s="5">
        <v>0.33333333333333331</v>
      </c>
      <c r="M1528" s="4" t="s">
        <v>1585</v>
      </c>
      <c r="N1528" s="6" t="s">
        <v>23</v>
      </c>
      <c r="O1528" s="4" t="s">
        <v>24</v>
      </c>
    </row>
    <row r="1529" spans="1:15" x14ac:dyDescent="0.25">
      <c r="A1529" s="4" t="s">
        <v>15</v>
      </c>
      <c r="B1529" s="4" t="str">
        <f>"FES1162751006"</f>
        <v>FES1162751006</v>
      </c>
      <c r="C1529" s="4" t="s">
        <v>1294</v>
      </c>
      <c r="D1529" s="4">
        <v>1</v>
      </c>
      <c r="E1529" s="4" t="str">
        <f>"2170739908"</f>
        <v>2170739908</v>
      </c>
      <c r="F1529" s="4" t="s">
        <v>17</v>
      </c>
      <c r="G1529" s="4" t="s">
        <v>18</v>
      </c>
      <c r="H1529" s="4" t="s">
        <v>40</v>
      </c>
      <c r="I1529" s="4" t="s">
        <v>41</v>
      </c>
      <c r="J1529" s="4" t="s">
        <v>852</v>
      </c>
      <c r="K1529" s="4" t="s">
        <v>1492</v>
      </c>
      <c r="L1529" s="5">
        <v>0.40625</v>
      </c>
      <c r="M1529" s="4" t="s">
        <v>998</v>
      </c>
      <c r="N1529" s="6" t="s">
        <v>23</v>
      </c>
      <c r="O1529" s="4" t="s">
        <v>24</v>
      </c>
    </row>
    <row r="1530" spans="1:15" x14ac:dyDescent="0.25">
      <c r="A1530" s="4" t="s">
        <v>15</v>
      </c>
      <c r="B1530" s="4" t="str">
        <f>"FES1162751099"</f>
        <v>FES1162751099</v>
      </c>
      <c r="C1530" s="4" t="s">
        <v>1294</v>
      </c>
      <c r="D1530" s="4">
        <v>1</v>
      </c>
      <c r="E1530" s="4" t="str">
        <f>"2170741186"</f>
        <v>2170741186</v>
      </c>
      <c r="F1530" s="4" t="s">
        <v>17</v>
      </c>
      <c r="G1530" s="4" t="s">
        <v>18</v>
      </c>
      <c r="H1530" s="4" t="s">
        <v>36</v>
      </c>
      <c r="I1530" s="4" t="s">
        <v>37</v>
      </c>
      <c r="J1530" s="4" t="s">
        <v>1528</v>
      </c>
      <c r="K1530" s="4" t="s">
        <v>1492</v>
      </c>
      <c r="L1530" s="5">
        <v>0.39027777777777778</v>
      </c>
      <c r="M1530" s="4" t="s">
        <v>1586</v>
      </c>
      <c r="N1530" s="6" t="s">
        <v>23</v>
      </c>
      <c r="O1530" s="4" t="s">
        <v>24</v>
      </c>
    </row>
    <row r="1531" spans="1:15" x14ac:dyDescent="0.25">
      <c r="A1531" s="4" t="s">
        <v>15</v>
      </c>
      <c r="B1531" s="4" t="str">
        <f>"FES1162751100"</f>
        <v>FES1162751100</v>
      </c>
      <c r="C1531" s="4" t="s">
        <v>1294</v>
      </c>
      <c r="D1531" s="4">
        <v>1</v>
      </c>
      <c r="E1531" s="4" t="str">
        <f>"2170741187"</f>
        <v>2170741187</v>
      </c>
      <c r="F1531" s="4" t="s">
        <v>17</v>
      </c>
      <c r="G1531" s="4" t="s">
        <v>18</v>
      </c>
      <c r="H1531" s="4" t="s">
        <v>36</v>
      </c>
      <c r="I1531" s="4" t="s">
        <v>37</v>
      </c>
      <c r="J1531" s="4" t="s">
        <v>1528</v>
      </c>
      <c r="K1531" s="4" t="s">
        <v>1492</v>
      </c>
      <c r="L1531" s="5">
        <v>0.4152777777777778</v>
      </c>
      <c r="M1531" s="4" t="s">
        <v>1587</v>
      </c>
      <c r="N1531" s="6" t="s">
        <v>23</v>
      </c>
      <c r="O1531" s="4" t="s">
        <v>24</v>
      </c>
    </row>
    <row r="1532" spans="1:15" x14ac:dyDescent="0.25">
      <c r="A1532" s="4" t="s">
        <v>15</v>
      </c>
      <c r="B1532" s="4" t="str">
        <f>"FES1162751088"</f>
        <v>FES1162751088</v>
      </c>
      <c r="C1532" s="4" t="s">
        <v>1294</v>
      </c>
      <c r="D1532" s="4">
        <v>1</v>
      </c>
      <c r="E1532" s="4" t="str">
        <f>"2170741180"</f>
        <v>2170741180</v>
      </c>
      <c r="F1532" s="4" t="s">
        <v>17</v>
      </c>
      <c r="G1532" s="4" t="s">
        <v>18</v>
      </c>
      <c r="H1532" s="4" t="s">
        <v>18</v>
      </c>
      <c r="I1532" s="4" t="s">
        <v>29</v>
      </c>
      <c r="J1532" s="4" t="s">
        <v>1529</v>
      </c>
      <c r="K1532" s="4" t="s">
        <v>1492</v>
      </c>
      <c r="L1532" s="5">
        <v>0.4152777777777778</v>
      </c>
      <c r="M1532" s="4" t="s">
        <v>1631</v>
      </c>
      <c r="N1532" s="6" t="s">
        <v>23</v>
      </c>
      <c r="O1532" s="4" t="s">
        <v>24</v>
      </c>
    </row>
    <row r="1533" spans="1:15" x14ac:dyDescent="0.25">
      <c r="A1533" s="4" t="s">
        <v>15</v>
      </c>
      <c r="B1533" s="4" t="str">
        <f>"FES1162750924"</f>
        <v>FES1162750924</v>
      </c>
      <c r="C1533" s="4" t="s">
        <v>1294</v>
      </c>
      <c r="D1533" s="4">
        <v>1</v>
      </c>
      <c r="E1533" s="4" t="str">
        <f>"2170740993"</f>
        <v>2170740993</v>
      </c>
      <c r="F1533" s="4" t="s">
        <v>17</v>
      </c>
      <c r="G1533" s="4" t="s">
        <v>18</v>
      </c>
      <c r="H1533" s="4" t="s">
        <v>18</v>
      </c>
      <c r="I1533" s="4" t="s">
        <v>97</v>
      </c>
      <c r="J1533" s="4" t="s">
        <v>818</v>
      </c>
      <c r="K1533" s="4" t="s">
        <v>1492</v>
      </c>
      <c r="L1533" s="5">
        <v>0.36736111111111108</v>
      </c>
      <c r="M1533" s="4" t="s">
        <v>1530</v>
      </c>
      <c r="N1533" s="6" t="s">
        <v>23</v>
      </c>
      <c r="O1533" s="4" t="s">
        <v>24</v>
      </c>
    </row>
    <row r="1534" spans="1:15" x14ac:dyDescent="0.25">
      <c r="A1534" s="4" t="s">
        <v>15</v>
      </c>
      <c r="B1534" s="4" t="str">
        <f>"FES1162751077"</f>
        <v>FES1162751077</v>
      </c>
      <c r="C1534" s="4" t="s">
        <v>1294</v>
      </c>
      <c r="D1534" s="4">
        <v>1</v>
      </c>
      <c r="E1534" s="4" t="str">
        <f>"2170741169"</f>
        <v>2170741169</v>
      </c>
      <c r="F1534" s="4" t="s">
        <v>17</v>
      </c>
      <c r="G1534" s="4" t="s">
        <v>18</v>
      </c>
      <c r="H1534" s="4" t="s">
        <v>18</v>
      </c>
      <c r="I1534" s="4" t="s">
        <v>29</v>
      </c>
      <c r="J1534" s="4" t="s">
        <v>549</v>
      </c>
      <c r="K1534" s="4" t="s">
        <v>1492</v>
      </c>
      <c r="L1534" s="5">
        <v>0.35069444444444442</v>
      </c>
      <c r="M1534" s="4" t="s">
        <v>1588</v>
      </c>
      <c r="N1534" s="6" t="s">
        <v>23</v>
      </c>
      <c r="O1534" s="4" t="s">
        <v>24</v>
      </c>
    </row>
    <row r="1535" spans="1:15" x14ac:dyDescent="0.25">
      <c r="A1535" s="4" t="s">
        <v>15</v>
      </c>
      <c r="B1535" s="4" t="str">
        <f>"FES1162751044"</f>
        <v>FES1162751044</v>
      </c>
      <c r="C1535" s="4" t="s">
        <v>1294</v>
      </c>
      <c r="D1535" s="4">
        <v>1</v>
      </c>
      <c r="E1535" s="4" t="str">
        <f>"2170741070"</f>
        <v>2170741070</v>
      </c>
      <c r="F1535" s="4" t="s">
        <v>17</v>
      </c>
      <c r="G1535" s="4" t="s">
        <v>18</v>
      </c>
      <c r="H1535" s="4" t="s">
        <v>18</v>
      </c>
      <c r="I1535" s="4" t="s">
        <v>97</v>
      </c>
      <c r="J1535" s="4" t="s">
        <v>1531</v>
      </c>
      <c r="K1535" s="4" t="s">
        <v>1492</v>
      </c>
      <c r="L1535" s="5">
        <v>0.41666666666666669</v>
      </c>
      <c r="M1535" s="4" t="s">
        <v>1589</v>
      </c>
      <c r="N1535" s="6" t="s">
        <v>23</v>
      </c>
      <c r="O1535" s="4" t="s">
        <v>24</v>
      </c>
    </row>
    <row r="1536" spans="1:15" x14ac:dyDescent="0.25">
      <c r="A1536" s="4" t="s">
        <v>15</v>
      </c>
      <c r="B1536" s="4" t="str">
        <f>"FES1162751060"</f>
        <v>FES1162751060</v>
      </c>
      <c r="C1536" s="4" t="s">
        <v>1294</v>
      </c>
      <c r="D1536" s="4">
        <v>1</v>
      </c>
      <c r="E1536" s="4" t="str">
        <f>"2170741071"</f>
        <v>2170741071</v>
      </c>
      <c r="F1536" s="4" t="s">
        <v>17</v>
      </c>
      <c r="G1536" s="4" t="s">
        <v>18</v>
      </c>
      <c r="H1536" s="4" t="s">
        <v>25</v>
      </c>
      <c r="I1536" s="4" t="s">
        <v>26</v>
      </c>
      <c r="J1536" s="4" t="s">
        <v>279</v>
      </c>
      <c r="K1536" s="4" t="s">
        <v>1492</v>
      </c>
      <c r="L1536" s="5">
        <v>0.34027777777777773</v>
      </c>
      <c r="M1536" s="4" t="s">
        <v>1532</v>
      </c>
      <c r="N1536" s="6" t="s">
        <v>23</v>
      </c>
      <c r="O1536" s="4" t="s">
        <v>24</v>
      </c>
    </row>
    <row r="1537" spans="1:15" x14ac:dyDescent="0.25">
      <c r="A1537" s="4" t="s">
        <v>15</v>
      </c>
      <c r="B1537" s="4" t="str">
        <f>"FES11625751103"</f>
        <v>FES11625751103</v>
      </c>
      <c r="C1537" s="4" t="s">
        <v>1294</v>
      </c>
      <c r="D1537" s="4">
        <v>1</v>
      </c>
      <c r="E1537" s="4" t="str">
        <f>"2170741189"</f>
        <v>2170741189</v>
      </c>
      <c r="F1537" s="4" t="s">
        <v>17</v>
      </c>
      <c r="G1537" s="4" t="s">
        <v>18</v>
      </c>
      <c r="H1537" s="4" t="s">
        <v>48</v>
      </c>
      <c r="I1537" s="4" t="s">
        <v>49</v>
      </c>
      <c r="J1537" s="4" t="s">
        <v>100</v>
      </c>
      <c r="K1537" s="4" t="s">
        <v>1492</v>
      </c>
      <c r="L1537" s="5">
        <v>0.37708333333333338</v>
      </c>
      <c r="M1537" s="4" t="s">
        <v>1493</v>
      </c>
      <c r="N1537" s="6" t="s">
        <v>23</v>
      </c>
      <c r="O1537" s="4" t="s">
        <v>24</v>
      </c>
    </row>
    <row r="1538" spans="1:15" x14ac:dyDescent="0.25">
      <c r="A1538" s="4" t="s">
        <v>15</v>
      </c>
      <c r="B1538" s="4" t="str">
        <f>"FES1162751069"</f>
        <v>FES1162751069</v>
      </c>
      <c r="C1538" s="4" t="s">
        <v>1294</v>
      </c>
      <c r="D1538" s="4">
        <v>1</v>
      </c>
      <c r="E1538" s="4" t="str">
        <f>"2170740829"</f>
        <v>2170740829</v>
      </c>
      <c r="F1538" s="4" t="s">
        <v>17</v>
      </c>
      <c r="G1538" s="4" t="s">
        <v>18</v>
      </c>
      <c r="H1538" s="4" t="s">
        <v>25</v>
      </c>
      <c r="I1538" s="4" t="s">
        <v>26</v>
      </c>
      <c r="J1538" s="4" t="s">
        <v>1397</v>
      </c>
      <c r="K1538" s="4" t="s">
        <v>1492</v>
      </c>
      <c r="L1538" s="5">
        <v>0.38263888888888892</v>
      </c>
      <c r="M1538" s="4" t="s">
        <v>1533</v>
      </c>
      <c r="N1538" s="6" t="s">
        <v>23</v>
      </c>
      <c r="O1538" s="4" t="s">
        <v>24</v>
      </c>
    </row>
    <row r="1539" spans="1:15" x14ac:dyDescent="0.25">
      <c r="A1539" s="4" t="s">
        <v>15</v>
      </c>
      <c r="B1539" s="4" t="str">
        <f>"FES1162751091"</f>
        <v>FES1162751091</v>
      </c>
      <c r="C1539" s="4" t="s">
        <v>1294</v>
      </c>
      <c r="D1539" s="4">
        <v>1</v>
      </c>
      <c r="E1539" s="4" t="str">
        <f>"2170738167"</f>
        <v>2170738167</v>
      </c>
      <c r="F1539" s="4" t="s">
        <v>17</v>
      </c>
      <c r="G1539" s="4" t="s">
        <v>18</v>
      </c>
      <c r="H1539" s="4" t="s">
        <v>48</v>
      </c>
      <c r="I1539" s="4" t="s">
        <v>73</v>
      </c>
      <c r="J1539" s="4" t="s">
        <v>160</v>
      </c>
      <c r="K1539" s="4" t="s">
        <v>1492</v>
      </c>
      <c r="L1539" s="5">
        <v>0.51597222222222217</v>
      </c>
      <c r="M1539" s="4" t="s">
        <v>161</v>
      </c>
      <c r="N1539" s="6" t="s">
        <v>23</v>
      </c>
      <c r="O1539" s="4" t="s">
        <v>24</v>
      </c>
    </row>
    <row r="1540" spans="1:15" x14ac:dyDescent="0.25">
      <c r="A1540" s="4" t="s">
        <v>15</v>
      </c>
      <c r="B1540" s="4" t="str">
        <f>"FES1162750990"</f>
        <v>FES1162750990</v>
      </c>
      <c r="C1540" s="4" t="s">
        <v>1294</v>
      </c>
      <c r="D1540" s="4">
        <v>1</v>
      </c>
      <c r="E1540" s="4" t="str">
        <f>"2170739787"</f>
        <v>2170739787</v>
      </c>
      <c r="F1540" s="4" t="s">
        <v>17</v>
      </c>
      <c r="G1540" s="4" t="s">
        <v>18</v>
      </c>
      <c r="H1540" s="4" t="s">
        <v>85</v>
      </c>
      <c r="I1540" s="4" t="s">
        <v>207</v>
      </c>
      <c r="J1540" s="4" t="s">
        <v>245</v>
      </c>
      <c r="K1540" s="4" t="s">
        <v>1492</v>
      </c>
      <c r="L1540" s="5">
        <v>0.38541666666666669</v>
      </c>
      <c r="M1540" s="4" t="s">
        <v>909</v>
      </c>
      <c r="N1540" s="6" t="s">
        <v>23</v>
      </c>
      <c r="O1540" s="4" t="s">
        <v>24</v>
      </c>
    </row>
    <row r="1541" spans="1:15" x14ac:dyDescent="0.25">
      <c r="A1541" s="4" t="s">
        <v>15</v>
      </c>
      <c r="B1541" s="4" t="str">
        <f>"FES1162751116"</f>
        <v>FES1162751116</v>
      </c>
      <c r="C1541" s="4" t="s">
        <v>1294</v>
      </c>
      <c r="D1541" s="4">
        <v>1</v>
      </c>
      <c r="E1541" s="4" t="str">
        <f>"21701740997"</f>
        <v>21701740997</v>
      </c>
      <c r="F1541" s="4" t="s">
        <v>17</v>
      </c>
      <c r="G1541" s="4" t="s">
        <v>18</v>
      </c>
      <c r="H1541" s="4" t="s">
        <v>40</v>
      </c>
      <c r="I1541" s="4" t="s">
        <v>41</v>
      </c>
      <c r="J1541" s="4" t="s">
        <v>42</v>
      </c>
      <c r="K1541" s="4" t="s">
        <v>1492</v>
      </c>
      <c r="L1541" s="5">
        <v>0.41319444444444442</v>
      </c>
      <c r="M1541" s="4" t="s">
        <v>1573</v>
      </c>
      <c r="N1541" s="6" t="s">
        <v>23</v>
      </c>
      <c r="O1541" s="4" t="s">
        <v>24</v>
      </c>
    </row>
    <row r="1542" spans="1:15" x14ac:dyDescent="0.25">
      <c r="A1542" s="4" t="s">
        <v>15</v>
      </c>
      <c r="B1542" s="4" t="str">
        <f>"FES1162751036"</f>
        <v>FES1162751036</v>
      </c>
      <c r="C1542" s="4" t="s">
        <v>1294</v>
      </c>
      <c r="D1542" s="4">
        <v>1</v>
      </c>
      <c r="E1542" s="4" t="str">
        <f>"2170741113"</f>
        <v>2170741113</v>
      </c>
      <c r="F1542" s="4" t="s">
        <v>17</v>
      </c>
      <c r="G1542" s="4" t="s">
        <v>18</v>
      </c>
      <c r="H1542" s="4" t="s">
        <v>40</v>
      </c>
      <c r="I1542" s="4" t="s">
        <v>41</v>
      </c>
      <c r="J1542" s="4" t="s">
        <v>874</v>
      </c>
      <c r="K1542" s="4" t="s">
        <v>1492</v>
      </c>
      <c r="L1542" s="5">
        <v>0.45902777777777781</v>
      </c>
      <c r="M1542" s="4" t="s">
        <v>1590</v>
      </c>
      <c r="N1542" s="6" t="s">
        <v>23</v>
      </c>
      <c r="O1542" s="4" t="s">
        <v>24</v>
      </c>
    </row>
    <row r="1543" spans="1:15" x14ac:dyDescent="0.25">
      <c r="A1543" s="4" t="s">
        <v>15</v>
      </c>
      <c r="B1543" s="4" t="str">
        <f>"FES1162751035"</f>
        <v>FES1162751035</v>
      </c>
      <c r="C1543" s="4" t="s">
        <v>1294</v>
      </c>
      <c r="D1543" s="4">
        <v>1</v>
      </c>
      <c r="E1543" s="4" t="str">
        <f>"2170741112"</f>
        <v>2170741112</v>
      </c>
      <c r="F1543" s="4" t="s">
        <v>17</v>
      </c>
      <c r="G1543" s="4" t="s">
        <v>18</v>
      </c>
      <c r="H1543" s="4" t="s">
        <v>40</v>
      </c>
      <c r="I1543" s="4" t="s">
        <v>41</v>
      </c>
      <c r="J1543" s="4" t="s">
        <v>874</v>
      </c>
      <c r="K1543" s="4" t="s">
        <v>1492</v>
      </c>
      <c r="L1543" s="5">
        <v>0.41666666666666669</v>
      </c>
      <c r="M1543" s="4" t="s">
        <v>1590</v>
      </c>
      <c r="N1543" s="6" t="s">
        <v>23</v>
      </c>
      <c r="O1543" s="4" t="s">
        <v>24</v>
      </c>
    </row>
    <row r="1544" spans="1:15" x14ac:dyDescent="0.25">
      <c r="A1544" s="4" t="s">
        <v>15</v>
      </c>
      <c r="B1544" s="4" t="str">
        <f>"FES1162751118"</f>
        <v>FES1162751118</v>
      </c>
      <c r="C1544" s="4" t="s">
        <v>1294</v>
      </c>
      <c r="D1544" s="4">
        <v>1</v>
      </c>
      <c r="E1544" s="4" t="str">
        <f>"2170741052"</f>
        <v>2170741052</v>
      </c>
      <c r="F1544" s="4" t="s">
        <v>17</v>
      </c>
      <c r="G1544" s="4" t="s">
        <v>18</v>
      </c>
      <c r="H1544" s="4" t="s">
        <v>85</v>
      </c>
      <c r="I1544" s="4" t="s">
        <v>207</v>
      </c>
      <c r="J1544" s="4" t="s">
        <v>245</v>
      </c>
      <c r="K1544" s="4" t="s">
        <v>1492</v>
      </c>
      <c r="L1544" s="5">
        <v>0.38541666666666669</v>
      </c>
      <c r="M1544" s="4" t="s">
        <v>909</v>
      </c>
      <c r="N1544" s="6" t="s">
        <v>23</v>
      </c>
      <c r="O1544" s="4" t="s">
        <v>24</v>
      </c>
    </row>
    <row r="1545" spans="1:15" x14ac:dyDescent="0.25">
      <c r="A1545" s="4" t="s">
        <v>15</v>
      </c>
      <c r="B1545" s="4" t="str">
        <f>"FES1162751012"</f>
        <v>FES1162751012</v>
      </c>
      <c r="C1545" s="4" t="s">
        <v>1294</v>
      </c>
      <c r="D1545" s="4">
        <v>1</v>
      </c>
      <c r="E1545" s="4" t="str">
        <f>"2170739924"</f>
        <v>2170739924</v>
      </c>
      <c r="F1545" s="4" t="s">
        <v>17</v>
      </c>
      <c r="G1545" s="4" t="s">
        <v>18</v>
      </c>
      <c r="H1545" s="4" t="s">
        <v>40</v>
      </c>
      <c r="I1545" s="4" t="s">
        <v>41</v>
      </c>
      <c r="J1545" s="4" t="s">
        <v>99</v>
      </c>
      <c r="K1545" s="4" t="s">
        <v>1492</v>
      </c>
      <c r="L1545" s="5">
        <v>0.3576388888888889</v>
      </c>
      <c r="M1545" s="4" t="s">
        <v>1534</v>
      </c>
      <c r="N1545" s="6" t="s">
        <v>23</v>
      </c>
      <c r="O1545" s="4" t="s">
        <v>24</v>
      </c>
    </row>
    <row r="1546" spans="1:15" x14ac:dyDescent="0.25">
      <c r="A1546" s="4" t="s">
        <v>15</v>
      </c>
      <c r="B1546" s="4" t="str">
        <f>"FES1162751067"</f>
        <v>FES1162751067</v>
      </c>
      <c r="C1546" s="4" t="s">
        <v>1294</v>
      </c>
      <c r="D1546" s="4">
        <v>1</v>
      </c>
      <c r="E1546" s="4" t="str">
        <f>"2170741154"</f>
        <v>2170741154</v>
      </c>
      <c r="F1546" s="4" t="s">
        <v>17</v>
      </c>
      <c r="G1546" s="4" t="s">
        <v>18</v>
      </c>
      <c r="H1546" s="4" t="s">
        <v>18</v>
      </c>
      <c r="I1546" s="4" t="s">
        <v>97</v>
      </c>
      <c r="J1546" s="4" t="s">
        <v>888</v>
      </c>
      <c r="K1546" s="4" t="s">
        <v>1492</v>
      </c>
      <c r="L1546" s="5">
        <v>0.4375</v>
      </c>
      <c r="M1546" s="4" t="s">
        <v>1591</v>
      </c>
      <c r="N1546" s="6" t="s">
        <v>23</v>
      </c>
      <c r="O1546" s="4" t="s">
        <v>24</v>
      </c>
    </row>
    <row r="1547" spans="1:15" x14ac:dyDescent="0.25">
      <c r="A1547" s="4" t="s">
        <v>15</v>
      </c>
      <c r="B1547" s="4" t="str">
        <f>"FES1162751106"</f>
        <v>FES1162751106</v>
      </c>
      <c r="C1547" s="4" t="s">
        <v>1294</v>
      </c>
      <c r="D1547" s="4">
        <v>1</v>
      </c>
      <c r="E1547" s="4" t="str">
        <f>"2170740631"</f>
        <v>2170740631</v>
      </c>
      <c r="F1547" s="4" t="s">
        <v>17</v>
      </c>
      <c r="G1547" s="4" t="s">
        <v>18</v>
      </c>
      <c r="H1547" s="4" t="s">
        <v>18</v>
      </c>
      <c r="I1547" s="4" t="s">
        <v>290</v>
      </c>
      <c r="J1547" s="4" t="s">
        <v>291</v>
      </c>
      <c r="K1547" s="4" t="s">
        <v>1492</v>
      </c>
      <c r="L1547" s="5">
        <v>0.43055555555555558</v>
      </c>
      <c r="M1547" s="4" t="s">
        <v>1592</v>
      </c>
      <c r="N1547" s="6" t="s">
        <v>23</v>
      </c>
      <c r="O1547" s="4" t="s">
        <v>24</v>
      </c>
    </row>
    <row r="1548" spans="1:15" x14ac:dyDescent="0.25">
      <c r="A1548" s="4" t="s">
        <v>15</v>
      </c>
      <c r="B1548" s="4" t="str">
        <f>"FES1162751131"</f>
        <v>FES1162751131</v>
      </c>
      <c r="C1548" s="4" t="s">
        <v>1294</v>
      </c>
      <c r="D1548" s="4">
        <v>1</v>
      </c>
      <c r="E1548" s="4" t="str">
        <f>"2170741219"</f>
        <v>2170741219</v>
      </c>
      <c r="F1548" s="4" t="s">
        <v>17</v>
      </c>
      <c r="G1548" s="4" t="s">
        <v>18</v>
      </c>
      <c r="H1548" s="4" t="s">
        <v>32</v>
      </c>
      <c r="I1548" s="4" t="s">
        <v>33</v>
      </c>
      <c r="J1548" s="4" t="s">
        <v>1203</v>
      </c>
      <c r="K1548" s="4" t="s">
        <v>1492</v>
      </c>
      <c r="L1548" s="5">
        <v>0.34652777777777777</v>
      </c>
      <c r="M1548" s="4" t="s">
        <v>1535</v>
      </c>
      <c r="N1548" s="6" t="s">
        <v>23</v>
      </c>
      <c r="O1548" s="4" t="s">
        <v>24</v>
      </c>
    </row>
    <row r="1549" spans="1:15" x14ac:dyDescent="0.25">
      <c r="A1549" s="4" t="s">
        <v>15</v>
      </c>
      <c r="B1549" s="4" t="str">
        <f>"FES1162750930"</f>
        <v>FES1162750930</v>
      </c>
      <c r="C1549" s="4" t="s">
        <v>1294</v>
      </c>
      <c r="D1549" s="4">
        <v>1</v>
      </c>
      <c r="E1549" s="4" t="str">
        <f>"2170741028"</f>
        <v>2170741028</v>
      </c>
      <c r="F1549" s="4" t="s">
        <v>17</v>
      </c>
      <c r="G1549" s="4" t="s">
        <v>18</v>
      </c>
      <c r="H1549" s="4" t="s">
        <v>18</v>
      </c>
      <c r="I1549" s="4" t="s">
        <v>19</v>
      </c>
      <c r="J1549" s="4" t="s">
        <v>20</v>
      </c>
      <c r="K1549" s="4" t="s">
        <v>1492</v>
      </c>
      <c r="L1549" s="5">
        <v>0.375</v>
      </c>
      <c r="M1549" s="4" t="s">
        <v>706</v>
      </c>
      <c r="N1549" s="6" t="s">
        <v>23</v>
      </c>
      <c r="O1549" s="4" t="s">
        <v>24</v>
      </c>
    </row>
    <row r="1550" spans="1:15" x14ac:dyDescent="0.25">
      <c r="A1550" s="4" t="s">
        <v>15</v>
      </c>
      <c r="B1550" s="4" t="str">
        <f>"FES1162751112"</f>
        <v>FES1162751112</v>
      </c>
      <c r="C1550" s="4" t="s">
        <v>1294</v>
      </c>
      <c r="D1550" s="4">
        <v>1</v>
      </c>
      <c r="E1550" s="4" t="str">
        <f>"2170741194"</f>
        <v>2170741194</v>
      </c>
      <c r="F1550" s="4" t="s">
        <v>17</v>
      </c>
      <c r="G1550" s="4" t="s">
        <v>18</v>
      </c>
      <c r="H1550" s="4" t="s">
        <v>40</v>
      </c>
      <c r="I1550" s="4" t="s">
        <v>41</v>
      </c>
      <c r="J1550" s="4" t="s">
        <v>221</v>
      </c>
      <c r="K1550" s="4" t="s">
        <v>1492</v>
      </c>
      <c r="L1550" s="5">
        <v>0.41319444444444442</v>
      </c>
      <c r="M1550" s="4" t="s">
        <v>1573</v>
      </c>
      <c r="N1550" s="6" t="s">
        <v>23</v>
      </c>
      <c r="O1550" s="4" t="s">
        <v>24</v>
      </c>
    </row>
    <row r="1551" spans="1:15" x14ac:dyDescent="0.25">
      <c r="A1551" s="4" t="s">
        <v>15</v>
      </c>
      <c r="B1551" s="4" t="str">
        <f>"FES1162751081"</f>
        <v>FES1162751081</v>
      </c>
      <c r="C1551" s="4" t="s">
        <v>1294</v>
      </c>
      <c r="D1551" s="4">
        <v>1</v>
      </c>
      <c r="E1551" s="4" t="str">
        <f>"2170741177"</f>
        <v>2170741177</v>
      </c>
      <c r="F1551" s="4" t="s">
        <v>17</v>
      </c>
      <c r="G1551" s="4" t="s">
        <v>18</v>
      </c>
      <c r="H1551" s="4" t="s">
        <v>18</v>
      </c>
      <c r="I1551" s="4" t="s">
        <v>19</v>
      </c>
      <c r="J1551" s="4" t="s">
        <v>1100</v>
      </c>
      <c r="K1551" s="4" t="s">
        <v>1492</v>
      </c>
      <c r="L1551" s="5">
        <v>0.34930555555555554</v>
      </c>
      <c r="M1551" s="4" t="s">
        <v>1593</v>
      </c>
      <c r="N1551" s="6" t="s">
        <v>23</v>
      </c>
      <c r="O1551" s="4" t="s">
        <v>24</v>
      </c>
    </row>
    <row r="1552" spans="1:15" x14ac:dyDescent="0.25">
      <c r="A1552" s="4" t="s">
        <v>15</v>
      </c>
      <c r="B1552" s="4" t="str">
        <f>"FES1162751109"</f>
        <v>FES1162751109</v>
      </c>
      <c r="C1552" s="4" t="s">
        <v>1294</v>
      </c>
      <c r="D1552" s="4">
        <v>1</v>
      </c>
      <c r="E1552" s="4" t="str">
        <f>"2170741124"</f>
        <v>2170741124</v>
      </c>
      <c r="F1552" s="4" t="s">
        <v>17</v>
      </c>
      <c r="G1552" s="4" t="s">
        <v>18</v>
      </c>
      <c r="H1552" s="4" t="s">
        <v>18</v>
      </c>
      <c r="I1552" s="4" t="s">
        <v>290</v>
      </c>
      <c r="J1552" s="4" t="s">
        <v>291</v>
      </c>
      <c r="K1552" s="4" t="s">
        <v>1492</v>
      </c>
      <c r="L1552" s="5">
        <v>0.41666666666666669</v>
      </c>
      <c r="M1552" s="4" t="s">
        <v>1594</v>
      </c>
      <c r="N1552" s="6" t="s">
        <v>23</v>
      </c>
      <c r="O1552" s="4" t="s">
        <v>24</v>
      </c>
    </row>
    <row r="1553" spans="1:15" x14ac:dyDescent="0.25">
      <c r="A1553" s="4" t="s">
        <v>15</v>
      </c>
      <c r="B1553" s="4" t="str">
        <f>"FES1162751094"</f>
        <v>FES1162751094</v>
      </c>
      <c r="C1553" s="4" t="s">
        <v>1294</v>
      </c>
      <c r="D1553" s="4">
        <v>1</v>
      </c>
      <c r="E1553" s="4" t="str">
        <f>"2170740914"</f>
        <v>2170740914</v>
      </c>
      <c r="F1553" s="4" t="s">
        <v>17</v>
      </c>
      <c r="G1553" s="4" t="s">
        <v>18</v>
      </c>
      <c r="H1553" s="4" t="s">
        <v>85</v>
      </c>
      <c r="I1553" s="4" t="s">
        <v>207</v>
      </c>
      <c r="J1553" s="4" t="s">
        <v>1536</v>
      </c>
      <c r="K1553" s="4" t="s">
        <v>1492</v>
      </c>
      <c r="L1553" s="5">
        <v>0.34652777777777777</v>
      </c>
      <c r="M1553" s="4" t="s">
        <v>1537</v>
      </c>
      <c r="N1553" s="6" t="s">
        <v>23</v>
      </c>
      <c r="O1553" s="4" t="s">
        <v>24</v>
      </c>
    </row>
    <row r="1554" spans="1:15" x14ac:dyDescent="0.25">
      <c r="A1554" s="4" t="s">
        <v>15</v>
      </c>
      <c r="B1554" s="4" t="str">
        <f>"FES1162751126"</f>
        <v>FES1162751126</v>
      </c>
      <c r="C1554" s="4" t="s">
        <v>1294</v>
      </c>
      <c r="D1554" s="4">
        <v>1</v>
      </c>
      <c r="E1554" s="4" t="str">
        <f>"2170741214"</f>
        <v>2170741214</v>
      </c>
      <c r="F1554" s="4" t="s">
        <v>17</v>
      </c>
      <c r="G1554" s="4" t="s">
        <v>18</v>
      </c>
      <c r="H1554" s="4" t="s">
        <v>85</v>
      </c>
      <c r="I1554" s="4" t="s">
        <v>152</v>
      </c>
      <c r="J1554" s="4" t="s">
        <v>371</v>
      </c>
      <c r="K1554" s="4" t="s">
        <v>1492</v>
      </c>
      <c r="L1554" s="5">
        <v>0.34652777777777777</v>
      </c>
      <c r="M1554" s="4" t="s">
        <v>504</v>
      </c>
      <c r="N1554" s="6" t="s">
        <v>23</v>
      </c>
      <c r="O1554" s="4" t="s">
        <v>24</v>
      </c>
    </row>
    <row r="1555" spans="1:15" x14ac:dyDescent="0.25">
      <c r="A1555" s="4" t="s">
        <v>15</v>
      </c>
      <c r="B1555" s="4" t="str">
        <f>"FES1162751095"</f>
        <v>FES1162751095</v>
      </c>
      <c r="C1555" s="4" t="s">
        <v>1294</v>
      </c>
      <c r="D1555" s="4">
        <v>1</v>
      </c>
      <c r="E1555" s="4" t="str">
        <f>"2170741183"</f>
        <v>2170741183</v>
      </c>
      <c r="F1555" s="4" t="s">
        <v>17</v>
      </c>
      <c r="G1555" s="4" t="s">
        <v>18</v>
      </c>
      <c r="H1555" s="4" t="s">
        <v>18</v>
      </c>
      <c r="I1555" s="4" t="s">
        <v>183</v>
      </c>
      <c r="J1555" s="4" t="s">
        <v>1538</v>
      </c>
      <c r="K1555" s="4" t="s">
        <v>1492</v>
      </c>
      <c r="L1555" s="5">
        <v>0.43263888888888885</v>
      </c>
      <c r="M1555" s="4" t="s">
        <v>1595</v>
      </c>
      <c r="N1555" s="6" t="s">
        <v>23</v>
      </c>
      <c r="O1555" s="4" t="s">
        <v>24</v>
      </c>
    </row>
    <row r="1556" spans="1:15" x14ac:dyDescent="0.25">
      <c r="A1556" s="4" t="s">
        <v>15</v>
      </c>
      <c r="B1556" s="4" t="str">
        <f>"FES1162751129"</f>
        <v>FES1162751129</v>
      </c>
      <c r="C1556" s="4" t="s">
        <v>1294</v>
      </c>
      <c r="D1556" s="4">
        <v>1</v>
      </c>
      <c r="E1556" s="4" t="str">
        <f>"2170741109"</f>
        <v>2170741109</v>
      </c>
      <c r="F1556" s="4" t="s">
        <v>17</v>
      </c>
      <c r="G1556" s="4" t="s">
        <v>18</v>
      </c>
      <c r="H1556" s="4" t="s">
        <v>48</v>
      </c>
      <c r="I1556" s="4" t="s">
        <v>49</v>
      </c>
      <c r="J1556" s="4" t="s">
        <v>252</v>
      </c>
      <c r="K1556" s="4" t="s">
        <v>1492</v>
      </c>
      <c r="L1556" s="5">
        <v>0.37777777777777777</v>
      </c>
      <c r="M1556" s="4" t="s">
        <v>1308</v>
      </c>
      <c r="N1556" s="6" t="s">
        <v>23</v>
      </c>
      <c r="O1556" s="4" t="s">
        <v>24</v>
      </c>
    </row>
    <row r="1557" spans="1:15" x14ac:dyDescent="0.25">
      <c r="A1557" s="4" t="s">
        <v>15</v>
      </c>
      <c r="B1557" s="4" t="str">
        <f>"FES1162751065"</f>
        <v>FES1162751065</v>
      </c>
      <c r="C1557" s="4" t="s">
        <v>1294</v>
      </c>
      <c r="D1557" s="4">
        <v>1</v>
      </c>
      <c r="E1557" s="4" t="str">
        <f>"2170741149"</f>
        <v>2170741149</v>
      </c>
      <c r="F1557" s="4" t="s">
        <v>17</v>
      </c>
      <c r="G1557" s="4" t="s">
        <v>18</v>
      </c>
      <c r="H1557" s="4" t="s">
        <v>18</v>
      </c>
      <c r="I1557" s="4" t="s">
        <v>29</v>
      </c>
      <c r="J1557" s="4" t="s">
        <v>302</v>
      </c>
      <c r="K1557" s="4" t="s">
        <v>1492</v>
      </c>
      <c r="L1557" s="5">
        <v>0.33333333333333331</v>
      </c>
      <c r="M1557" s="4" t="s">
        <v>170</v>
      </c>
      <c r="N1557" s="6" t="s">
        <v>23</v>
      </c>
      <c r="O1557" s="4" t="s">
        <v>24</v>
      </c>
    </row>
    <row r="1558" spans="1:15" x14ac:dyDescent="0.25">
      <c r="A1558" s="4" t="s">
        <v>15</v>
      </c>
      <c r="B1558" s="4" t="str">
        <f>"FES1162751123"</f>
        <v>FES1162751123</v>
      </c>
      <c r="C1558" s="4" t="s">
        <v>1294</v>
      </c>
      <c r="D1558" s="4">
        <v>1</v>
      </c>
      <c r="E1558" s="4" t="str">
        <f>"2170741208"</f>
        <v>2170741208</v>
      </c>
      <c r="F1558" s="4" t="s">
        <v>17</v>
      </c>
      <c r="G1558" s="4" t="s">
        <v>18</v>
      </c>
      <c r="H1558" s="4" t="s">
        <v>25</v>
      </c>
      <c r="I1558" s="4" t="s">
        <v>26</v>
      </c>
      <c r="J1558" s="4" t="s">
        <v>1539</v>
      </c>
      <c r="K1558" s="4" t="s">
        <v>1492</v>
      </c>
      <c r="L1558" s="5">
        <v>0.42083333333333334</v>
      </c>
      <c r="M1558" s="4" t="s">
        <v>1596</v>
      </c>
      <c r="N1558" s="6" t="s">
        <v>23</v>
      </c>
      <c r="O1558" s="4" t="s">
        <v>24</v>
      </c>
    </row>
    <row r="1559" spans="1:15" x14ac:dyDescent="0.25">
      <c r="A1559" s="4" t="s">
        <v>15</v>
      </c>
      <c r="B1559" s="4" t="str">
        <f>"FES1162751113"</f>
        <v>FES1162751113</v>
      </c>
      <c r="C1559" s="4" t="s">
        <v>1294</v>
      </c>
      <c r="D1559" s="4">
        <v>1</v>
      </c>
      <c r="E1559" s="4" t="str">
        <f>"2170741200"</f>
        <v>2170741200</v>
      </c>
      <c r="F1559" s="4" t="s">
        <v>17</v>
      </c>
      <c r="G1559" s="4" t="s">
        <v>18</v>
      </c>
      <c r="H1559" s="4" t="s">
        <v>52</v>
      </c>
      <c r="I1559" s="4" t="s">
        <v>53</v>
      </c>
      <c r="J1559" s="4" t="s">
        <v>56</v>
      </c>
      <c r="K1559" s="4" t="s">
        <v>1492</v>
      </c>
      <c r="L1559" s="5">
        <v>0.43402777777777773</v>
      </c>
      <c r="M1559" s="4" t="s">
        <v>57</v>
      </c>
      <c r="N1559" s="6" t="s">
        <v>23</v>
      </c>
      <c r="O1559" s="4" t="s">
        <v>24</v>
      </c>
    </row>
    <row r="1560" spans="1:15" x14ac:dyDescent="0.25">
      <c r="A1560" s="4" t="s">
        <v>15</v>
      </c>
      <c r="B1560" s="4" t="str">
        <f>"FES1162751119"</f>
        <v>FES1162751119</v>
      </c>
      <c r="C1560" s="4" t="s">
        <v>1294</v>
      </c>
      <c r="D1560" s="4">
        <v>1</v>
      </c>
      <c r="E1560" s="4" t="str">
        <f>"2170741196"</f>
        <v>2170741196</v>
      </c>
      <c r="F1560" s="4" t="s">
        <v>17</v>
      </c>
      <c r="G1560" s="4" t="s">
        <v>18</v>
      </c>
      <c r="H1560" s="4" t="s">
        <v>25</v>
      </c>
      <c r="I1560" s="4" t="s">
        <v>26</v>
      </c>
      <c r="J1560" s="4" t="s">
        <v>279</v>
      </c>
      <c r="K1560" s="4" t="s">
        <v>1492</v>
      </c>
      <c r="L1560" s="5">
        <v>0.34027777777777773</v>
      </c>
      <c r="M1560" s="4" t="s">
        <v>1532</v>
      </c>
      <c r="N1560" s="6" t="s">
        <v>23</v>
      </c>
      <c r="O1560" s="4" t="s">
        <v>24</v>
      </c>
    </row>
    <row r="1561" spans="1:15" x14ac:dyDescent="0.25">
      <c r="A1561" s="4" t="s">
        <v>15</v>
      </c>
      <c r="B1561" s="4" t="str">
        <f>"FES1162751104"</f>
        <v>FES1162751104</v>
      </c>
      <c r="C1561" s="4" t="s">
        <v>1294</v>
      </c>
      <c r="D1561" s="4">
        <v>1</v>
      </c>
      <c r="E1561" s="4" t="str">
        <f>"2170741191"</f>
        <v>2170741191</v>
      </c>
      <c r="F1561" s="4" t="s">
        <v>17</v>
      </c>
      <c r="G1561" s="4" t="s">
        <v>18</v>
      </c>
      <c r="H1561" s="4" t="s">
        <v>18</v>
      </c>
      <c r="I1561" s="4" t="s">
        <v>204</v>
      </c>
      <c r="J1561" s="4" t="s">
        <v>205</v>
      </c>
      <c r="K1561" s="4" t="s">
        <v>1492</v>
      </c>
      <c r="L1561" s="5">
        <v>0.375</v>
      </c>
      <c r="M1561" s="4" t="s">
        <v>715</v>
      </c>
      <c r="N1561" s="6" t="s">
        <v>23</v>
      </c>
      <c r="O1561" s="4" t="s">
        <v>24</v>
      </c>
    </row>
    <row r="1562" spans="1:15" x14ac:dyDescent="0.25">
      <c r="A1562" s="4" t="s">
        <v>15</v>
      </c>
      <c r="B1562" s="4" t="str">
        <f>"FES1162751085"</f>
        <v>FES1162751085</v>
      </c>
      <c r="C1562" s="4" t="s">
        <v>1294</v>
      </c>
      <c r="D1562" s="4">
        <v>1</v>
      </c>
      <c r="E1562" s="4" t="str">
        <f>"2170741172"</f>
        <v>2170741172</v>
      </c>
      <c r="F1562" s="4" t="s">
        <v>17</v>
      </c>
      <c r="G1562" s="4" t="s">
        <v>18</v>
      </c>
      <c r="H1562" s="4" t="s">
        <v>18</v>
      </c>
      <c r="I1562" s="4" t="s">
        <v>19</v>
      </c>
      <c r="J1562" s="4" t="s">
        <v>20</v>
      </c>
      <c r="K1562" s="4" t="s">
        <v>1492</v>
      </c>
      <c r="L1562" s="5">
        <v>0.3756944444444445</v>
      </c>
      <c r="M1562" s="4" t="s">
        <v>706</v>
      </c>
      <c r="N1562" s="6" t="s">
        <v>23</v>
      </c>
      <c r="O1562" s="4" t="s">
        <v>24</v>
      </c>
    </row>
    <row r="1563" spans="1:15" x14ac:dyDescent="0.25">
      <c r="A1563" s="4" t="s">
        <v>15</v>
      </c>
      <c r="B1563" s="4" t="str">
        <f>"FES1162751093"</f>
        <v>FES1162751093</v>
      </c>
      <c r="C1563" s="4" t="s">
        <v>1294</v>
      </c>
      <c r="D1563" s="4">
        <v>1</v>
      </c>
      <c r="E1563" s="4" t="str">
        <f>"2170740882"</f>
        <v>2170740882</v>
      </c>
      <c r="F1563" s="4" t="s">
        <v>17</v>
      </c>
      <c r="G1563" s="4" t="s">
        <v>18</v>
      </c>
      <c r="H1563" s="4" t="s">
        <v>18</v>
      </c>
      <c r="I1563" s="4" t="s">
        <v>68</v>
      </c>
      <c r="J1563" s="4" t="s">
        <v>69</v>
      </c>
      <c r="K1563" s="4" t="s">
        <v>1492</v>
      </c>
      <c r="L1563" s="5">
        <v>0.38611111111111113</v>
      </c>
      <c r="M1563" s="4" t="s">
        <v>1574</v>
      </c>
      <c r="N1563" s="6" t="s">
        <v>23</v>
      </c>
      <c r="O1563" s="4" t="s">
        <v>24</v>
      </c>
    </row>
    <row r="1564" spans="1:15" x14ac:dyDescent="0.25">
      <c r="A1564" s="4" t="s">
        <v>15</v>
      </c>
      <c r="B1564" s="4" t="str">
        <f>"FES1162751084"</f>
        <v>FES1162751084</v>
      </c>
      <c r="C1564" s="4" t="s">
        <v>1294</v>
      </c>
      <c r="D1564" s="4">
        <v>1</v>
      </c>
      <c r="E1564" s="4" t="str">
        <f>"2170741171"</f>
        <v>2170741171</v>
      </c>
      <c r="F1564" s="4" t="s">
        <v>17</v>
      </c>
      <c r="G1564" s="4" t="s">
        <v>18</v>
      </c>
      <c r="H1564" s="4" t="s">
        <v>18</v>
      </c>
      <c r="I1564" s="4" t="s">
        <v>19</v>
      </c>
      <c r="J1564" s="4" t="s">
        <v>20</v>
      </c>
      <c r="K1564" s="4" t="s">
        <v>1492</v>
      </c>
      <c r="L1564" s="5">
        <v>0.375</v>
      </c>
      <c r="M1564" s="4" t="s">
        <v>706</v>
      </c>
      <c r="N1564" s="6" t="s">
        <v>23</v>
      </c>
      <c r="O1564" s="4" t="s">
        <v>24</v>
      </c>
    </row>
    <row r="1565" spans="1:15" x14ac:dyDescent="0.25">
      <c r="A1565" s="4" t="s">
        <v>15</v>
      </c>
      <c r="B1565" s="4" t="str">
        <f>"FES1162751070"</f>
        <v>FES1162751070</v>
      </c>
      <c r="C1565" s="4" t="s">
        <v>1294</v>
      </c>
      <c r="D1565" s="4">
        <v>1</v>
      </c>
      <c r="E1565" s="4" t="str">
        <f>"2170741115"</f>
        <v>2170741115</v>
      </c>
      <c r="F1565" s="4" t="s">
        <v>17</v>
      </c>
      <c r="G1565" s="4" t="s">
        <v>18</v>
      </c>
      <c r="H1565" s="4" t="s">
        <v>18</v>
      </c>
      <c r="I1565" s="4" t="s">
        <v>29</v>
      </c>
      <c r="J1565" s="4" t="s">
        <v>762</v>
      </c>
      <c r="K1565" s="4" t="s">
        <v>1492</v>
      </c>
      <c r="L1565" s="5">
        <v>0.41666666666666669</v>
      </c>
      <c r="M1565" s="4" t="s">
        <v>1597</v>
      </c>
      <c r="N1565" s="6" t="s">
        <v>23</v>
      </c>
      <c r="O1565" s="4" t="s">
        <v>24</v>
      </c>
    </row>
    <row r="1566" spans="1:15" x14ac:dyDescent="0.25">
      <c r="A1566" s="4" t="s">
        <v>15</v>
      </c>
      <c r="B1566" s="4" t="str">
        <f>"FES1162751052"</f>
        <v>FES1162751052</v>
      </c>
      <c r="C1566" s="4" t="s">
        <v>1294</v>
      </c>
      <c r="D1566" s="4">
        <v>1</v>
      </c>
      <c r="E1566" s="4" t="str">
        <f>"2170741140"</f>
        <v>2170741140</v>
      </c>
      <c r="F1566" s="4" t="s">
        <v>17</v>
      </c>
      <c r="G1566" s="4" t="s">
        <v>18</v>
      </c>
      <c r="H1566" s="4" t="s">
        <v>85</v>
      </c>
      <c r="I1566" s="4" t="s">
        <v>408</v>
      </c>
      <c r="J1566" s="4" t="s">
        <v>34</v>
      </c>
      <c r="K1566" s="4" t="s">
        <v>1492</v>
      </c>
      <c r="L1566" s="5">
        <v>0.58333333333333337</v>
      </c>
      <c r="M1566" s="4" t="s">
        <v>1564</v>
      </c>
      <c r="N1566" s="6" t="s">
        <v>23</v>
      </c>
      <c r="O1566" s="4" t="s">
        <v>24</v>
      </c>
    </row>
    <row r="1567" spans="1:15" x14ac:dyDescent="0.25">
      <c r="A1567" s="4" t="s">
        <v>15</v>
      </c>
      <c r="B1567" s="4" t="str">
        <f>"009935712299"</f>
        <v>009935712299</v>
      </c>
      <c r="C1567" s="4" t="s">
        <v>1294</v>
      </c>
      <c r="D1567" s="4">
        <v>1</v>
      </c>
      <c r="E1567" s="4" t="str">
        <f>"1162745656-1162747891-1162748238"</f>
        <v>1162745656-1162747891-1162748238</v>
      </c>
      <c r="F1567" s="4" t="s">
        <v>17</v>
      </c>
      <c r="G1567" s="4" t="s">
        <v>18</v>
      </c>
      <c r="H1567" s="4" t="s">
        <v>85</v>
      </c>
      <c r="I1567" s="4" t="s">
        <v>144</v>
      </c>
      <c r="J1567" s="4" t="s">
        <v>253</v>
      </c>
      <c r="K1567" s="4" t="s">
        <v>1492</v>
      </c>
      <c r="L1567" s="5">
        <v>0.5493055555555556</v>
      </c>
      <c r="M1567" s="4" t="s">
        <v>1598</v>
      </c>
      <c r="N1567" s="6" t="s">
        <v>23</v>
      </c>
      <c r="O1567" s="4" t="s">
        <v>1540</v>
      </c>
    </row>
    <row r="1568" spans="1:15" x14ac:dyDescent="0.25">
      <c r="A1568" s="4" t="s">
        <v>15</v>
      </c>
      <c r="B1568" s="4" t="str">
        <f>"FES1162751136"</f>
        <v>FES1162751136</v>
      </c>
      <c r="C1568" s="4" t="s">
        <v>1294</v>
      </c>
      <c r="D1568" s="4">
        <v>1</v>
      </c>
      <c r="E1568" s="4" t="str">
        <f>"217074131"</f>
        <v>217074131</v>
      </c>
      <c r="F1568" s="4" t="s">
        <v>17</v>
      </c>
      <c r="G1568" s="4" t="s">
        <v>18</v>
      </c>
      <c r="H1568" s="4" t="s">
        <v>85</v>
      </c>
      <c r="I1568" s="4" t="s">
        <v>207</v>
      </c>
      <c r="J1568" s="4" t="s">
        <v>616</v>
      </c>
      <c r="K1568" s="4" t="s">
        <v>1492</v>
      </c>
      <c r="L1568" s="5">
        <v>0.50277777777777777</v>
      </c>
      <c r="M1568" s="4" t="s">
        <v>732</v>
      </c>
      <c r="N1568" s="6" t="s">
        <v>23</v>
      </c>
      <c r="O1568" s="4" t="s">
        <v>24</v>
      </c>
    </row>
    <row r="1569" spans="1:15" x14ac:dyDescent="0.25">
      <c r="A1569" s="4" t="s">
        <v>15</v>
      </c>
      <c r="B1569" s="4" t="str">
        <f>"FES1162751137"</f>
        <v>FES1162751137</v>
      </c>
      <c r="C1569" s="4" t="s">
        <v>1294</v>
      </c>
      <c r="D1569" s="4">
        <v>1</v>
      </c>
      <c r="E1569" s="4" t="str">
        <f>"2170741233"</f>
        <v>2170741233</v>
      </c>
      <c r="F1569" s="4" t="s">
        <v>17</v>
      </c>
      <c r="G1569" s="4" t="s">
        <v>18</v>
      </c>
      <c r="H1569" s="4" t="s">
        <v>85</v>
      </c>
      <c r="I1569" s="4" t="s">
        <v>207</v>
      </c>
      <c r="J1569" s="4" t="s">
        <v>616</v>
      </c>
      <c r="K1569" s="4" t="s">
        <v>1492</v>
      </c>
      <c r="L1569" s="5">
        <v>0.50277777777777777</v>
      </c>
      <c r="M1569" s="4" t="s">
        <v>732</v>
      </c>
      <c r="N1569" s="6" t="s">
        <v>23</v>
      </c>
      <c r="O1569" s="4" t="s">
        <v>24</v>
      </c>
    </row>
    <row r="1570" spans="1:15" x14ac:dyDescent="0.25">
      <c r="A1570" s="4" t="s">
        <v>15</v>
      </c>
      <c r="B1570" s="4" t="str">
        <f>"FES1162751143"</f>
        <v>FES1162751143</v>
      </c>
      <c r="C1570" s="4" t="s">
        <v>1294</v>
      </c>
      <c r="D1570" s="4">
        <v>1</v>
      </c>
      <c r="E1570" s="4" t="str">
        <f>"2170741235"</f>
        <v>2170741235</v>
      </c>
      <c r="F1570" s="4" t="s">
        <v>17</v>
      </c>
      <c r="G1570" s="4" t="s">
        <v>18</v>
      </c>
      <c r="H1570" s="4" t="s">
        <v>40</v>
      </c>
      <c r="I1570" s="4" t="s">
        <v>41</v>
      </c>
      <c r="J1570" s="4" t="s">
        <v>852</v>
      </c>
      <c r="K1570" s="4" t="s">
        <v>1492</v>
      </c>
      <c r="L1570" s="5">
        <v>0.40625</v>
      </c>
      <c r="M1570" s="4" t="s">
        <v>998</v>
      </c>
      <c r="N1570" s="6" t="s">
        <v>23</v>
      </c>
      <c r="O1570" s="4" t="s">
        <v>24</v>
      </c>
    </row>
    <row r="1571" spans="1:15" x14ac:dyDescent="0.25">
      <c r="A1571" s="4" t="s">
        <v>15</v>
      </c>
      <c r="B1571" s="4" t="str">
        <f>"FES1162751054"</f>
        <v>FES1162751054</v>
      </c>
      <c r="C1571" s="4" t="s">
        <v>1294</v>
      </c>
      <c r="D1571" s="4">
        <v>1</v>
      </c>
      <c r="E1571" s="4" t="str">
        <f>"2170741143"</f>
        <v>2170741143</v>
      </c>
      <c r="F1571" s="4" t="s">
        <v>17</v>
      </c>
      <c r="G1571" s="4" t="s">
        <v>18</v>
      </c>
      <c r="H1571" s="4" t="s">
        <v>85</v>
      </c>
      <c r="I1571" s="4" t="s">
        <v>144</v>
      </c>
      <c r="J1571" s="4" t="s">
        <v>407</v>
      </c>
      <c r="K1571" s="4" t="s">
        <v>1492</v>
      </c>
      <c r="L1571" s="5">
        <v>0.41597222222222219</v>
      </c>
      <c r="M1571" s="4" t="s">
        <v>1012</v>
      </c>
      <c r="N1571" s="6" t="s">
        <v>23</v>
      </c>
      <c r="O1571" s="4" t="s">
        <v>24</v>
      </c>
    </row>
    <row r="1572" spans="1:15" x14ac:dyDescent="0.25">
      <c r="A1572" s="4" t="s">
        <v>15</v>
      </c>
      <c r="B1572" s="4" t="str">
        <f>"FES1162751134"</f>
        <v>FES1162751134</v>
      </c>
      <c r="C1572" s="4" t="s">
        <v>1294</v>
      </c>
      <c r="D1572" s="4">
        <v>1</v>
      </c>
      <c r="E1572" s="4" t="str">
        <f>"2170741229"</f>
        <v>2170741229</v>
      </c>
      <c r="F1572" s="4" t="s">
        <v>1162</v>
      </c>
      <c r="G1572" s="4" t="s">
        <v>1163</v>
      </c>
      <c r="H1572" s="4" t="s">
        <v>48</v>
      </c>
      <c r="I1572" s="4" t="s">
        <v>49</v>
      </c>
      <c r="J1572" s="4" t="s">
        <v>1044</v>
      </c>
      <c r="K1572" s="4" t="s">
        <v>1492</v>
      </c>
      <c r="L1572" s="5">
        <v>0.41597222222222219</v>
      </c>
      <c r="M1572" s="4" t="s">
        <v>1630</v>
      </c>
      <c r="N1572" s="6" t="s">
        <v>23</v>
      </c>
      <c r="O1572" s="4" t="s">
        <v>24</v>
      </c>
    </row>
    <row r="1573" spans="1:15" x14ac:dyDescent="0.25">
      <c r="A1573" s="4" t="s">
        <v>15</v>
      </c>
      <c r="B1573" s="4" t="str">
        <f>"FES1162751145"</f>
        <v>FES1162751145</v>
      </c>
      <c r="C1573" s="4" t="s">
        <v>1294</v>
      </c>
      <c r="D1573" s="4">
        <v>1</v>
      </c>
      <c r="E1573" s="4" t="str">
        <f>"2170741108"</f>
        <v>2170741108</v>
      </c>
      <c r="F1573" s="4" t="s">
        <v>17</v>
      </c>
      <c r="G1573" s="4" t="s">
        <v>18</v>
      </c>
      <c r="H1573" s="4" t="s">
        <v>40</v>
      </c>
      <c r="I1573" s="4" t="s">
        <v>870</v>
      </c>
      <c r="J1573" s="4" t="s">
        <v>869</v>
      </c>
      <c r="K1573" s="4" t="s">
        <v>1492</v>
      </c>
      <c r="L1573" s="5">
        <v>0.45</v>
      </c>
      <c r="M1573" s="4" t="s">
        <v>1579</v>
      </c>
      <c r="N1573" s="6" t="s">
        <v>23</v>
      </c>
      <c r="O1573" s="4" t="s">
        <v>24</v>
      </c>
    </row>
    <row r="1574" spans="1:15" x14ac:dyDescent="0.25">
      <c r="A1574" s="4" t="s">
        <v>15</v>
      </c>
      <c r="B1574" s="4" t="str">
        <f>"FES1162751117"</f>
        <v>FES1162751117</v>
      </c>
      <c r="C1574" s="4" t="s">
        <v>1294</v>
      </c>
      <c r="D1574" s="4">
        <v>1</v>
      </c>
      <c r="E1574" s="4" t="str">
        <f>"2170741033"</f>
        <v>2170741033</v>
      </c>
      <c r="F1574" s="4" t="s">
        <v>17</v>
      </c>
      <c r="G1574" s="4" t="s">
        <v>18</v>
      </c>
      <c r="H1574" s="4" t="s">
        <v>18</v>
      </c>
      <c r="I1574" s="4" t="s">
        <v>97</v>
      </c>
      <c r="J1574" s="4" t="s">
        <v>1394</v>
      </c>
      <c r="K1574" s="4" t="s">
        <v>1492</v>
      </c>
      <c r="L1574" s="5">
        <v>0.27430555555555552</v>
      </c>
      <c r="M1574" s="4" t="s">
        <v>170</v>
      </c>
      <c r="N1574" s="6" t="s">
        <v>23</v>
      </c>
      <c r="O1574" s="4" t="s">
        <v>24</v>
      </c>
    </row>
    <row r="1575" spans="1:15" x14ac:dyDescent="0.25">
      <c r="A1575" s="4" t="s">
        <v>15</v>
      </c>
      <c r="B1575" s="4" t="str">
        <f>"FES1162751130"</f>
        <v>FES1162751130</v>
      </c>
      <c r="C1575" s="4" t="s">
        <v>1294</v>
      </c>
      <c r="D1575" s="4">
        <v>1</v>
      </c>
      <c r="E1575" s="4" t="str">
        <f>"2170741069"</f>
        <v>2170741069</v>
      </c>
      <c r="F1575" s="4" t="s">
        <v>17</v>
      </c>
      <c r="G1575" s="4" t="s">
        <v>18</v>
      </c>
      <c r="H1575" s="4" t="s">
        <v>18</v>
      </c>
      <c r="I1575" s="4" t="s">
        <v>29</v>
      </c>
      <c r="J1575" s="4" t="s">
        <v>1541</v>
      </c>
      <c r="K1575" s="4" t="s">
        <v>1492</v>
      </c>
      <c r="L1575" s="5">
        <v>0.36805555555555558</v>
      </c>
      <c r="M1575" s="4" t="s">
        <v>1599</v>
      </c>
      <c r="N1575" s="6" t="s">
        <v>23</v>
      </c>
      <c r="O1575" s="4" t="s">
        <v>24</v>
      </c>
    </row>
    <row r="1576" spans="1:15" x14ac:dyDescent="0.25">
      <c r="A1576" s="4" t="s">
        <v>15</v>
      </c>
      <c r="B1576" s="4" t="str">
        <f>"FES1162751107"</f>
        <v>FES1162751107</v>
      </c>
      <c r="C1576" s="4" t="s">
        <v>1294</v>
      </c>
      <c r="D1576" s="4">
        <v>1</v>
      </c>
      <c r="E1576" s="4" t="str">
        <f>"2170740636"</f>
        <v>2170740636</v>
      </c>
      <c r="F1576" s="4" t="s">
        <v>17</v>
      </c>
      <c r="G1576" s="4" t="s">
        <v>18</v>
      </c>
      <c r="H1576" s="4" t="s">
        <v>18</v>
      </c>
      <c r="I1576" s="4" t="s">
        <v>290</v>
      </c>
      <c r="J1576" s="4" t="s">
        <v>291</v>
      </c>
      <c r="K1576" s="4" t="s">
        <v>1492</v>
      </c>
      <c r="L1576" s="5">
        <v>0.41666666666666669</v>
      </c>
      <c r="M1576" s="4" t="s">
        <v>1600</v>
      </c>
      <c r="N1576" s="6" t="s">
        <v>23</v>
      </c>
      <c r="O1576" s="4" t="s">
        <v>24</v>
      </c>
    </row>
    <row r="1577" spans="1:15" x14ac:dyDescent="0.25">
      <c r="A1577" s="4" t="s">
        <v>15</v>
      </c>
      <c r="B1577" s="4" t="str">
        <f>"FES1162751139"</f>
        <v>FES1162751139</v>
      </c>
      <c r="C1577" s="4" t="s">
        <v>1294</v>
      </c>
      <c r="D1577" s="4">
        <v>1</v>
      </c>
      <c r="E1577" s="4" t="str">
        <f>"2170740153"</f>
        <v>2170740153</v>
      </c>
      <c r="F1577" s="4" t="s">
        <v>17</v>
      </c>
      <c r="G1577" s="4" t="s">
        <v>18</v>
      </c>
      <c r="H1577" s="4" t="s">
        <v>18</v>
      </c>
      <c r="I1577" s="4" t="s">
        <v>290</v>
      </c>
      <c r="J1577" s="4" t="s">
        <v>291</v>
      </c>
      <c r="K1577" s="4" t="s">
        <v>1492</v>
      </c>
      <c r="L1577" s="5">
        <v>0.41666666666666669</v>
      </c>
      <c r="M1577" s="4" t="s">
        <v>1582</v>
      </c>
      <c r="N1577" s="6" t="s">
        <v>23</v>
      </c>
      <c r="O1577" s="4" t="s">
        <v>24</v>
      </c>
    </row>
    <row r="1578" spans="1:15" x14ac:dyDescent="0.25">
      <c r="A1578" s="4" t="s">
        <v>15</v>
      </c>
      <c r="B1578" s="4" t="str">
        <f>"FES1162751146"</f>
        <v>FES1162751146</v>
      </c>
      <c r="C1578" s="4" t="s">
        <v>1294</v>
      </c>
      <c r="D1578" s="4">
        <v>1</v>
      </c>
      <c r="E1578" s="4" t="str">
        <f>"2170740985"</f>
        <v>2170740985</v>
      </c>
      <c r="F1578" s="4" t="s">
        <v>17</v>
      </c>
      <c r="G1578" s="4" t="s">
        <v>18</v>
      </c>
      <c r="H1578" s="4" t="s">
        <v>85</v>
      </c>
      <c r="I1578" s="4" t="s">
        <v>144</v>
      </c>
      <c r="J1578" s="4" t="s">
        <v>564</v>
      </c>
      <c r="K1578" s="4" t="s">
        <v>1492</v>
      </c>
      <c r="L1578" s="5">
        <v>0.54236111111111118</v>
      </c>
      <c r="M1578" s="4" t="s">
        <v>524</v>
      </c>
      <c r="N1578" s="6" t="s">
        <v>23</v>
      </c>
      <c r="O1578" s="4" t="s">
        <v>24</v>
      </c>
    </row>
    <row r="1579" spans="1:15" x14ac:dyDescent="0.25">
      <c r="A1579" s="4" t="s">
        <v>15</v>
      </c>
      <c r="B1579" s="4" t="str">
        <f>"FES1162751138"</f>
        <v>FES1162751138</v>
      </c>
      <c r="C1579" s="4" t="s">
        <v>1294</v>
      </c>
      <c r="D1579" s="4">
        <v>1</v>
      </c>
      <c r="E1579" s="4" t="str">
        <f>"2170740024"</f>
        <v>2170740024</v>
      </c>
      <c r="F1579" s="4" t="s">
        <v>17</v>
      </c>
      <c r="G1579" s="4" t="s">
        <v>18</v>
      </c>
      <c r="H1579" s="4" t="s">
        <v>18</v>
      </c>
      <c r="I1579" s="4" t="s">
        <v>19</v>
      </c>
      <c r="J1579" s="4" t="s">
        <v>346</v>
      </c>
      <c r="K1579" s="4" t="s">
        <v>1492</v>
      </c>
      <c r="L1579" s="5">
        <v>0.375</v>
      </c>
      <c r="M1579" s="4" t="s">
        <v>1601</v>
      </c>
      <c r="N1579" s="6" t="s">
        <v>23</v>
      </c>
      <c r="O1579" s="4" t="s">
        <v>24</v>
      </c>
    </row>
    <row r="1580" spans="1:15" x14ac:dyDescent="0.25">
      <c r="A1580" s="4" t="s">
        <v>15</v>
      </c>
      <c r="B1580" s="4" t="str">
        <f>"FES1162751120"</f>
        <v>FES1162751120</v>
      </c>
      <c r="C1580" s="4" t="s">
        <v>1294</v>
      </c>
      <c r="D1580" s="4">
        <v>1</v>
      </c>
      <c r="E1580" s="4" t="str">
        <f>"2170741204"</f>
        <v>2170741204</v>
      </c>
      <c r="F1580" s="4" t="s">
        <v>17</v>
      </c>
      <c r="G1580" s="4" t="s">
        <v>18</v>
      </c>
      <c r="H1580" s="4" t="s">
        <v>18</v>
      </c>
      <c r="I1580" s="4" t="s">
        <v>58</v>
      </c>
      <c r="J1580" s="4" t="s">
        <v>817</v>
      </c>
      <c r="K1580" s="4" t="s">
        <v>1492</v>
      </c>
      <c r="L1580" s="5">
        <v>0.33333333333333331</v>
      </c>
      <c r="M1580" s="4" t="s">
        <v>1602</v>
      </c>
      <c r="N1580" s="6" t="s">
        <v>23</v>
      </c>
      <c r="O1580" s="4" t="s">
        <v>24</v>
      </c>
    </row>
    <row r="1581" spans="1:15" x14ac:dyDescent="0.25">
      <c r="A1581" s="4" t="s">
        <v>15</v>
      </c>
      <c r="B1581" s="4" t="str">
        <f>"FES1162750920"</f>
        <v>FES1162750920</v>
      </c>
      <c r="C1581" s="4" t="s">
        <v>1294</v>
      </c>
      <c r="D1581" s="4">
        <v>1</v>
      </c>
      <c r="E1581" s="4" t="str">
        <f>"2170740897"</f>
        <v>2170740897</v>
      </c>
      <c r="F1581" s="4" t="s">
        <v>17</v>
      </c>
      <c r="G1581" s="4" t="s">
        <v>18</v>
      </c>
      <c r="H1581" s="4" t="s">
        <v>18</v>
      </c>
      <c r="I1581" s="4" t="s">
        <v>29</v>
      </c>
      <c r="J1581" s="4" t="s">
        <v>302</v>
      </c>
      <c r="K1581" s="4" t="s">
        <v>1492</v>
      </c>
      <c r="L1581" s="5">
        <v>0.33333333333333331</v>
      </c>
      <c r="M1581" s="4" t="s">
        <v>462</v>
      </c>
      <c r="N1581" s="6" t="s">
        <v>23</v>
      </c>
      <c r="O1581" s="4" t="s">
        <v>24</v>
      </c>
    </row>
    <row r="1582" spans="1:15" x14ac:dyDescent="0.25">
      <c r="A1582" s="4" t="s">
        <v>15</v>
      </c>
      <c r="B1582" s="4" t="str">
        <f>"FES1162751140"</f>
        <v>FES1162751140</v>
      </c>
      <c r="C1582" s="4" t="s">
        <v>1294</v>
      </c>
      <c r="D1582" s="4">
        <v>1</v>
      </c>
      <c r="E1582" s="4" t="str">
        <f>"2170741058"</f>
        <v>2170741058</v>
      </c>
      <c r="F1582" s="4" t="s">
        <v>17</v>
      </c>
      <c r="G1582" s="4" t="s">
        <v>18</v>
      </c>
      <c r="H1582" s="4" t="s">
        <v>18</v>
      </c>
      <c r="I1582" s="4" t="s">
        <v>19</v>
      </c>
      <c r="J1582" s="4" t="s">
        <v>346</v>
      </c>
      <c r="K1582" s="4" t="s">
        <v>1492</v>
      </c>
      <c r="L1582" s="5">
        <v>0.375</v>
      </c>
      <c r="M1582" s="4" t="s">
        <v>65</v>
      </c>
      <c r="N1582" s="6" t="s">
        <v>23</v>
      </c>
      <c r="O1582" s="4" t="s">
        <v>24</v>
      </c>
    </row>
    <row r="1583" spans="1:15" x14ac:dyDescent="0.25">
      <c r="A1583" s="4" t="s">
        <v>15</v>
      </c>
      <c r="B1583" s="4" t="str">
        <f>"FES1162751114"</f>
        <v>FES1162751114</v>
      </c>
      <c r="C1583" s="4" t="s">
        <v>1294</v>
      </c>
      <c r="D1583" s="4">
        <v>1</v>
      </c>
      <c r="E1583" s="4" t="str">
        <f>"2170741202"</f>
        <v>2170741202</v>
      </c>
      <c r="F1583" s="4" t="s">
        <v>17</v>
      </c>
      <c r="G1583" s="4" t="s">
        <v>18</v>
      </c>
      <c r="H1583" s="4" t="s">
        <v>18</v>
      </c>
      <c r="I1583" s="4" t="s">
        <v>97</v>
      </c>
      <c r="J1583" s="4" t="s">
        <v>806</v>
      </c>
      <c r="K1583" s="4" t="s">
        <v>1492</v>
      </c>
      <c r="L1583" s="5">
        <v>0.375</v>
      </c>
      <c r="M1583" s="4" t="s">
        <v>1603</v>
      </c>
      <c r="N1583" s="6" t="s">
        <v>23</v>
      </c>
      <c r="O1583" s="4" t="s">
        <v>24</v>
      </c>
    </row>
    <row r="1584" spans="1:15" ht="15.75" thickBot="1" x14ac:dyDescent="0.3">
      <c r="A1584" s="7" t="s">
        <v>15</v>
      </c>
      <c r="B1584" s="7" t="str">
        <f>"FES1162751122"</f>
        <v>FES1162751122</v>
      </c>
      <c r="C1584" s="7" t="s">
        <v>1294</v>
      </c>
      <c r="D1584" s="7">
        <v>1</v>
      </c>
      <c r="E1584" s="7" t="str">
        <f>"2170741207"</f>
        <v>2170741207</v>
      </c>
      <c r="F1584" s="7" t="s">
        <v>164</v>
      </c>
      <c r="G1584" s="7" t="s">
        <v>18</v>
      </c>
      <c r="H1584" s="7" t="s">
        <v>18</v>
      </c>
      <c r="I1584" s="7" t="s">
        <v>147</v>
      </c>
      <c r="J1584" s="7" t="s">
        <v>352</v>
      </c>
      <c r="K1584" s="7" t="s">
        <v>1492</v>
      </c>
      <c r="L1584" s="8">
        <v>0.33333333333333331</v>
      </c>
      <c r="M1584" s="7" t="s">
        <v>493</v>
      </c>
      <c r="N1584" s="7" t="s">
        <v>23</v>
      </c>
      <c r="O1584" s="7" t="s">
        <v>166</v>
      </c>
    </row>
    <row r="1585" spans="1:15" x14ac:dyDescent="0.25">
      <c r="A1585" s="1" t="s">
        <v>15</v>
      </c>
      <c r="B1585" s="1" t="str">
        <f>"FES1162751207"</f>
        <v>FES1162751207</v>
      </c>
      <c r="C1585" s="1" t="s">
        <v>1492</v>
      </c>
      <c r="D1585" s="1">
        <v>1</v>
      </c>
      <c r="E1585" s="1" t="str">
        <f>"21707412195"</f>
        <v>21707412195</v>
      </c>
      <c r="F1585" s="1" t="s">
        <v>17</v>
      </c>
      <c r="G1585" s="1" t="s">
        <v>18</v>
      </c>
      <c r="H1585" s="1" t="s">
        <v>85</v>
      </c>
      <c r="I1585" s="1" t="s">
        <v>144</v>
      </c>
      <c r="J1585" s="1" t="s">
        <v>210</v>
      </c>
      <c r="K1585" s="1" t="s">
        <v>1572</v>
      </c>
      <c r="L1585" s="2">
        <v>0.37083333333333335</v>
      </c>
      <c r="M1585" s="1" t="s">
        <v>994</v>
      </c>
      <c r="N1585" s="3" t="s">
        <v>23</v>
      </c>
      <c r="O1585" s="1" t="s">
        <v>24</v>
      </c>
    </row>
    <row r="1586" spans="1:15" x14ac:dyDescent="0.25">
      <c r="A1586" s="4" t="s">
        <v>15</v>
      </c>
      <c r="B1586" s="4" t="str">
        <f>"RFES1162750360"</f>
        <v>RFES1162750360</v>
      </c>
      <c r="C1586" s="4" t="s">
        <v>1492</v>
      </c>
      <c r="D1586" s="4">
        <v>1</v>
      </c>
      <c r="E1586" s="4" t="str">
        <f>"2170740618"</f>
        <v>2170740618</v>
      </c>
      <c r="F1586" s="4" t="s">
        <v>17</v>
      </c>
      <c r="G1586" s="4" t="s">
        <v>18</v>
      </c>
      <c r="H1586" s="4" t="s">
        <v>18</v>
      </c>
      <c r="I1586" s="4" t="s">
        <v>29</v>
      </c>
      <c r="J1586" s="4" t="s">
        <v>417</v>
      </c>
      <c r="K1586" s="4" t="s">
        <v>1572</v>
      </c>
      <c r="L1586" s="5">
        <v>0.38125000000000003</v>
      </c>
      <c r="M1586" s="4" t="s">
        <v>1639</v>
      </c>
      <c r="N1586" s="6" t="s">
        <v>23</v>
      </c>
      <c r="O1586" s="4" t="s">
        <v>24</v>
      </c>
    </row>
    <row r="1587" spans="1:15" x14ac:dyDescent="0.25">
      <c r="A1587" s="4" t="s">
        <v>15</v>
      </c>
      <c r="B1587" s="4" t="str">
        <f>"FES1162751166"</f>
        <v>FES1162751166</v>
      </c>
      <c r="C1587" s="4" t="s">
        <v>1492</v>
      </c>
      <c r="D1587" s="4">
        <v>1</v>
      </c>
      <c r="E1587" s="4" t="str">
        <f>"2170741227"</f>
        <v>2170741227</v>
      </c>
      <c r="F1587" s="4" t="s">
        <v>17</v>
      </c>
      <c r="G1587" s="4" t="s">
        <v>18</v>
      </c>
      <c r="H1587" s="4" t="s">
        <v>48</v>
      </c>
      <c r="I1587" s="4" t="s">
        <v>73</v>
      </c>
      <c r="J1587" s="4" t="s">
        <v>247</v>
      </c>
      <c r="K1587" s="4" t="s">
        <v>1572</v>
      </c>
      <c r="L1587" s="5">
        <v>0.42152777777777778</v>
      </c>
      <c r="M1587" s="4" t="s">
        <v>248</v>
      </c>
      <c r="N1587" s="6" t="s">
        <v>23</v>
      </c>
      <c r="O1587" s="4" t="s">
        <v>24</v>
      </c>
    </row>
    <row r="1588" spans="1:15" x14ac:dyDescent="0.25">
      <c r="A1588" s="4" t="s">
        <v>15</v>
      </c>
      <c r="B1588" s="4" t="str">
        <f>"FES1162751194"</f>
        <v>FES1162751194</v>
      </c>
      <c r="C1588" s="4" t="s">
        <v>1492</v>
      </c>
      <c r="D1588" s="4">
        <v>1</v>
      </c>
      <c r="E1588" s="4" t="str">
        <f>"2170741277"</f>
        <v>2170741277</v>
      </c>
      <c r="F1588" s="4" t="s">
        <v>17</v>
      </c>
      <c r="G1588" s="4" t="s">
        <v>18</v>
      </c>
      <c r="H1588" s="4" t="s">
        <v>18</v>
      </c>
      <c r="I1588" s="4" t="s">
        <v>126</v>
      </c>
      <c r="J1588" s="4" t="s">
        <v>1604</v>
      </c>
      <c r="K1588" s="4" t="s">
        <v>1572</v>
      </c>
      <c r="L1588" s="5">
        <v>0.39513888888888887</v>
      </c>
      <c r="M1588" s="4" t="s">
        <v>1640</v>
      </c>
      <c r="N1588" s="6" t="s">
        <v>23</v>
      </c>
      <c r="O1588" s="4" t="s">
        <v>24</v>
      </c>
    </row>
    <row r="1589" spans="1:15" x14ac:dyDescent="0.25">
      <c r="A1589" s="4" t="s">
        <v>15</v>
      </c>
      <c r="B1589" s="4" t="str">
        <f>"FES1162751179"</f>
        <v>FES1162751179</v>
      </c>
      <c r="C1589" s="4" t="s">
        <v>1492</v>
      </c>
      <c r="D1589" s="4">
        <v>1</v>
      </c>
      <c r="E1589" s="4" t="str">
        <f>"21707412533"</f>
        <v>21707412533</v>
      </c>
      <c r="F1589" s="4" t="s">
        <v>17</v>
      </c>
      <c r="G1589" s="4" t="s">
        <v>18</v>
      </c>
      <c r="H1589" s="4" t="s">
        <v>48</v>
      </c>
      <c r="I1589" s="4" t="s">
        <v>49</v>
      </c>
      <c r="J1589" s="4" t="s">
        <v>322</v>
      </c>
      <c r="K1589" s="4" t="s">
        <v>1572</v>
      </c>
      <c r="L1589" s="5">
        <v>0.31458333333333333</v>
      </c>
      <c r="M1589" s="4" t="s">
        <v>1605</v>
      </c>
      <c r="N1589" s="6" t="s">
        <v>23</v>
      </c>
      <c r="O1589" s="4" t="s">
        <v>24</v>
      </c>
    </row>
    <row r="1590" spans="1:15" x14ac:dyDescent="0.25">
      <c r="A1590" s="4" t="s">
        <v>15</v>
      </c>
      <c r="B1590" s="4" t="str">
        <f>"RFES1162741909"</f>
        <v>RFES1162741909</v>
      </c>
      <c r="C1590" s="4" t="s">
        <v>1492</v>
      </c>
      <c r="D1590" s="4">
        <v>1</v>
      </c>
      <c r="E1590" s="4" t="str">
        <f>"2170733165"</f>
        <v>2170733165</v>
      </c>
      <c r="F1590" s="4" t="s">
        <v>17</v>
      </c>
      <c r="G1590" s="4" t="s">
        <v>18</v>
      </c>
      <c r="H1590" s="4" t="s">
        <v>18</v>
      </c>
      <c r="I1590" s="4" t="s">
        <v>29</v>
      </c>
      <c r="J1590" s="4" t="s">
        <v>417</v>
      </c>
      <c r="K1590" s="4" t="s">
        <v>1572</v>
      </c>
      <c r="L1590" s="5">
        <v>0.34375</v>
      </c>
      <c r="M1590" s="4" t="s">
        <v>1639</v>
      </c>
      <c r="N1590" s="6" t="s">
        <v>23</v>
      </c>
      <c r="O1590" s="4" t="s">
        <v>24</v>
      </c>
    </row>
    <row r="1591" spans="1:15" x14ac:dyDescent="0.25">
      <c r="A1591" s="4" t="s">
        <v>15</v>
      </c>
      <c r="B1591" s="4" t="str">
        <f>"FES1162751197"</f>
        <v>FES1162751197</v>
      </c>
      <c r="C1591" s="4" t="s">
        <v>1492</v>
      </c>
      <c r="D1591" s="4">
        <v>1</v>
      </c>
      <c r="E1591" s="4" t="str">
        <f>"2170741281"</f>
        <v>2170741281</v>
      </c>
      <c r="F1591" s="4" t="s">
        <v>17</v>
      </c>
      <c r="G1591" s="4" t="s">
        <v>18</v>
      </c>
      <c r="H1591" s="4" t="s">
        <v>349</v>
      </c>
      <c r="I1591" s="4" t="s">
        <v>350</v>
      </c>
      <c r="J1591" s="4" t="s">
        <v>595</v>
      </c>
      <c r="K1591" s="4" t="s">
        <v>1641</v>
      </c>
      <c r="L1591" s="5">
        <v>0.66111111111111109</v>
      </c>
      <c r="M1591" s="4" t="s">
        <v>595</v>
      </c>
      <c r="N1591" s="6" t="s">
        <v>23</v>
      </c>
      <c r="O1591" s="4" t="s">
        <v>24</v>
      </c>
    </row>
    <row r="1592" spans="1:15" x14ac:dyDescent="0.25">
      <c r="A1592" s="4" t="s">
        <v>15</v>
      </c>
      <c r="B1592" s="4" t="str">
        <f>"FES1162751230"</f>
        <v>FES1162751230</v>
      </c>
      <c r="C1592" s="4" t="s">
        <v>1492</v>
      </c>
      <c r="D1592" s="4">
        <v>1</v>
      </c>
      <c r="E1592" s="4" t="str">
        <f>"2170741324"</f>
        <v>2170741324</v>
      </c>
      <c r="F1592" s="4" t="s">
        <v>17</v>
      </c>
      <c r="G1592" s="4" t="s">
        <v>18</v>
      </c>
      <c r="H1592" s="4" t="s">
        <v>18</v>
      </c>
      <c r="I1592" s="4" t="s">
        <v>29</v>
      </c>
      <c r="J1592" s="4" t="s">
        <v>173</v>
      </c>
      <c r="K1592" s="4" t="s">
        <v>1572</v>
      </c>
      <c r="L1592" s="5">
        <v>0.29166666666666669</v>
      </c>
      <c r="M1592" s="4" t="s">
        <v>174</v>
      </c>
      <c r="N1592" s="6" t="s">
        <v>23</v>
      </c>
      <c r="O1592" s="4" t="s">
        <v>24</v>
      </c>
    </row>
    <row r="1593" spans="1:15" x14ac:dyDescent="0.25">
      <c r="A1593" s="4" t="s">
        <v>15</v>
      </c>
      <c r="B1593" s="4" t="str">
        <f>"FES1162751232"</f>
        <v>FES1162751232</v>
      </c>
      <c r="C1593" s="4" t="s">
        <v>1492</v>
      </c>
      <c r="D1593" s="4">
        <v>1</v>
      </c>
      <c r="E1593" s="4" t="str">
        <f>"2170741222"</f>
        <v>2170741222</v>
      </c>
      <c r="F1593" s="4" t="s">
        <v>17</v>
      </c>
      <c r="G1593" s="4" t="s">
        <v>18</v>
      </c>
      <c r="H1593" s="4" t="s">
        <v>32</v>
      </c>
      <c r="I1593" s="4" t="s">
        <v>33</v>
      </c>
      <c r="J1593" s="4" t="s">
        <v>317</v>
      </c>
      <c r="K1593" s="4" t="s">
        <v>1572</v>
      </c>
      <c r="L1593" s="5">
        <v>0.29166666666666669</v>
      </c>
      <c r="M1593" s="4" t="s">
        <v>1691</v>
      </c>
      <c r="N1593" s="6" t="s">
        <v>23</v>
      </c>
      <c r="O1593" s="4" t="s">
        <v>24</v>
      </c>
    </row>
    <row r="1594" spans="1:15" x14ac:dyDescent="0.25">
      <c r="A1594" s="4" t="s">
        <v>15</v>
      </c>
      <c r="B1594" s="4" t="str">
        <f>"FES1162751157"</f>
        <v>FES1162751157</v>
      </c>
      <c r="C1594" s="4" t="s">
        <v>1492</v>
      </c>
      <c r="D1594" s="4">
        <v>1</v>
      </c>
      <c r="E1594" s="4" t="str">
        <f>"2170740856"</f>
        <v>2170740856</v>
      </c>
      <c r="F1594" s="4" t="s">
        <v>17</v>
      </c>
      <c r="G1594" s="4" t="s">
        <v>18</v>
      </c>
      <c r="H1594" s="4" t="s">
        <v>48</v>
      </c>
      <c r="I1594" s="4" t="s">
        <v>110</v>
      </c>
      <c r="J1594" s="4" t="s">
        <v>111</v>
      </c>
      <c r="K1594" s="4" t="s">
        <v>1572</v>
      </c>
      <c r="L1594" s="5">
        <v>0.29166666666666669</v>
      </c>
      <c r="M1594" s="4" t="s">
        <v>647</v>
      </c>
      <c r="N1594" s="4" t="s">
        <v>23</v>
      </c>
      <c r="O1594" s="4" t="s">
        <v>24</v>
      </c>
    </row>
    <row r="1595" spans="1:15" x14ac:dyDescent="0.25">
      <c r="A1595" s="4" t="s">
        <v>15</v>
      </c>
      <c r="B1595" s="4" t="str">
        <f>"FES1162751178"</f>
        <v>FES1162751178</v>
      </c>
      <c r="C1595" s="4" t="s">
        <v>1492</v>
      </c>
      <c r="D1595" s="4">
        <v>1</v>
      </c>
      <c r="E1595" s="4" t="str">
        <f>"2170741252"</f>
        <v>2170741252</v>
      </c>
      <c r="F1595" s="4" t="s">
        <v>17</v>
      </c>
      <c r="G1595" s="4" t="s">
        <v>18</v>
      </c>
      <c r="H1595" s="4" t="s">
        <v>48</v>
      </c>
      <c r="I1595" s="4" t="s">
        <v>49</v>
      </c>
      <c r="J1595" s="4" t="s">
        <v>322</v>
      </c>
      <c r="K1595" s="4" t="s">
        <v>1572</v>
      </c>
      <c r="L1595" s="5">
        <v>0.31458333333333333</v>
      </c>
      <c r="M1595" s="4" t="s">
        <v>1605</v>
      </c>
      <c r="N1595" s="6" t="s">
        <v>23</v>
      </c>
      <c r="O1595" s="4" t="s">
        <v>24</v>
      </c>
    </row>
    <row r="1596" spans="1:15" x14ac:dyDescent="0.25">
      <c r="A1596" s="4" t="s">
        <v>15</v>
      </c>
      <c r="B1596" s="4" t="str">
        <f>"FES1162751189"</f>
        <v>FES1162751189</v>
      </c>
      <c r="C1596" s="4" t="s">
        <v>1492</v>
      </c>
      <c r="D1596" s="4">
        <v>1</v>
      </c>
      <c r="E1596" s="4" t="str">
        <f>"2170741264"</f>
        <v>2170741264</v>
      </c>
      <c r="F1596" s="4" t="s">
        <v>17</v>
      </c>
      <c r="G1596" s="4" t="s">
        <v>18</v>
      </c>
      <c r="H1596" s="4" t="s">
        <v>18</v>
      </c>
      <c r="I1596" s="4" t="s">
        <v>29</v>
      </c>
      <c r="J1596" s="4" t="s">
        <v>788</v>
      </c>
      <c r="K1596" s="4" t="s">
        <v>1572</v>
      </c>
      <c r="L1596" s="5">
        <v>0.3263888888888889</v>
      </c>
      <c r="M1596" s="4" t="s">
        <v>1642</v>
      </c>
      <c r="N1596" s="6" t="s">
        <v>23</v>
      </c>
      <c r="O1596" s="4" t="s">
        <v>24</v>
      </c>
    </row>
    <row r="1597" spans="1:15" x14ac:dyDescent="0.25">
      <c r="A1597" s="4" t="s">
        <v>15</v>
      </c>
      <c r="B1597" s="4" t="str">
        <f>"FES1162751182"</f>
        <v>FES1162751182</v>
      </c>
      <c r="C1597" s="4" t="s">
        <v>1492</v>
      </c>
      <c r="D1597" s="4">
        <v>1</v>
      </c>
      <c r="E1597" s="4" t="str">
        <f>"2170740918"</f>
        <v>2170740918</v>
      </c>
      <c r="F1597" s="4" t="s">
        <v>17</v>
      </c>
      <c r="G1597" s="4" t="s">
        <v>18</v>
      </c>
      <c r="H1597" s="4" t="s">
        <v>18</v>
      </c>
      <c r="I1597" s="4" t="s">
        <v>29</v>
      </c>
      <c r="J1597" s="4" t="s">
        <v>389</v>
      </c>
      <c r="K1597" s="4" t="s">
        <v>1572</v>
      </c>
      <c r="L1597" s="5">
        <v>0.33333333333333331</v>
      </c>
      <c r="M1597" s="4" t="s">
        <v>1643</v>
      </c>
      <c r="N1597" s="6" t="s">
        <v>23</v>
      </c>
      <c r="O1597" s="4" t="s">
        <v>24</v>
      </c>
    </row>
    <row r="1598" spans="1:15" x14ac:dyDescent="0.25">
      <c r="A1598" s="4" t="s">
        <v>15</v>
      </c>
      <c r="B1598" s="4" t="str">
        <f>"FES1162751164"</f>
        <v>FES1162751164</v>
      </c>
      <c r="C1598" s="4" t="s">
        <v>1492</v>
      </c>
      <c r="D1598" s="4">
        <v>1</v>
      </c>
      <c r="E1598" s="4" t="str">
        <f>"2170741197"</f>
        <v>2170741197</v>
      </c>
      <c r="F1598" s="4" t="s">
        <v>17</v>
      </c>
      <c r="G1598" s="4" t="s">
        <v>18</v>
      </c>
      <c r="H1598" s="4" t="s">
        <v>18</v>
      </c>
      <c r="I1598" s="4" t="s">
        <v>19</v>
      </c>
      <c r="J1598" s="4" t="s">
        <v>20</v>
      </c>
      <c r="K1598" s="4" t="s">
        <v>1572</v>
      </c>
      <c r="L1598" s="5">
        <v>0.34722222222222227</v>
      </c>
      <c r="M1598" s="4" t="s">
        <v>706</v>
      </c>
      <c r="N1598" s="6" t="s">
        <v>23</v>
      </c>
      <c r="O1598" s="4" t="s">
        <v>24</v>
      </c>
    </row>
    <row r="1599" spans="1:15" x14ac:dyDescent="0.25">
      <c r="A1599" s="4" t="s">
        <v>15</v>
      </c>
      <c r="B1599" s="4" t="str">
        <f>"FES1162751158"</f>
        <v>FES1162751158</v>
      </c>
      <c r="C1599" s="4" t="s">
        <v>1492</v>
      </c>
      <c r="D1599" s="4">
        <v>1</v>
      </c>
      <c r="E1599" s="4" t="str">
        <f>"2170740859"</f>
        <v>2170740859</v>
      </c>
      <c r="F1599" s="4" t="s">
        <v>17</v>
      </c>
      <c r="G1599" s="4" t="s">
        <v>18</v>
      </c>
      <c r="H1599" s="4" t="s">
        <v>52</v>
      </c>
      <c r="I1599" s="4" t="s">
        <v>53</v>
      </c>
      <c r="J1599" s="4" t="s">
        <v>280</v>
      </c>
      <c r="K1599" s="4" t="s">
        <v>1572</v>
      </c>
      <c r="L1599" s="5">
        <v>0.37152777777777773</v>
      </c>
      <c r="M1599" s="4" t="s">
        <v>1644</v>
      </c>
      <c r="N1599" s="6" t="s">
        <v>23</v>
      </c>
      <c r="O1599" s="4" t="s">
        <v>24</v>
      </c>
    </row>
    <row r="1600" spans="1:15" x14ac:dyDescent="0.25">
      <c r="A1600" s="4" t="s">
        <v>15</v>
      </c>
      <c r="B1600" s="4" t="str">
        <f>"FES1162751162"</f>
        <v>FES1162751162</v>
      </c>
      <c r="C1600" s="4" t="s">
        <v>1492</v>
      </c>
      <c r="D1600" s="4">
        <v>1</v>
      </c>
      <c r="E1600" s="4" t="str">
        <f>"2170741056"</f>
        <v>2170741056</v>
      </c>
      <c r="F1600" s="4" t="s">
        <v>17</v>
      </c>
      <c r="G1600" s="4" t="s">
        <v>18</v>
      </c>
      <c r="H1600" s="4" t="s">
        <v>18</v>
      </c>
      <c r="I1600" s="4" t="s">
        <v>68</v>
      </c>
      <c r="J1600" s="4" t="s">
        <v>594</v>
      </c>
      <c r="K1600" s="4" t="s">
        <v>1572</v>
      </c>
      <c r="L1600" s="5">
        <v>0.41666666666666669</v>
      </c>
      <c r="M1600" s="4" t="s">
        <v>704</v>
      </c>
      <c r="N1600" s="6" t="s">
        <v>23</v>
      </c>
      <c r="O1600" s="4" t="s">
        <v>24</v>
      </c>
    </row>
    <row r="1601" spans="1:15" x14ac:dyDescent="0.25">
      <c r="A1601" s="15" t="s">
        <v>15</v>
      </c>
      <c r="B1601" s="15" t="str">
        <f>"FES1162751170"</f>
        <v>FES1162751170</v>
      </c>
      <c r="C1601" s="15" t="s">
        <v>1492</v>
      </c>
      <c r="D1601" s="15">
        <v>1</v>
      </c>
      <c r="E1601" s="15" t="str">
        <f>"2170741249"</f>
        <v>2170741249</v>
      </c>
      <c r="F1601" s="15" t="s">
        <v>17</v>
      </c>
      <c r="G1601" s="15" t="s">
        <v>18</v>
      </c>
      <c r="H1601" s="15" t="s">
        <v>48</v>
      </c>
      <c r="I1601" s="15" t="s">
        <v>366</v>
      </c>
      <c r="J1601" s="15" t="s">
        <v>795</v>
      </c>
      <c r="K1601" s="15" t="s">
        <v>43</v>
      </c>
      <c r="L1601" s="15"/>
      <c r="M1601" s="15" t="s">
        <v>44</v>
      </c>
      <c r="N1601" s="15" t="s">
        <v>419</v>
      </c>
      <c r="O1601" s="15" t="s">
        <v>24</v>
      </c>
    </row>
    <row r="1602" spans="1:15" x14ac:dyDescent="0.25">
      <c r="A1602" s="4" t="s">
        <v>15</v>
      </c>
      <c r="B1602" s="4" t="str">
        <f>"FES1162751186"</f>
        <v>FES1162751186</v>
      </c>
      <c r="C1602" s="4" t="s">
        <v>1492</v>
      </c>
      <c r="D1602" s="4">
        <v>1</v>
      </c>
      <c r="E1602" s="4" t="str">
        <f>"2170741213"</f>
        <v>2170741213</v>
      </c>
      <c r="F1602" s="4" t="s">
        <v>17</v>
      </c>
      <c r="G1602" s="4" t="s">
        <v>18</v>
      </c>
      <c r="H1602" s="4" t="s">
        <v>32</v>
      </c>
      <c r="I1602" s="4" t="s">
        <v>33</v>
      </c>
      <c r="J1602" s="4" t="s">
        <v>891</v>
      </c>
      <c r="K1602" s="4" t="s">
        <v>1572</v>
      </c>
      <c r="L1602" s="5">
        <v>0.40625</v>
      </c>
      <c r="M1602" s="4" t="s">
        <v>1645</v>
      </c>
      <c r="N1602" s="6" t="s">
        <v>23</v>
      </c>
      <c r="O1602" s="4" t="s">
        <v>24</v>
      </c>
    </row>
    <row r="1603" spans="1:15" x14ac:dyDescent="0.25">
      <c r="A1603" s="4" t="s">
        <v>15</v>
      </c>
      <c r="B1603" s="4" t="str">
        <f>"RFES1162748475"</f>
        <v>RFES1162748475</v>
      </c>
      <c r="C1603" s="4" t="s">
        <v>1492</v>
      </c>
      <c r="D1603" s="4">
        <v>1</v>
      </c>
      <c r="E1603" s="4" t="str">
        <f>"2170738952"</f>
        <v>2170738952</v>
      </c>
      <c r="F1603" s="4" t="s">
        <v>17</v>
      </c>
      <c r="G1603" s="4" t="s">
        <v>18</v>
      </c>
      <c r="H1603" s="4" t="s">
        <v>18</v>
      </c>
      <c r="I1603" s="4" t="s">
        <v>29</v>
      </c>
      <c r="J1603" s="4" t="s">
        <v>417</v>
      </c>
      <c r="K1603" s="4" t="s">
        <v>1572</v>
      </c>
      <c r="L1603" s="5">
        <v>0.34513888888888888</v>
      </c>
      <c r="M1603" s="4" t="s">
        <v>1639</v>
      </c>
      <c r="N1603" s="6" t="s">
        <v>23</v>
      </c>
      <c r="O1603" s="4" t="s">
        <v>24</v>
      </c>
    </row>
    <row r="1604" spans="1:15" x14ac:dyDescent="0.25">
      <c r="A1604" s="4" t="s">
        <v>15</v>
      </c>
      <c r="B1604" s="4" t="str">
        <f>"FES1162751196"</f>
        <v>FES1162751196</v>
      </c>
      <c r="C1604" s="4" t="s">
        <v>1492</v>
      </c>
      <c r="D1604" s="4">
        <v>1</v>
      </c>
      <c r="E1604" s="4" t="str">
        <f>"2170741279"</f>
        <v>2170741279</v>
      </c>
      <c r="F1604" s="4" t="s">
        <v>17</v>
      </c>
      <c r="G1604" s="4" t="s">
        <v>18</v>
      </c>
      <c r="H1604" s="4" t="s">
        <v>48</v>
      </c>
      <c r="I1604" s="4" t="s">
        <v>108</v>
      </c>
      <c r="J1604" s="4" t="s">
        <v>109</v>
      </c>
      <c r="K1604" s="4" t="s">
        <v>1572</v>
      </c>
      <c r="L1604" s="5">
        <v>0.41666666666666669</v>
      </c>
      <c r="M1604" s="4" t="s">
        <v>946</v>
      </c>
      <c r="N1604" s="6" t="s">
        <v>23</v>
      </c>
      <c r="O1604" s="4" t="s">
        <v>24</v>
      </c>
    </row>
    <row r="1605" spans="1:15" x14ac:dyDescent="0.25">
      <c r="A1605" s="4" t="s">
        <v>15</v>
      </c>
      <c r="B1605" s="4" t="str">
        <f>"FES1162751212"</f>
        <v>FES1162751212</v>
      </c>
      <c r="C1605" s="4" t="s">
        <v>1492</v>
      </c>
      <c r="D1605" s="4">
        <v>1</v>
      </c>
      <c r="E1605" s="4" t="str">
        <f>"2170741304"</f>
        <v>2170741304</v>
      </c>
      <c r="F1605" s="4" t="s">
        <v>17</v>
      </c>
      <c r="G1605" s="4" t="s">
        <v>18</v>
      </c>
      <c r="H1605" s="4" t="s">
        <v>326</v>
      </c>
      <c r="I1605" s="4" t="s">
        <v>332</v>
      </c>
      <c r="J1605" s="4" t="s">
        <v>333</v>
      </c>
      <c r="K1605" s="4" t="s">
        <v>1572</v>
      </c>
      <c r="L1605" s="5">
        <v>0.4284722222222222</v>
      </c>
      <c r="M1605" s="4" t="s">
        <v>1484</v>
      </c>
      <c r="N1605" s="6" t="s">
        <v>23</v>
      </c>
      <c r="O1605" s="4" t="s">
        <v>24</v>
      </c>
    </row>
    <row r="1606" spans="1:15" x14ac:dyDescent="0.25">
      <c r="A1606" s="4" t="s">
        <v>15</v>
      </c>
      <c r="B1606" s="4" t="str">
        <f>"FES1162751187"</f>
        <v>FES1162751187</v>
      </c>
      <c r="C1606" s="4" t="s">
        <v>1492</v>
      </c>
      <c r="D1606" s="4">
        <v>1</v>
      </c>
      <c r="E1606" s="4" t="str">
        <f>"2170741238"</f>
        <v>2170741238</v>
      </c>
      <c r="F1606" s="4" t="s">
        <v>17</v>
      </c>
      <c r="G1606" s="4" t="s">
        <v>18</v>
      </c>
      <c r="H1606" s="4" t="s">
        <v>18</v>
      </c>
      <c r="I1606" s="4" t="s">
        <v>29</v>
      </c>
      <c r="J1606" s="4" t="s">
        <v>30</v>
      </c>
      <c r="K1606" s="4" t="s">
        <v>1572</v>
      </c>
      <c r="L1606" s="5">
        <v>0.41666666666666669</v>
      </c>
      <c r="M1606" s="4" t="s">
        <v>1436</v>
      </c>
      <c r="N1606" s="6" t="s">
        <v>23</v>
      </c>
      <c r="O1606" s="4" t="s">
        <v>24</v>
      </c>
    </row>
    <row r="1607" spans="1:15" x14ac:dyDescent="0.25">
      <c r="A1607" s="4" t="s">
        <v>15</v>
      </c>
      <c r="B1607" s="4" t="str">
        <f>"FES1162751169"</f>
        <v>FES1162751169</v>
      </c>
      <c r="C1607" s="4" t="s">
        <v>1492</v>
      </c>
      <c r="D1607" s="4">
        <v>1</v>
      </c>
      <c r="E1607" s="4" t="str">
        <f>"2170741247"</f>
        <v>2170741247</v>
      </c>
      <c r="F1607" s="4" t="s">
        <v>17</v>
      </c>
      <c r="G1607" s="4" t="s">
        <v>18</v>
      </c>
      <c r="H1607" s="4" t="s">
        <v>48</v>
      </c>
      <c r="I1607" s="4" t="s">
        <v>108</v>
      </c>
      <c r="J1607" s="4" t="s">
        <v>109</v>
      </c>
      <c r="K1607" s="4" t="s">
        <v>1572</v>
      </c>
      <c r="L1607" s="5">
        <v>0.41666666666666669</v>
      </c>
      <c r="M1607" s="4" t="s">
        <v>946</v>
      </c>
      <c r="N1607" s="6" t="s">
        <v>23</v>
      </c>
      <c r="O1607" s="4" t="s">
        <v>24</v>
      </c>
    </row>
    <row r="1608" spans="1:15" x14ac:dyDescent="0.25">
      <c r="A1608" s="4" t="s">
        <v>15</v>
      </c>
      <c r="B1608" s="4" t="str">
        <f>"FES1162751151"</f>
        <v>FES1162751151</v>
      </c>
      <c r="C1608" s="4" t="s">
        <v>1492</v>
      </c>
      <c r="D1608" s="4">
        <v>1</v>
      </c>
      <c r="E1608" s="4" t="str">
        <f>"2170740020"</f>
        <v>2170740020</v>
      </c>
      <c r="F1608" s="4" t="s">
        <v>17</v>
      </c>
      <c r="G1608" s="4" t="s">
        <v>18</v>
      </c>
      <c r="H1608" s="4" t="s">
        <v>18</v>
      </c>
      <c r="I1608" s="4" t="s">
        <v>126</v>
      </c>
      <c r="J1608" s="4" t="s">
        <v>590</v>
      </c>
      <c r="K1608" s="4" t="s">
        <v>1572</v>
      </c>
      <c r="L1608" s="5">
        <v>0.41666666666666669</v>
      </c>
      <c r="M1608" s="4" t="s">
        <v>1690</v>
      </c>
      <c r="N1608" s="6" t="s">
        <v>23</v>
      </c>
      <c r="O1608" s="4" t="s">
        <v>24</v>
      </c>
    </row>
    <row r="1609" spans="1:15" x14ac:dyDescent="0.25">
      <c r="A1609" s="4" t="s">
        <v>15</v>
      </c>
      <c r="B1609" s="4" t="str">
        <f>"FES1162751149"</f>
        <v>FES1162751149</v>
      </c>
      <c r="C1609" s="4" t="s">
        <v>1492</v>
      </c>
      <c r="D1609" s="4">
        <v>1</v>
      </c>
      <c r="E1609" s="4" t="str">
        <f>"2170738855"</f>
        <v>2170738855</v>
      </c>
      <c r="F1609" s="4" t="s">
        <v>17</v>
      </c>
      <c r="G1609" s="4" t="s">
        <v>18</v>
      </c>
      <c r="H1609" s="4" t="s">
        <v>52</v>
      </c>
      <c r="I1609" s="4" t="s">
        <v>53</v>
      </c>
      <c r="J1609" s="4" t="s">
        <v>56</v>
      </c>
      <c r="K1609" s="4" t="s">
        <v>1572</v>
      </c>
      <c r="L1609" s="5">
        <v>0.43402777777777773</v>
      </c>
      <c r="M1609" s="4" t="s">
        <v>715</v>
      </c>
      <c r="N1609" s="6" t="s">
        <v>23</v>
      </c>
      <c r="O1609" s="4" t="s">
        <v>24</v>
      </c>
    </row>
    <row r="1610" spans="1:15" x14ac:dyDescent="0.25">
      <c r="A1610" s="4" t="s">
        <v>15</v>
      </c>
      <c r="B1610" s="4" t="str">
        <f>"FES1162751175"</f>
        <v>FES1162751175</v>
      </c>
      <c r="C1610" s="4" t="s">
        <v>1492</v>
      </c>
      <c r="D1610" s="4">
        <v>1</v>
      </c>
      <c r="E1610" s="4" t="str">
        <f>"2170741260"</f>
        <v>2170741260</v>
      </c>
      <c r="F1610" s="4" t="s">
        <v>17</v>
      </c>
      <c r="G1610" s="4" t="s">
        <v>18</v>
      </c>
      <c r="H1610" s="4" t="s">
        <v>25</v>
      </c>
      <c r="I1610" s="4" t="s">
        <v>92</v>
      </c>
      <c r="J1610" s="4" t="s">
        <v>1606</v>
      </c>
      <c r="K1610" s="4" t="s">
        <v>1572</v>
      </c>
      <c r="L1610" s="5">
        <v>0.34722222222222227</v>
      </c>
      <c r="M1610" s="4" t="s">
        <v>1646</v>
      </c>
      <c r="N1610" s="6" t="s">
        <v>23</v>
      </c>
      <c r="O1610" s="4" t="s">
        <v>24</v>
      </c>
    </row>
    <row r="1611" spans="1:15" x14ac:dyDescent="0.25">
      <c r="A1611" s="4" t="s">
        <v>15</v>
      </c>
      <c r="B1611" s="4" t="str">
        <f>"FES1162751161"</f>
        <v>FES1162751161</v>
      </c>
      <c r="C1611" s="4" t="s">
        <v>1492</v>
      </c>
      <c r="D1611" s="4">
        <v>1</v>
      </c>
      <c r="E1611" s="4" t="str">
        <f>"2170741052"</f>
        <v>2170741052</v>
      </c>
      <c r="F1611" s="4" t="s">
        <v>17</v>
      </c>
      <c r="G1611" s="4" t="s">
        <v>18</v>
      </c>
      <c r="H1611" s="4" t="s">
        <v>85</v>
      </c>
      <c r="I1611" s="4" t="s">
        <v>207</v>
      </c>
      <c r="J1611" s="4" t="s">
        <v>245</v>
      </c>
      <c r="K1611" s="4" t="s">
        <v>1572</v>
      </c>
      <c r="L1611" s="5">
        <v>0.3444444444444445</v>
      </c>
      <c r="M1611" s="4" t="s">
        <v>1323</v>
      </c>
      <c r="N1611" s="6" t="s">
        <v>23</v>
      </c>
      <c r="O1611" s="4" t="s">
        <v>24</v>
      </c>
    </row>
    <row r="1612" spans="1:15" x14ac:dyDescent="0.25">
      <c r="A1612" s="4" t="s">
        <v>15</v>
      </c>
      <c r="B1612" s="4" t="str">
        <f>"FES1162751167"</f>
        <v>FES1162751167</v>
      </c>
      <c r="C1612" s="4" t="s">
        <v>1492</v>
      </c>
      <c r="D1612" s="4">
        <v>1</v>
      </c>
      <c r="E1612" s="4" t="str">
        <f>"2170741243"</f>
        <v>2170741243</v>
      </c>
      <c r="F1612" s="4" t="s">
        <v>17</v>
      </c>
      <c r="G1612" s="4" t="s">
        <v>18</v>
      </c>
      <c r="H1612" s="4" t="s">
        <v>85</v>
      </c>
      <c r="I1612" s="4" t="s">
        <v>207</v>
      </c>
      <c r="J1612" s="4" t="s">
        <v>633</v>
      </c>
      <c r="K1612" s="4" t="s">
        <v>1572</v>
      </c>
      <c r="L1612" s="5">
        <v>0.32222222222222224</v>
      </c>
      <c r="M1612" s="4" t="s">
        <v>752</v>
      </c>
      <c r="N1612" s="6" t="s">
        <v>23</v>
      </c>
      <c r="O1612" s="4" t="s">
        <v>24</v>
      </c>
    </row>
    <row r="1613" spans="1:15" x14ac:dyDescent="0.25">
      <c r="A1613" s="4" t="s">
        <v>15</v>
      </c>
      <c r="B1613" s="4" t="str">
        <f>"FES1162751148"</f>
        <v>FES1162751148</v>
      </c>
      <c r="C1613" s="4" t="s">
        <v>1492</v>
      </c>
      <c r="D1613" s="4">
        <v>1</v>
      </c>
      <c r="E1613" s="4" t="str">
        <f>"2170730726"</f>
        <v>2170730726</v>
      </c>
      <c r="F1613" s="4" t="s">
        <v>17</v>
      </c>
      <c r="G1613" s="4" t="s">
        <v>18</v>
      </c>
      <c r="H1613" s="4" t="s">
        <v>32</v>
      </c>
      <c r="I1613" s="4" t="s">
        <v>106</v>
      </c>
      <c r="J1613" s="4" t="s">
        <v>763</v>
      </c>
      <c r="K1613" s="4" t="s">
        <v>1572</v>
      </c>
      <c r="L1613" s="5">
        <v>0.32222222222222224</v>
      </c>
      <c r="M1613" s="4" t="s">
        <v>1689</v>
      </c>
      <c r="N1613" s="6" t="s">
        <v>23</v>
      </c>
      <c r="O1613" s="4" t="s">
        <v>24</v>
      </c>
    </row>
    <row r="1614" spans="1:15" x14ac:dyDescent="0.25">
      <c r="A1614" s="4" t="s">
        <v>15</v>
      </c>
      <c r="B1614" s="4" t="str">
        <f>"FES1162751192"</f>
        <v>FES1162751192</v>
      </c>
      <c r="C1614" s="4" t="s">
        <v>1492</v>
      </c>
      <c r="D1614" s="4">
        <v>1</v>
      </c>
      <c r="E1614" s="4" t="str">
        <f>"2170741275"</f>
        <v>2170741275</v>
      </c>
      <c r="F1614" s="4" t="s">
        <v>17</v>
      </c>
      <c r="G1614" s="4" t="s">
        <v>18</v>
      </c>
      <c r="H1614" s="4" t="s">
        <v>48</v>
      </c>
      <c r="I1614" s="4" t="s">
        <v>49</v>
      </c>
      <c r="J1614" s="4" t="s">
        <v>100</v>
      </c>
      <c r="K1614" s="4" t="s">
        <v>1572</v>
      </c>
      <c r="L1614" s="5">
        <v>0.33749999999999997</v>
      </c>
      <c r="M1614" s="4" t="s">
        <v>341</v>
      </c>
      <c r="N1614" s="6" t="s">
        <v>23</v>
      </c>
      <c r="O1614" s="4" t="s">
        <v>24</v>
      </c>
    </row>
    <row r="1615" spans="1:15" x14ac:dyDescent="0.25">
      <c r="A1615" s="4" t="s">
        <v>15</v>
      </c>
      <c r="B1615" s="4" t="str">
        <f>"FES1162751195"</f>
        <v>FES1162751195</v>
      </c>
      <c r="C1615" s="4" t="s">
        <v>1492</v>
      </c>
      <c r="D1615" s="4">
        <v>1</v>
      </c>
      <c r="E1615" s="4" t="str">
        <f>"2170741278"</f>
        <v>2170741278</v>
      </c>
      <c r="F1615" s="4" t="s">
        <v>17</v>
      </c>
      <c r="G1615" s="4" t="s">
        <v>18</v>
      </c>
      <c r="H1615" s="4" t="s">
        <v>48</v>
      </c>
      <c r="I1615" s="4" t="s">
        <v>108</v>
      </c>
      <c r="J1615" s="4" t="s">
        <v>109</v>
      </c>
      <c r="K1615" s="4" t="s">
        <v>1572</v>
      </c>
      <c r="L1615" s="5">
        <v>0.41666666666666669</v>
      </c>
      <c r="M1615" s="4" t="s">
        <v>946</v>
      </c>
      <c r="N1615" s="6" t="s">
        <v>23</v>
      </c>
      <c r="O1615" s="4" t="s">
        <v>24</v>
      </c>
    </row>
    <row r="1616" spans="1:15" x14ac:dyDescent="0.25">
      <c r="A1616" s="4" t="s">
        <v>15</v>
      </c>
      <c r="B1616" s="4" t="str">
        <f>"FES1162751155"</f>
        <v>FES1162751155</v>
      </c>
      <c r="C1616" s="4" t="s">
        <v>1492</v>
      </c>
      <c r="D1616" s="4">
        <v>1</v>
      </c>
      <c r="E1616" s="4" t="str">
        <f>"2170740600"</f>
        <v>2170740600</v>
      </c>
      <c r="F1616" s="4" t="s">
        <v>17</v>
      </c>
      <c r="G1616" s="4" t="s">
        <v>18</v>
      </c>
      <c r="H1616" s="4" t="s">
        <v>25</v>
      </c>
      <c r="I1616" s="4" t="s">
        <v>26</v>
      </c>
      <c r="J1616" s="4" t="s">
        <v>287</v>
      </c>
      <c r="K1616" s="4" t="s">
        <v>1572</v>
      </c>
      <c r="L1616" s="5">
        <v>0.40972222222222227</v>
      </c>
      <c r="M1616" s="4" t="s">
        <v>1317</v>
      </c>
      <c r="N1616" s="6" t="s">
        <v>23</v>
      </c>
      <c r="O1616" s="4" t="s">
        <v>24</v>
      </c>
    </row>
    <row r="1617" spans="1:15" x14ac:dyDescent="0.25">
      <c r="A1617" s="4" t="s">
        <v>15</v>
      </c>
      <c r="B1617" s="4" t="str">
        <f>"FES1162751173"</f>
        <v>FES1162751173</v>
      </c>
      <c r="C1617" s="4" t="s">
        <v>1492</v>
      </c>
      <c r="D1617" s="4">
        <v>1</v>
      </c>
      <c r="E1617" s="4" t="str">
        <f>"2170741258"</f>
        <v>2170741258</v>
      </c>
      <c r="F1617" s="4" t="s">
        <v>17</v>
      </c>
      <c r="G1617" s="4" t="s">
        <v>18</v>
      </c>
      <c r="H1617" s="4" t="s">
        <v>85</v>
      </c>
      <c r="I1617" s="4" t="s">
        <v>144</v>
      </c>
      <c r="J1617" s="4" t="s">
        <v>1219</v>
      </c>
      <c r="K1617" s="4" t="s">
        <v>1572</v>
      </c>
      <c r="L1617" s="5">
        <v>0.41736111111111113</v>
      </c>
      <c r="M1617" s="4" t="s">
        <v>1335</v>
      </c>
      <c r="N1617" s="6" t="s">
        <v>23</v>
      </c>
      <c r="O1617" s="4" t="s">
        <v>24</v>
      </c>
    </row>
    <row r="1618" spans="1:15" x14ac:dyDescent="0.25">
      <c r="A1618" s="4" t="s">
        <v>15</v>
      </c>
      <c r="B1618" s="4" t="str">
        <f>"FES1162751185"</f>
        <v>FES1162751185</v>
      </c>
      <c r="C1618" s="4" t="s">
        <v>1492</v>
      </c>
      <c r="D1618" s="4">
        <v>1</v>
      </c>
      <c r="E1618" s="4" t="str">
        <f>"2170741211"</f>
        <v>2170741211</v>
      </c>
      <c r="F1618" s="4" t="s">
        <v>17</v>
      </c>
      <c r="G1618" s="4" t="s">
        <v>18</v>
      </c>
      <c r="H1618" s="4" t="s">
        <v>85</v>
      </c>
      <c r="I1618" s="4" t="s">
        <v>144</v>
      </c>
      <c r="J1618" s="4" t="s">
        <v>361</v>
      </c>
      <c r="K1618" s="4" t="s">
        <v>1572</v>
      </c>
      <c r="L1618" s="5">
        <v>0.58750000000000002</v>
      </c>
      <c r="M1618" s="4" t="s">
        <v>1647</v>
      </c>
      <c r="N1618" s="6" t="s">
        <v>23</v>
      </c>
      <c r="O1618" s="4" t="s">
        <v>24</v>
      </c>
    </row>
    <row r="1619" spans="1:15" x14ac:dyDescent="0.25">
      <c r="A1619" s="4" t="s">
        <v>15</v>
      </c>
      <c r="B1619" s="4" t="str">
        <f>"FES1162751156"</f>
        <v>FES1162751156</v>
      </c>
      <c r="C1619" s="4" t="s">
        <v>1492</v>
      </c>
      <c r="D1619" s="4">
        <v>1</v>
      </c>
      <c r="E1619" s="4" t="str">
        <f>"2170740770"</f>
        <v>2170740770</v>
      </c>
      <c r="F1619" s="4" t="s">
        <v>17</v>
      </c>
      <c r="G1619" s="4" t="s">
        <v>18</v>
      </c>
      <c r="H1619" s="4" t="s">
        <v>85</v>
      </c>
      <c r="I1619" s="4" t="s">
        <v>144</v>
      </c>
      <c r="J1619" s="4" t="s">
        <v>360</v>
      </c>
      <c r="K1619" s="4" t="s">
        <v>1572</v>
      </c>
      <c r="L1619" s="5">
        <v>0.41666666666666669</v>
      </c>
      <c r="M1619" s="4" t="s">
        <v>496</v>
      </c>
      <c r="N1619" s="6" t="s">
        <v>23</v>
      </c>
      <c r="O1619" s="4" t="s">
        <v>24</v>
      </c>
    </row>
    <row r="1620" spans="1:15" x14ac:dyDescent="0.25">
      <c r="A1620" s="4" t="s">
        <v>15</v>
      </c>
      <c r="B1620" s="4" t="str">
        <f>"FES1162751163"</f>
        <v>FES1162751163</v>
      </c>
      <c r="C1620" s="4" t="s">
        <v>1492</v>
      </c>
      <c r="D1620" s="4">
        <v>1</v>
      </c>
      <c r="E1620" s="4" t="str">
        <f>"2170741068"</f>
        <v>2170741068</v>
      </c>
      <c r="F1620" s="4" t="s">
        <v>17</v>
      </c>
      <c r="G1620" s="4" t="s">
        <v>18</v>
      </c>
      <c r="H1620" s="4" t="s">
        <v>25</v>
      </c>
      <c r="I1620" s="4" t="s">
        <v>26</v>
      </c>
      <c r="J1620" s="4" t="s">
        <v>287</v>
      </c>
      <c r="K1620" s="4" t="s">
        <v>1572</v>
      </c>
      <c r="L1620" s="5">
        <v>0.40972222222222227</v>
      </c>
      <c r="M1620" s="4" t="s">
        <v>1317</v>
      </c>
      <c r="N1620" s="6" t="s">
        <v>23</v>
      </c>
      <c r="O1620" s="4" t="s">
        <v>24</v>
      </c>
    </row>
    <row r="1621" spans="1:15" x14ac:dyDescent="0.25">
      <c r="A1621" s="4" t="s">
        <v>15</v>
      </c>
      <c r="B1621" s="4" t="str">
        <f>"FES1162751236"</f>
        <v>FES1162751236</v>
      </c>
      <c r="C1621" s="4" t="s">
        <v>1492</v>
      </c>
      <c r="D1621" s="4">
        <v>1</v>
      </c>
      <c r="E1621" s="4" t="str">
        <f>"2170741331"</f>
        <v>2170741331</v>
      </c>
      <c r="F1621" s="4" t="s">
        <v>17</v>
      </c>
      <c r="G1621" s="4" t="s">
        <v>18</v>
      </c>
      <c r="H1621" s="4" t="s">
        <v>776</v>
      </c>
      <c r="I1621" s="4" t="s">
        <v>1607</v>
      </c>
      <c r="J1621" s="4" t="s">
        <v>1608</v>
      </c>
      <c r="K1621" s="4" t="s">
        <v>1572</v>
      </c>
      <c r="L1621" s="5">
        <v>0.3923611111111111</v>
      </c>
      <c r="M1621" s="4" t="s">
        <v>1648</v>
      </c>
      <c r="N1621" s="6" t="s">
        <v>23</v>
      </c>
      <c r="O1621" s="4" t="s">
        <v>24</v>
      </c>
    </row>
    <row r="1622" spans="1:15" x14ac:dyDescent="0.25">
      <c r="A1622" s="4" t="s">
        <v>15</v>
      </c>
      <c r="B1622" s="4" t="str">
        <f>"FES1162751205"</f>
        <v>FES1162751205</v>
      </c>
      <c r="C1622" s="4" t="s">
        <v>1492</v>
      </c>
      <c r="D1622" s="4">
        <v>1</v>
      </c>
      <c r="E1622" s="4" t="str">
        <f>"21704128 9"</f>
        <v>21704128 9</v>
      </c>
      <c r="F1622" s="4" t="s">
        <v>17</v>
      </c>
      <c r="G1622" s="4" t="s">
        <v>18</v>
      </c>
      <c r="H1622" s="4" t="s">
        <v>85</v>
      </c>
      <c r="I1622" s="4" t="s">
        <v>207</v>
      </c>
      <c r="J1622" s="4" t="s">
        <v>1609</v>
      </c>
      <c r="K1622" s="4" t="s">
        <v>1572</v>
      </c>
      <c r="L1622" s="5">
        <v>0.42291666666666666</v>
      </c>
      <c r="M1622" s="4" t="s">
        <v>1649</v>
      </c>
      <c r="N1622" s="6" t="s">
        <v>23</v>
      </c>
      <c r="O1622" s="4" t="s">
        <v>24</v>
      </c>
    </row>
    <row r="1623" spans="1:15" x14ac:dyDescent="0.25">
      <c r="A1623" s="4" t="s">
        <v>15</v>
      </c>
      <c r="B1623" s="4" t="str">
        <f>"FES1162751209"</f>
        <v>FES1162751209</v>
      </c>
      <c r="C1623" s="4" t="s">
        <v>1492</v>
      </c>
      <c r="D1623" s="4">
        <v>1</v>
      </c>
      <c r="E1623" s="4" t="str">
        <f>"2170741301"</f>
        <v>2170741301</v>
      </c>
      <c r="F1623" s="4" t="s">
        <v>17</v>
      </c>
      <c r="G1623" s="4" t="s">
        <v>18</v>
      </c>
      <c r="H1623" s="4" t="s">
        <v>40</v>
      </c>
      <c r="I1623" s="4" t="s">
        <v>41</v>
      </c>
      <c r="J1623" s="4" t="s">
        <v>359</v>
      </c>
      <c r="K1623" s="4" t="s">
        <v>1572</v>
      </c>
      <c r="L1623" s="5">
        <v>0.41666666666666669</v>
      </c>
      <c r="M1623" s="4" t="s">
        <v>1650</v>
      </c>
      <c r="N1623" s="6" t="s">
        <v>23</v>
      </c>
      <c r="O1623" s="4" t="s">
        <v>24</v>
      </c>
    </row>
    <row r="1624" spans="1:15" x14ac:dyDescent="0.25">
      <c r="A1624" s="4" t="s">
        <v>15</v>
      </c>
      <c r="B1624" s="4" t="str">
        <f>"FES1162751193"</f>
        <v>FES1162751193</v>
      </c>
      <c r="C1624" s="4" t="s">
        <v>1492</v>
      </c>
      <c r="D1624" s="4">
        <v>1</v>
      </c>
      <c r="E1624" s="4" t="str">
        <f>"2170741276"</f>
        <v>2170741276</v>
      </c>
      <c r="F1624" s="4" t="s">
        <v>17</v>
      </c>
      <c r="G1624" s="4" t="s">
        <v>18</v>
      </c>
      <c r="H1624" s="4" t="s">
        <v>85</v>
      </c>
      <c r="I1624" s="4" t="s">
        <v>207</v>
      </c>
      <c r="J1624" s="4" t="s">
        <v>1081</v>
      </c>
      <c r="K1624" s="4" t="s">
        <v>1572</v>
      </c>
      <c r="L1624" s="5">
        <v>0.41736111111111113</v>
      </c>
      <c r="M1624" s="4" t="s">
        <v>1651</v>
      </c>
      <c r="N1624" s="6" t="s">
        <v>23</v>
      </c>
      <c r="O1624" s="4" t="s">
        <v>24</v>
      </c>
    </row>
    <row r="1625" spans="1:15" x14ac:dyDescent="0.25">
      <c r="A1625" s="4" t="s">
        <v>15</v>
      </c>
      <c r="B1625" s="4" t="str">
        <f>"FES1162751174"</f>
        <v>FES1162751174</v>
      </c>
      <c r="C1625" s="4" t="s">
        <v>1492</v>
      </c>
      <c r="D1625" s="4">
        <v>1</v>
      </c>
      <c r="E1625" s="4" t="str">
        <f>"2170741259"</f>
        <v>2170741259</v>
      </c>
      <c r="F1625" s="4" t="s">
        <v>17</v>
      </c>
      <c r="G1625" s="4" t="s">
        <v>18</v>
      </c>
      <c r="H1625" s="4" t="s">
        <v>32</v>
      </c>
      <c r="I1625" s="4" t="s">
        <v>33</v>
      </c>
      <c r="J1625" s="4" t="s">
        <v>1610</v>
      </c>
      <c r="K1625" s="4" t="s">
        <v>1572</v>
      </c>
      <c r="L1625" s="5">
        <v>0.41736111111111113</v>
      </c>
      <c r="M1625" s="4" t="s">
        <v>1688</v>
      </c>
      <c r="N1625" s="6" t="s">
        <v>23</v>
      </c>
      <c r="O1625" s="4" t="s">
        <v>24</v>
      </c>
    </row>
    <row r="1626" spans="1:15" x14ac:dyDescent="0.25">
      <c r="A1626" s="4" t="s">
        <v>15</v>
      </c>
      <c r="B1626" s="4" t="str">
        <f>"FES1162751154"</f>
        <v>FES1162751154</v>
      </c>
      <c r="C1626" s="4" t="s">
        <v>1492</v>
      </c>
      <c r="D1626" s="4">
        <v>1</v>
      </c>
      <c r="E1626" s="4" t="str">
        <f>"2170740331"</f>
        <v>2170740331</v>
      </c>
      <c r="F1626" s="4" t="s">
        <v>17</v>
      </c>
      <c r="G1626" s="4" t="s">
        <v>18</v>
      </c>
      <c r="H1626" s="4" t="s">
        <v>1163</v>
      </c>
      <c r="I1626" s="4" t="s">
        <v>29</v>
      </c>
      <c r="J1626" s="4" t="s">
        <v>1611</v>
      </c>
      <c r="K1626" s="4" t="s">
        <v>1572</v>
      </c>
      <c r="L1626" s="5">
        <v>0.43472222222222223</v>
      </c>
      <c r="M1626" s="4" t="s">
        <v>170</v>
      </c>
      <c r="N1626" s="6" t="s">
        <v>23</v>
      </c>
      <c r="O1626" s="4" t="s">
        <v>24</v>
      </c>
    </row>
    <row r="1627" spans="1:15" x14ac:dyDescent="0.25">
      <c r="A1627" s="4" t="s">
        <v>15</v>
      </c>
      <c r="B1627" s="4" t="str">
        <f>"FES1162751184"</f>
        <v>FES1162751184</v>
      </c>
      <c r="C1627" s="4" t="s">
        <v>1492</v>
      </c>
      <c r="D1627" s="4">
        <v>1</v>
      </c>
      <c r="E1627" s="4" t="str">
        <f>"2170741173"</f>
        <v>2170741173</v>
      </c>
      <c r="F1627" s="4" t="s">
        <v>17</v>
      </c>
      <c r="G1627" s="4" t="s">
        <v>18</v>
      </c>
      <c r="H1627" s="4" t="s">
        <v>18</v>
      </c>
      <c r="I1627" s="4" t="s">
        <v>29</v>
      </c>
      <c r="J1627" s="4" t="s">
        <v>788</v>
      </c>
      <c r="K1627" s="4" t="s">
        <v>1572</v>
      </c>
      <c r="L1627" s="5">
        <v>0.3263888888888889</v>
      </c>
      <c r="M1627" s="4" t="s">
        <v>1642</v>
      </c>
      <c r="N1627" s="6" t="s">
        <v>23</v>
      </c>
      <c r="O1627" s="4" t="s">
        <v>24</v>
      </c>
    </row>
    <row r="1628" spans="1:15" x14ac:dyDescent="0.25">
      <c r="A1628" s="4" t="s">
        <v>15</v>
      </c>
      <c r="B1628" s="4" t="str">
        <f>"FES1162751172"</f>
        <v>FES1162751172</v>
      </c>
      <c r="C1628" s="4" t="s">
        <v>1492</v>
      </c>
      <c r="D1628" s="4">
        <v>1</v>
      </c>
      <c r="E1628" s="4" t="str">
        <f>"2170771555"</f>
        <v>2170771555</v>
      </c>
      <c r="F1628" s="4" t="s">
        <v>17</v>
      </c>
      <c r="G1628" s="4" t="s">
        <v>18</v>
      </c>
      <c r="H1628" s="4" t="s">
        <v>18</v>
      </c>
      <c r="I1628" s="4" t="s">
        <v>29</v>
      </c>
      <c r="J1628" s="4" t="s">
        <v>302</v>
      </c>
      <c r="K1628" s="4" t="s">
        <v>1572</v>
      </c>
      <c r="L1628" s="5">
        <v>0.33333333333333331</v>
      </c>
      <c r="M1628" s="4" t="s">
        <v>462</v>
      </c>
      <c r="N1628" s="6" t="s">
        <v>23</v>
      </c>
      <c r="O1628" s="4" t="s">
        <v>24</v>
      </c>
    </row>
    <row r="1629" spans="1:15" x14ac:dyDescent="0.25">
      <c r="A1629" s="4" t="s">
        <v>15</v>
      </c>
      <c r="B1629" s="4" t="str">
        <f>"FES1162751241"</f>
        <v>FES1162751241</v>
      </c>
      <c r="C1629" s="4" t="s">
        <v>1492</v>
      </c>
      <c r="D1629" s="4">
        <v>1</v>
      </c>
      <c r="E1629" s="4" t="str">
        <f>"2170741338"</f>
        <v>2170741338</v>
      </c>
      <c r="F1629" s="4" t="s">
        <v>17</v>
      </c>
      <c r="G1629" s="4" t="s">
        <v>18</v>
      </c>
      <c r="H1629" s="4" t="s">
        <v>32</v>
      </c>
      <c r="I1629" s="4" t="s">
        <v>33</v>
      </c>
      <c r="J1629" s="4" t="s">
        <v>1395</v>
      </c>
      <c r="K1629" s="4" t="s">
        <v>1572</v>
      </c>
      <c r="L1629" s="5">
        <v>0.38541666666666669</v>
      </c>
      <c r="M1629" s="4" t="s">
        <v>1652</v>
      </c>
      <c r="N1629" s="6" t="s">
        <v>23</v>
      </c>
      <c r="O1629" s="4" t="s">
        <v>24</v>
      </c>
    </row>
    <row r="1630" spans="1:15" x14ac:dyDescent="0.25">
      <c r="A1630" s="4" t="s">
        <v>15</v>
      </c>
      <c r="B1630" s="4" t="str">
        <f>"FES1162751159"</f>
        <v>FES1162751159</v>
      </c>
      <c r="C1630" s="4" t="s">
        <v>1492</v>
      </c>
      <c r="D1630" s="4">
        <v>1</v>
      </c>
      <c r="E1630" s="4" t="str">
        <f>"2170740827"</f>
        <v>2170740827</v>
      </c>
      <c r="F1630" s="4" t="s">
        <v>17</v>
      </c>
      <c r="G1630" s="4" t="s">
        <v>18</v>
      </c>
      <c r="H1630" s="4" t="s">
        <v>18</v>
      </c>
      <c r="I1630" s="4" t="s">
        <v>147</v>
      </c>
      <c r="J1630" s="4" t="s">
        <v>299</v>
      </c>
      <c r="K1630" s="4" t="s">
        <v>1572</v>
      </c>
      <c r="L1630" s="5">
        <v>0.33333333333333331</v>
      </c>
      <c r="M1630" s="4" t="s">
        <v>1282</v>
      </c>
      <c r="N1630" s="6" t="s">
        <v>23</v>
      </c>
      <c r="O1630" s="4" t="s">
        <v>24</v>
      </c>
    </row>
    <row r="1631" spans="1:15" x14ac:dyDescent="0.25">
      <c r="A1631" s="4" t="s">
        <v>15</v>
      </c>
      <c r="B1631" s="4" t="str">
        <f>"FES1162751165"</f>
        <v>FES1162751165</v>
      </c>
      <c r="C1631" s="4" t="s">
        <v>1492</v>
      </c>
      <c r="D1631" s="4">
        <v>1</v>
      </c>
      <c r="E1631" s="4" t="str">
        <f>"2170741203"</f>
        <v>2170741203</v>
      </c>
      <c r="F1631" s="4" t="s">
        <v>17</v>
      </c>
      <c r="G1631" s="4" t="s">
        <v>18</v>
      </c>
      <c r="H1631" s="4" t="s">
        <v>32</v>
      </c>
      <c r="I1631" s="4" t="s">
        <v>33</v>
      </c>
      <c r="J1631" s="4" t="s">
        <v>378</v>
      </c>
      <c r="K1631" s="4" t="s">
        <v>1572</v>
      </c>
      <c r="L1631" s="5">
        <v>0.33333333333333331</v>
      </c>
      <c r="M1631" s="4" t="s">
        <v>1687</v>
      </c>
      <c r="N1631" s="6" t="s">
        <v>23</v>
      </c>
      <c r="O1631" s="4" t="s">
        <v>24</v>
      </c>
    </row>
    <row r="1632" spans="1:15" x14ac:dyDescent="0.25">
      <c r="A1632" s="4" t="s">
        <v>15</v>
      </c>
      <c r="B1632" s="4" t="str">
        <f>"FES1162751198"</f>
        <v>FES1162751198</v>
      </c>
      <c r="C1632" s="4" t="s">
        <v>1492</v>
      </c>
      <c r="D1632" s="4">
        <v>1</v>
      </c>
      <c r="E1632" s="4" t="str">
        <f>"2170741239"</f>
        <v>2170741239</v>
      </c>
      <c r="F1632" s="4" t="s">
        <v>17</v>
      </c>
      <c r="G1632" s="4" t="s">
        <v>18</v>
      </c>
      <c r="H1632" s="4" t="s">
        <v>18</v>
      </c>
      <c r="I1632" s="4" t="s">
        <v>58</v>
      </c>
      <c r="J1632" s="4" t="s">
        <v>34</v>
      </c>
      <c r="K1632" s="4" t="s">
        <v>1572</v>
      </c>
      <c r="L1632" s="5">
        <v>0.33333333333333331</v>
      </c>
      <c r="M1632" s="4" t="s">
        <v>1653</v>
      </c>
      <c r="N1632" s="6" t="s">
        <v>23</v>
      </c>
      <c r="O1632" s="4" t="s">
        <v>24</v>
      </c>
    </row>
    <row r="1633" spans="1:15" x14ac:dyDescent="0.25">
      <c r="A1633" s="4" t="s">
        <v>15</v>
      </c>
      <c r="B1633" s="4" t="str">
        <f>"FES1162751248"</f>
        <v>FES1162751248</v>
      </c>
      <c r="C1633" s="4" t="s">
        <v>1492</v>
      </c>
      <c r="D1633" s="4">
        <v>1</v>
      </c>
      <c r="E1633" s="4" t="str">
        <f>"2170741294"</f>
        <v>2170741294</v>
      </c>
      <c r="F1633" s="4" t="s">
        <v>17</v>
      </c>
      <c r="G1633" s="4" t="s">
        <v>18</v>
      </c>
      <c r="H1633" s="4" t="s">
        <v>85</v>
      </c>
      <c r="I1633" s="4" t="s">
        <v>207</v>
      </c>
      <c r="J1633" s="4" t="s">
        <v>1612</v>
      </c>
      <c r="K1633" s="4" t="s">
        <v>1572</v>
      </c>
      <c r="L1633" s="5">
        <v>0.32083333333333336</v>
      </c>
      <c r="M1633" s="4" t="s">
        <v>1613</v>
      </c>
      <c r="N1633" s="6" t="s">
        <v>23</v>
      </c>
      <c r="O1633" s="4" t="s">
        <v>24</v>
      </c>
    </row>
    <row r="1634" spans="1:15" x14ac:dyDescent="0.25">
      <c r="A1634" s="4" t="s">
        <v>15</v>
      </c>
      <c r="B1634" s="4" t="str">
        <f>"FES1162751240"</f>
        <v>FES1162751240</v>
      </c>
      <c r="C1634" s="4" t="s">
        <v>1492</v>
      </c>
      <c r="D1634" s="4">
        <v>1</v>
      </c>
      <c r="E1634" s="4" t="str">
        <f>"2170741336"</f>
        <v>2170741336</v>
      </c>
      <c r="F1634" s="4" t="s">
        <v>17</v>
      </c>
      <c r="G1634" s="4" t="s">
        <v>18</v>
      </c>
      <c r="H1634" s="4" t="s">
        <v>40</v>
      </c>
      <c r="I1634" s="4" t="s">
        <v>41</v>
      </c>
      <c r="J1634" s="4" t="s">
        <v>852</v>
      </c>
      <c r="K1634" s="4" t="s">
        <v>1572</v>
      </c>
      <c r="L1634" s="5">
        <v>0.32083333333333336</v>
      </c>
      <c r="M1634" s="4" t="s">
        <v>1551</v>
      </c>
      <c r="N1634" s="6" t="s">
        <v>23</v>
      </c>
      <c r="O1634" s="4" t="s">
        <v>24</v>
      </c>
    </row>
    <row r="1635" spans="1:15" x14ac:dyDescent="0.25">
      <c r="A1635" s="4" t="s">
        <v>15</v>
      </c>
      <c r="B1635" s="4" t="str">
        <f>"FES1162751261"</f>
        <v>FES1162751261</v>
      </c>
      <c r="C1635" s="4" t="s">
        <v>1492</v>
      </c>
      <c r="D1635" s="4">
        <v>1</v>
      </c>
      <c r="E1635" s="4" t="str">
        <f>"21707401366"</f>
        <v>21707401366</v>
      </c>
      <c r="F1635" s="4" t="s">
        <v>17</v>
      </c>
      <c r="G1635" s="4" t="s">
        <v>18</v>
      </c>
      <c r="H1635" s="4" t="s">
        <v>48</v>
      </c>
      <c r="I1635" s="4" t="s">
        <v>49</v>
      </c>
      <c r="J1635" s="4" t="s">
        <v>1614</v>
      </c>
      <c r="K1635" s="4" t="s">
        <v>1572</v>
      </c>
      <c r="L1635" s="5">
        <v>0.52083333333333337</v>
      </c>
      <c r="M1635" s="4" t="s">
        <v>65</v>
      </c>
      <c r="N1635" s="6" t="s">
        <v>23</v>
      </c>
      <c r="O1635" s="4" t="s">
        <v>24</v>
      </c>
    </row>
    <row r="1636" spans="1:15" x14ac:dyDescent="0.25">
      <c r="A1636" s="4" t="s">
        <v>15</v>
      </c>
      <c r="B1636" s="4" t="str">
        <f>"FES1162751254"</f>
        <v>FES1162751254</v>
      </c>
      <c r="C1636" s="4" t="s">
        <v>1492</v>
      </c>
      <c r="D1636" s="4">
        <v>1</v>
      </c>
      <c r="E1636" s="4" t="str">
        <f>"2170741332"</f>
        <v>2170741332</v>
      </c>
      <c r="F1636" s="4" t="s">
        <v>17</v>
      </c>
      <c r="G1636" s="4" t="s">
        <v>18</v>
      </c>
      <c r="H1636" s="4" t="s">
        <v>48</v>
      </c>
      <c r="I1636" s="4" t="s">
        <v>49</v>
      </c>
      <c r="J1636" s="4" t="s">
        <v>263</v>
      </c>
      <c r="K1636" s="4" t="s">
        <v>1572</v>
      </c>
      <c r="L1636" s="5">
        <v>0.31388888888888888</v>
      </c>
      <c r="M1636" s="4" t="s">
        <v>1615</v>
      </c>
      <c r="N1636" s="6" t="s">
        <v>23</v>
      </c>
      <c r="O1636" s="4" t="s">
        <v>24</v>
      </c>
    </row>
    <row r="1637" spans="1:15" x14ac:dyDescent="0.25">
      <c r="A1637" s="4" t="s">
        <v>15</v>
      </c>
      <c r="B1637" s="4" t="str">
        <f>"FES1162751216"</f>
        <v>FES1162751216</v>
      </c>
      <c r="C1637" s="4" t="s">
        <v>1492</v>
      </c>
      <c r="D1637" s="4">
        <v>1</v>
      </c>
      <c r="E1637" s="4" t="str">
        <f>"2170741307"</f>
        <v>2170741307</v>
      </c>
      <c r="F1637" s="4" t="s">
        <v>17</v>
      </c>
      <c r="G1637" s="4" t="s">
        <v>18</v>
      </c>
      <c r="H1637" s="4" t="s">
        <v>18</v>
      </c>
      <c r="I1637" s="4" t="s">
        <v>292</v>
      </c>
      <c r="J1637" s="4" t="s">
        <v>293</v>
      </c>
      <c r="K1637" s="4" t="s">
        <v>1572</v>
      </c>
      <c r="L1637" s="5">
        <v>0.43263888888888885</v>
      </c>
      <c r="M1637" s="4" t="s">
        <v>1570</v>
      </c>
      <c r="N1637" s="6" t="s">
        <v>23</v>
      </c>
      <c r="O1637" s="4" t="s">
        <v>24</v>
      </c>
    </row>
    <row r="1638" spans="1:15" x14ac:dyDescent="0.25">
      <c r="A1638" s="4" t="s">
        <v>15</v>
      </c>
      <c r="B1638" s="4" t="str">
        <f>"FES1162751226"</f>
        <v>FES1162751226</v>
      </c>
      <c r="C1638" s="4" t="s">
        <v>1492</v>
      </c>
      <c r="D1638" s="4">
        <v>1</v>
      </c>
      <c r="E1638" s="4" t="str">
        <f>"2170741317"</f>
        <v>2170741317</v>
      </c>
      <c r="F1638" s="4" t="s">
        <v>17</v>
      </c>
      <c r="G1638" s="4" t="s">
        <v>18</v>
      </c>
      <c r="H1638" s="4" t="s">
        <v>18</v>
      </c>
      <c r="I1638" s="4" t="s">
        <v>97</v>
      </c>
      <c r="J1638" s="4" t="s">
        <v>846</v>
      </c>
      <c r="K1638" s="4" t="s">
        <v>1572</v>
      </c>
      <c r="L1638" s="5">
        <v>0.29166666666666669</v>
      </c>
      <c r="M1638" s="4" t="s">
        <v>1266</v>
      </c>
      <c r="N1638" s="6" t="s">
        <v>23</v>
      </c>
      <c r="O1638" s="4" t="s">
        <v>24</v>
      </c>
    </row>
    <row r="1639" spans="1:15" x14ac:dyDescent="0.25">
      <c r="A1639" s="4" t="s">
        <v>15</v>
      </c>
      <c r="B1639" s="4" t="str">
        <f>"FES1162751255"</f>
        <v>FES1162751255</v>
      </c>
      <c r="C1639" s="4" t="s">
        <v>1492</v>
      </c>
      <c r="D1639" s="4">
        <v>1</v>
      </c>
      <c r="E1639" s="4" t="str">
        <f>"2170741337"</f>
        <v>2170741337</v>
      </c>
      <c r="F1639" s="4" t="s">
        <v>17</v>
      </c>
      <c r="G1639" s="4" t="s">
        <v>18</v>
      </c>
      <c r="H1639" s="4" t="s">
        <v>32</v>
      </c>
      <c r="I1639" s="4" t="s">
        <v>33</v>
      </c>
      <c r="J1639" s="4" t="s">
        <v>1616</v>
      </c>
      <c r="K1639" s="4" t="s">
        <v>1572</v>
      </c>
      <c r="L1639" s="5">
        <v>0.3923611111111111</v>
      </c>
      <c r="M1639" s="4" t="s">
        <v>1654</v>
      </c>
      <c r="N1639" s="6" t="s">
        <v>23</v>
      </c>
      <c r="O1639" s="4" t="s">
        <v>24</v>
      </c>
    </row>
    <row r="1640" spans="1:15" x14ac:dyDescent="0.25">
      <c r="A1640" s="4" t="s">
        <v>15</v>
      </c>
      <c r="B1640" s="4" t="str">
        <f>"FES1162751225"</f>
        <v>FES1162751225</v>
      </c>
      <c r="C1640" s="4" t="s">
        <v>1492</v>
      </c>
      <c r="D1640" s="4">
        <v>1</v>
      </c>
      <c r="E1640" s="4" t="str">
        <f>"2170741291"</f>
        <v>2170741291</v>
      </c>
      <c r="F1640" s="4" t="s">
        <v>17</v>
      </c>
      <c r="G1640" s="4" t="s">
        <v>18</v>
      </c>
      <c r="H1640" s="4" t="s">
        <v>18</v>
      </c>
      <c r="I1640" s="4" t="s">
        <v>97</v>
      </c>
      <c r="J1640" s="4" t="s">
        <v>131</v>
      </c>
      <c r="K1640" s="4" t="s">
        <v>1572</v>
      </c>
      <c r="L1640" s="5">
        <v>0.3611111111111111</v>
      </c>
      <c r="M1640" s="4" t="s">
        <v>132</v>
      </c>
      <c r="N1640" s="6" t="s">
        <v>23</v>
      </c>
      <c r="O1640" s="4" t="s">
        <v>24</v>
      </c>
    </row>
    <row r="1641" spans="1:15" x14ac:dyDescent="0.25">
      <c r="A1641" s="4" t="s">
        <v>15</v>
      </c>
      <c r="B1641" s="4" t="str">
        <f>"FES1162751237"</f>
        <v>FES1162751237</v>
      </c>
      <c r="C1641" s="4" t="s">
        <v>1492</v>
      </c>
      <c r="D1641" s="4">
        <v>1</v>
      </c>
      <c r="E1641" s="4" t="str">
        <f>"2170741333"</f>
        <v>2170741333</v>
      </c>
      <c r="F1641" s="4" t="s">
        <v>17</v>
      </c>
      <c r="G1641" s="4" t="s">
        <v>18</v>
      </c>
      <c r="H1641" s="4" t="s">
        <v>48</v>
      </c>
      <c r="I1641" s="4" t="s">
        <v>49</v>
      </c>
      <c r="J1641" s="4" t="s">
        <v>252</v>
      </c>
      <c r="K1641" s="4" t="s">
        <v>1572</v>
      </c>
      <c r="L1641" s="5">
        <v>0.3444444444444445</v>
      </c>
      <c r="M1641" s="4" t="s">
        <v>1617</v>
      </c>
      <c r="N1641" s="6" t="s">
        <v>23</v>
      </c>
      <c r="O1641" s="4" t="s">
        <v>24</v>
      </c>
    </row>
    <row r="1642" spans="1:15" x14ac:dyDescent="0.25">
      <c r="A1642" s="4" t="s">
        <v>15</v>
      </c>
      <c r="B1642" s="4" t="str">
        <f>"FES1162751258"</f>
        <v>FES1162751258</v>
      </c>
      <c r="C1642" s="4" t="s">
        <v>1492</v>
      </c>
      <c r="D1642" s="4">
        <v>1</v>
      </c>
      <c r="E1642" s="4" t="str">
        <f>"21707741363"</f>
        <v>21707741363</v>
      </c>
      <c r="F1642" s="4" t="s">
        <v>17</v>
      </c>
      <c r="G1642" s="4" t="s">
        <v>18</v>
      </c>
      <c r="H1642" s="4" t="s">
        <v>48</v>
      </c>
      <c r="I1642" s="4" t="s">
        <v>49</v>
      </c>
      <c r="J1642" s="4" t="s">
        <v>1618</v>
      </c>
      <c r="K1642" s="4" t="s">
        <v>1572</v>
      </c>
      <c r="L1642" s="5">
        <v>0.40486111111111112</v>
      </c>
      <c r="M1642" s="4" t="s">
        <v>1655</v>
      </c>
      <c r="N1642" s="6" t="s">
        <v>23</v>
      </c>
      <c r="O1642" s="4" t="s">
        <v>24</v>
      </c>
    </row>
    <row r="1643" spans="1:15" x14ac:dyDescent="0.25">
      <c r="A1643" s="4" t="s">
        <v>15</v>
      </c>
      <c r="B1643" s="4" t="str">
        <f>"FES1162751252"</f>
        <v>FES1162751252</v>
      </c>
      <c r="C1643" s="4" t="s">
        <v>1492</v>
      </c>
      <c r="D1643" s="4">
        <v>1</v>
      </c>
      <c r="E1643" s="4" t="str">
        <f>"2170741354"</f>
        <v>2170741354</v>
      </c>
      <c r="F1643" s="4" t="s">
        <v>17</v>
      </c>
      <c r="G1643" s="4" t="s">
        <v>18</v>
      </c>
      <c r="H1643" s="4" t="s">
        <v>85</v>
      </c>
      <c r="I1643" s="4" t="s">
        <v>362</v>
      </c>
      <c r="J1643" s="4" t="s">
        <v>1619</v>
      </c>
      <c r="K1643" s="4" t="s">
        <v>1572</v>
      </c>
      <c r="L1643" s="5">
        <v>0.3923611111111111</v>
      </c>
      <c r="M1643" s="4" t="s">
        <v>1656</v>
      </c>
      <c r="N1643" s="6" t="s">
        <v>23</v>
      </c>
      <c r="O1643" s="4" t="s">
        <v>24</v>
      </c>
    </row>
    <row r="1644" spans="1:15" x14ac:dyDescent="0.25">
      <c r="A1644" s="4" t="s">
        <v>15</v>
      </c>
      <c r="B1644" s="4" t="str">
        <f>"FES1162751239"</f>
        <v>FES1162751239</v>
      </c>
      <c r="C1644" s="4" t="s">
        <v>1492</v>
      </c>
      <c r="D1644" s="4">
        <v>1</v>
      </c>
      <c r="E1644" s="4" t="str">
        <f>"2170741335"</f>
        <v>2170741335</v>
      </c>
      <c r="F1644" s="4" t="s">
        <v>17</v>
      </c>
      <c r="G1644" s="4" t="s">
        <v>18</v>
      </c>
      <c r="H1644" s="4" t="s">
        <v>40</v>
      </c>
      <c r="I1644" s="4" t="s">
        <v>41</v>
      </c>
      <c r="J1644" s="4" t="s">
        <v>851</v>
      </c>
      <c r="K1644" s="4" t="s">
        <v>1572</v>
      </c>
      <c r="L1644" s="5">
        <v>0.4375</v>
      </c>
      <c r="M1644" s="4" t="s">
        <v>1657</v>
      </c>
      <c r="N1644" s="6" t="s">
        <v>23</v>
      </c>
      <c r="O1644" s="4" t="s">
        <v>24</v>
      </c>
    </row>
    <row r="1645" spans="1:15" x14ac:dyDescent="0.25">
      <c r="A1645" s="4" t="s">
        <v>15</v>
      </c>
      <c r="B1645" s="4" t="str">
        <f>"FES1162751250"</f>
        <v>FES1162751250</v>
      </c>
      <c r="C1645" s="4" t="s">
        <v>1492</v>
      </c>
      <c r="D1645" s="4">
        <v>1</v>
      </c>
      <c r="E1645" s="4" t="str">
        <f>"2170741350"</f>
        <v>2170741350</v>
      </c>
      <c r="F1645" s="4" t="s">
        <v>17</v>
      </c>
      <c r="G1645" s="4" t="s">
        <v>18</v>
      </c>
      <c r="H1645" s="4" t="s">
        <v>18</v>
      </c>
      <c r="I1645" s="4" t="s">
        <v>219</v>
      </c>
      <c r="J1645" s="4" t="s">
        <v>554</v>
      </c>
      <c r="K1645" s="4" t="s">
        <v>1572</v>
      </c>
      <c r="L1645" s="5">
        <v>0.39930555555555558</v>
      </c>
      <c r="M1645" s="4" t="s">
        <v>1658</v>
      </c>
      <c r="N1645" s="6" t="s">
        <v>23</v>
      </c>
      <c r="O1645" s="4" t="s">
        <v>24</v>
      </c>
    </row>
    <row r="1646" spans="1:15" x14ac:dyDescent="0.25">
      <c r="A1646" s="4" t="s">
        <v>15</v>
      </c>
      <c r="B1646" s="4" t="str">
        <f>"FES1162751257"</f>
        <v>FES1162751257</v>
      </c>
      <c r="C1646" s="4" t="s">
        <v>1492</v>
      </c>
      <c r="D1646" s="4">
        <v>1</v>
      </c>
      <c r="E1646" s="4" t="str">
        <f>"2170741359"</f>
        <v>2170741359</v>
      </c>
      <c r="F1646" s="4" t="s">
        <v>17</v>
      </c>
      <c r="G1646" s="4" t="s">
        <v>18</v>
      </c>
      <c r="H1646" s="4" t="s">
        <v>18</v>
      </c>
      <c r="I1646" s="4" t="s">
        <v>97</v>
      </c>
      <c r="J1646" s="4" t="s">
        <v>859</v>
      </c>
      <c r="K1646" s="4" t="s">
        <v>1572</v>
      </c>
      <c r="L1646" s="5">
        <v>0.33958333333333335</v>
      </c>
      <c r="M1646" s="4" t="s">
        <v>1022</v>
      </c>
      <c r="N1646" s="6" t="s">
        <v>23</v>
      </c>
      <c r="O1646" s="4" t="s">
        <v>24</v>
      </c>
    </row>
    <row r="1647" spans="1:15" x14ac:dyDescent="0.25">
      <c r="A1647" s="4" t="s">
        <v>15</v>
      </c>
      <c r="B1647" s="4" t="str">
        <f>"FES1162751211"</f>
        <v>FES1162751211</v>
      </c>
      <c r="C1647" s="4" t="s">
        <v>1492</v>
      </c>
      <c r="D1647" s="4">
        <v>1</v>
      </c>
      <c r="E1647" s="4" t="str">
        <f>"2170741302"</f>
        <v>2170741302</v>
      </c>
      <c r="F1647" s="4" t="s">
        <v>17</v>
      </c>
      <c r="G1647" s="4" t="s">
        <v>18</v>
      </c>
      <c r="H1647" s="4" t="s">
        <v>18</v>
      </c>
      <c r="I1647" s="4" t="s">
        <v>58</v>
      </c>
      <c r="J1647" s="4" t="s">
        <v>817</v>
      </c>
      <c r="K1647" s="4" t="s">
        <v>1572</v>
      </c>
      <c r="L1647" s="5">
        <v>0.2951388888888889</v>
      </c>
      <c r="M1647" s="4" t="s">
        <v>1659</v>
      </c>
      <c r="N1647" s="6" t="s">
        <v>23</v>
      </c>
      <c r="O1647" s="4" t="s">
        <v>24</v>
      </c>
    </row>
    <row r="1648" spans="1:15" x14ac:dyDescent="0.25">
      <c r="A1648" s="4" t="s">
        <v>15</v>
      </c>
      <c r="B1648" s="4" t="str">
        <f>"FES1162751200"</f>
        <v>FES1162751200</v>
      </c>
      <c r="C1648" s="4" t="s">
        <v>1492</v>
      </c>
      <c r="D1648" s="4">
        <v>1</v>
      </c>
      <c r="E1648" s="4" t="str">
        <f>"2170741285"</f>
        <v>2170741285</v>
      </c>
      <c r="F1648" s="4" t="s">
        <v>17</v>
      </c>
      <c r="G1648" s="4" t="s">
        <v>18</v>
      </c>
      <c r="H1648" s="4" t="s">
        <v>18</v>
      </c>
      <c r="I1648" s="4" t="s">
        <v>309</v>
      </c>
      <c r="J1648" s="4" t="s">
        <v>1215</v>
      </c>
      <c r="K1648" s="4" t="s">
        <v>1572</v>
      </c>
      <c r="L1648" s="5">
        <v>0.43124999999999997</v>
      </c>
      <c r="M1648" s="4" t="s">
        <v>1326</v>
      </c>
      <c r="N1648" s="6" t="s">
        <v>23</v>
      </c>
      <c r="O1648" s="4" t="s">
        <v>24</v>
      </c>
    </row>
    <row r="1649" spans="1:15" x14ac:dyDescent="0.25">
      <c r="A1649" s="4" t="s">
        <v>15</v>
      </c>
      <c r="B1649" s="4" t="str">
        <f>"FES1162751247"</f>
        <v>FES1162751247</v>
      </c>
      <c r="C1649" s="4" t="s">
        <v>1492</v>
      </c>
      <c r="D1649" s="4">
        <v>1</v>
      </c>
      <c r="E1649" s="4" t="str">
        <f>"2170741168"</f>
        <v>2170741168</v>
      </c>
      <c r="F1649" s="4" t="s">
        <v>17</v>
      </c>
      <c r="G1649" s="4" t="s">
        <v>18</v>
      </c>
      <c r="H1649" s="4" t="s">
        <v>18</v>
      </c>
      <c r="I1649" s="4" t="s">
        <v>29</v>
      </c>
      <c r="J1649" s="4" t="s">
        <v>265</v>
      </c>
      <c r="K1649" s="4" t="s">
        <v>1572</v>
      </c>
      <c r="L1649" s="5">
        <v>0.33333333333333331</v>
      </c>
      <c r="M1649" s="4" t="s">
        <v>1660</v>
      </c>
      <c r="N1649" s="6" t="s">
        <v>23</v>
      </c>
      <c r="O1649" s="4" t="s">
        <v>24</v>
      </c>
    </row>
    <row r="1650" spans="1:15" x14ac:dyDescent="0.25">
      <c r="A1650" s="15" t="s">
        <v>15</v>
      </c>
      <c r="B1650" s="15" t="str">
        <f>"FES1162751217"</f>
        <v>FES1162751217</v>
      </c>
      <c r="C1650" s="15" t="s">
        <v>1492</v>
      </c>
      <c r="D1650" s="15">
        <v>1</v>
      </c>
      <c r="E1650" s="15" t="str">
        <f>"2170741309"</f>
        <v>2170741309</v>
      </c>
      <c r="F1650" s="15" t="s">
        <v>17</v>
      </c>
      <c r="G1650" s="15" t="s">
        <v>18</v>
      </c>
      <c r="H1650" s="15" t="s">
        <v>48</v>
      </c>
      <c r="I1650" s="15" t="s">
        <v>366</v>
      </c>
      <c r="J1650" s="15" t="s">
        <v>1620</v>
      </c>
      <c r="K1650" s="15" t="s">
        <v>43</v>
      </c>
      <c r="L1650" s="15"/>
      <c r="M1650" s="15" t="s">
        <v>44</v>
      </c>
      <c r="N1650" s="15" t="s">
        <v>419</v>
      </c>
      <c r="O1650" s="15" t="s">
        <v>24</v>
      </c>
    </row>
    <row r="1651" spans="1:15" x14ac:dyDescent="0.25">
      <c r="A1651" s="4" t="s">
        <v>15</v>
      </c>
      <c r="B1651" s="4" t="str">
        <f>"FES1162751208"</f>
        <v>FES1162751208</v>
      </c>
      <c r="C1651" s="4" t="s">
        <v>1492</v>
      </c>
      <c r="D1651" s="4">
        <v>1</v>
      </c>
      <c r="E1651" s="4" t="str">
        <f>"2170741296"</f>
        <v>2170741296</v>
      </c>
      <c r="F1651" s="4" t="s">
        <v>17</v>
      </c>
      <c r="G1651" s="4" t="s">
        <v>18</v>
      </c>
      <c r="H1651" s="4" t="s">
        <v>48</v>
      </c>
      <c r="I1651" s="4" t="s">
        <v>49</v>
      </c>
      <c r="J1651" s="4" t="s">
        <v>252</v>
      </c>
      <c r="K1651" s="4" t="s">
        <v>1572</v>
      </c>
      <c r="L1651" s="5">
        <v>0.34375</v>
      </c>
      <c r="M1651" s="4" t="s">
        <v>1621</v>
      </c>
      <c r="N1651" s="6" t="s">
        <v>23</v>
      </c>
      <c r="O1651" s="4" t="s">
        <v>24</v>
      </c>
    </row>
    <row r="1652" spans="1:15" x14ac:dyDescent="0.25">
      <c r="A1652" s="4" t="s">
        <v>15</v>
      </c>
      <c r="B1652" s="4" t="str">
        <f>"FES1162751263"</f>
        <v>FES1162751263</v>
      </c>
      <c r="C1652" s="4" t="s">
        <v>1492</v>
      </c>
      <c r="D1652" s="4">
        <v>1</v>
      </c>
      <c r="E1652" s="4" t="str">
        <f>"2170741373"</f>
        <v>2170741373</v>
      </c>
      <c r="F1652" s="4" t="s">
        <v>17</v>
      </c>
      <c r="G1652" s="4" t="s">
        <v>18</v>
      </c>
      <c r="H1652" s="4" t="s">
        <v>48</v>
      </c>
      <c r="I1652" s="4" t="s">
        <v>49</v>
      </c>
      <c r="J1652" s="4" t="s">
        <v>100</v>
      </c>
      <c r="K1652" s="4" t="s">
        <v>1572</v>
      </c>
      <c r="L1652" s="5">
        <v>0.33819444444444446</v>
      </c>
      <c r="M1652" s="4" t="s">
        <v>341</v>
      </c>
      <c r="N1652" s="6" t="s">
        <v>23</v>
      </c>
      <c r="O1652" s="4" t="s">
        <v>24</v>
      </c>
    </row>
    <row r="1653" spans="1:15" x14ac:dyDescent="0.25">
      <c r="A1653" s="4" t="s">
        <v>15</v>
      </c>
      <c r="B1653" s="4" t="str">
        <f>"FES1162751260"</f>
        <v>FES1162751260</v>
      </c>
      <c r="C1653" s="4" t="s">
        <v>1492</v>
      </c>
      <c r="D1653" s="4">
        <v>1</v>
      </c>
      <c r="E1653" s="4" t="str">
        <f>"2170741365"</f>
        <v>2170741365</v>
      </c>
      <c r="F1653" s="4" t="s">
        <v>17</v>
      </c>
      <c r="G1653" s="4" t="s">
        <v>18</v>
      </c>
      <c r="H1653" s="4" t="s">
        <v>48</v>
      </c>
      <c r="I1653" s="4" t="s">
        <v>49</v>
      </c>
      <c r="J1653" s="4" t="s">
        <v>1614</v>
      </c>
      <c r="K1653" s="4" t="s">
        <v>1572</v>
      </c>
      <c r="L1653" s="5">
        <v>0.52083333333333337</v>
      </c>
      <c r="M1653" s="4" t="s">
        <v>65</v>
      </c>
      <c r="N1653" s="6" t="s">
        <v>23</v>
      </c>
      <c r="O1653" s="4" t="s">
        <v>24</v>
      </c>
    </row>
    <row r="1654" spans="1:15" x14ac:dyDescent="0.25">
      <c r="A1654" s="4" t="s">
        <v>15</v>
      </c>
      <c r="B1654" s="4" t="str">
        <f>"FES1162751220"</f>
        <v>FES1162751220</v>
      </c>
      <c r="C1654" s="4" t="s">
        <v>1492</v>
      </c>
      <c r="D1654" s="4">
        <v>1</v>
      </c>
      <c r="E1654" s="4" t="str">
        <f>"2170741286"</f>
        <v>2170741286</v>
      </c>
      <c r="F1654" s="4" t="s">
        <v>17</v>
      </c>
      <c r="G1654" s="4" t="s">
        <v>18</v>
      </c>
      <c r="H1654" s="4" t="s">
        <v>18</v>
      </c>
      <c r="I1654" s="4" t="s">
        <v>19</v>
      </c>
      <c r="J1654" s="4" t="s">
        <v>20</v>
      </c>
      <c r="K1654" s="4" t="s">
        <v>1572</v>
      </c>
      <c r="L1654" s="5">
        <v>0.34583333333333338</v>
      </c>
      <c r="M1654" s="4" t="s">
        <v>706</v>
      </c>
      <c r="N1654" s="6" t="s">
        <v>23</v>
      </c>
      <c r="O1654" s="4" t="s">
        <v>24</v>
      </c>
    </row>
    <row r="1655" spans="1:15" x14ac:dyDescent="0.25">
      <c r="A1655" s="4" t="s">
        <v>15</v>
      </c>
      <c r="B1655" s="4" t="str">
        <f>"FES1162751267"</f>
        <v>FES1162751267</v>
      </c>
      <c r="C1655" s="4" t="s">
        <v>1492</v>
      </c>
      <c r="D1655" s="4">
        <v>1</v>
      </c>
      <c r="E1655" s="4" t="str">
        <f>"2170741255"</f>
        <v>2170741255</v>
      </c>
      <c r="F1655" s="4" t="s">
        <v>17</v>
      </c>
      <c r="G1655" s="4" t="s">
        <v>18</v>
      </c>
      <c r="H1655" s="4" t="s">
        <v>18</v>
      </c>
      <c r="I1655" s="4" t="s">
        <v>29</v>
      </c>
      <c r="J1655" s="4" t="s">
        <v>302</v>
      </c>
      <c r="K1655" s="4" t="s">
        <v>1572</v>
      </c>
      <c r="L1655" s="5">
        <v>0.33333333333333331</v>
      </c>
      <c r="M1655" s="4" t="s">
        <v>462</v>
      </c>
      <c r="N1655" s="6" t="s">
        <v>23</v>
      </c>
      <c r="O1655" s="4" t="s">
        <v>24</v>
      </c>
    </row>
    <row r="1656" spans="1:15" x14ac:dyDescent="0.25">
      <c r="A1656" s="4" t="s">
        <v>15</v>
      </c>
      <c r="B1656" s="4" t="str">
        <f>"FES1162751270"</f>
        <v>FES1162751270</v>
      </c>
      <c r="C1656" s="4" t="s">
        <v>1492</v>
      </c>
      <c r="D1656" s="4">
        <v>1</v>
      </c>
      <c r="E1656" s="4" t="str">
        <f>"2170741353"</f>
        <v>2170741353</v>
      </c>
      <c r="F1656" s="4" t="s">
        <v>17</v>
      </c>
      <c r="G1656" s="4" t="s">
        <v>18</v>
      </c>
      <c r="H1656" s="4" t="s">
        <v>48</v>
      </c>
      <c r="I1656" s="4" t="s">
        <v>49</v>
      </c>
      <c r="J1656" s="4" t="s">
        <v>322</v>
      </c>
      <c r="K1656" s="4" t="s">
        <v>1572</v>
      </c>
      <c r="L1656" s="5">
        <v>0.31458333333333333</v>
      </c>
      <c r="M1656" s="4" t="s">
        <v>1605</v>
      </c>
      <c r="N1656" s="6" t="s">
        <v>23</v>
      </c>
      <c r="O1656" s="4" t="s">
        <v>24</v>
      </c>
    </row>
    <row r="1657" spans="1:15" x14ac:dyDescent="0.25">
      <c r="A1657" s="4" t="s">
        <v>15</v>
      </c>
      <c r="B1657" s="4" t="str">
        <f>"FES1162751262"</f>
        <v>FES1162751262</v>
      </c>
      <c r="C1657" s="4" t="s">
        <v>1492</v>
      </c>
      <c r="D1657" s="4">
        <v>1</v>
      </c>
      <c r="E1657" s="4" t="str">
        <f>"2170741371"</f>
        <v>2170741371</v>
      </c>
      <c r="F1657" s="4" t="s">
        <v>1162</v>
      </c>
      <c r="G1657" s="4" t="s">
        <v>1163</v>
      </c>
      <c r="H1657" s="4" t="s">
        <v>1622</v>
      </c>
      <c r="I1657" s="4" t="s">
        <v>327</v>
      </c>
      <c r="J1657" s="4" t="s">
        <v>1233</v>
      </c>
      <c r="K1657" s="4" t="s">
        <v>1572</v>
      </c>
      <c r="L1657" s="5">
        <v>0.31458333333333333</v>
      </c>
      <c r="M1657" s="4" t="s">
        <v>1686</v>
      </c>
      <c r="N1657" s="6" t="s">
        <v>23</v>
      </c>
      <c r="O1657" s="4" t="s">
        <v>166</v>
      </c>
    </row>
    <row r="1658" spans="1:15" x14ac:dyDescent="0.25">
      <c r="A1658" s="4" t="s">
        <v>15</v>
      </c>
      <c r="B1658" s="4" t="str">
        <f>"FES1162751233"</f>
        <v>FES1162751233</v>
      </c>
      <c r="C1658" s="4" t="s">
        <v>1492</v>
      </c>
      <c r="D1658" s="4">
        <v>1</v>
      </c>
      <c r="E1658" s="4" t="str">
        <f>"2170741320"</f>
        <v>2170741320</v>
      </c>
      <c r="F1658" s="4" t="s">
        <v>873</v>
      </c>
      <c r="G1658" s="4" t="s">
        <v>18</v>
      </c>
      <c r="H1658" s="4" t="s">
        <v>25</v>
      </c>
      <c r="I1658" s="4" t="s">
        <v>26</v>
      </c>
      <c r="J1658" s="4" t="s">
        <v>1623</v>
      </c>
      <c r="K1658" s="4" t="s">
        <v>1624</v>
      </c>
      <c r="L1658" s="5">
        <v>0.5</v>
      </c>
      <c r="M1658" s="4" t="s">
        <v>1625</v>
      </c>
      <c r="N1658" s="6" t="s">
        <v>23</v>
      </c>
      <c r="O1658" s="4" t="s">
        <v>871</v>
      </c>
    </row>
    <row r="1659" spans="1:15" x14ac:dyDescent="0.25">
      <c r="A1659" s="4" t="s">
        <v>15</v>
      </c>
      <c r="B1659" s="4" t="str">
        <f>"FES1162751222"</f>
        <v>FES1162751222</v>
      </c>
      <c r="C1659" s="4" t="s">
        <v>1492</v>
      </c>
      <c r="D1659" s="4">
        <v>1</v>
      </c>
      <c r="E1659" s="4" t="str">
        <f>"2170741312"</f>
        <v>2170741312</v>
      </c>
      <c r="F1659" s="4" t="s">
        <v>17</v>
      </c>
      <c r="G1659" s="4" t="s">
        <v>18</v>
      </c>
      <c r="H1659" s="4" t="s">
        <v>52</v>
      </c>
      <c r="I1659" s="4" t="s">
        <v>53</v>
      </c>
      <c r="J1659" s="4" t="s">
        <v>592</v>
      </c>
      <c r="K1659" s="4" t="s">
        <v>1572</v>
      </c>
      <c r="L1659" s="5">
        <v>0.43541666666666662</v>
      </c>
      <c r="M1659" s="4" t="s">
        <v>1661</v>
      </c>
      <c r="N1659" s="6" t="s">
        <v>23</v>
      </c>
      <c r="O1659" s="4" t="s">
        <v>24</v>
      </c>
    </row>
    <row r="1660" spans="1:15" x14ac:dyDescent="0.25">
      <c r="A1660" s="4" t="s">
        <v>15</v>
      </c>
      <c r="B1660" s="4" t="str">
        <f>"FES1162751221"</f>
        <v>FES1162751221</v>
      </c>
      <c r="C1660" s="4" t="s">
        <v>1492</v>
      </c>
      <c r="D1660" s="4">
        <v>1</v>
      </c>
      <c r="E1660" s="4" t="str">
        <f>"2170741310"</f>
        <v>2170741310</v>
      </c>
      <c r="F1660" s="4" t="s">
        <v>17</v>
      </c>
      <c r="G1660" s="4" t="s">
        <v>18</v>
      </c>
      <c r="H1660" s="4" t="s">
        <v>25</v>
      </c>
      <c r="I1660" s="4" t="s">
        <v>26</v>
      </c>
      <c r="J1660" s="4" t="s">
        <v>414</v>
      </c>
      <c r="K1660" s="4" t="s">
        <v>1572</v>
      </c>
      <c r="L1660" s="5">
        <v>0.37152777777777773</v>
      </c>
      <c r="M1660" s="4" t="s">
        <v>1662</v>
      </c>
      <c r="N1660" s="6" t="s">
        <v>23</v>
      </c>
      <c r="O1660" s="4" t="s">
        <v>24</v>
      </c>
    </row>
    <row r="1661" spans="1:15" x14ac:dyDescent="0.25">
      <c r="A1661" s="4" t="s">
        <v>15</v>
      </c>
      <c r="B1661" s="4" t="str">
        <f>"FES1162751227"</f>
        <v>FES1162751227</v>
      </c>
      <c r="C1661" s="4" t="s">
        <v>1492</v>
      </c>
      <c r="D1661" s="4">
        <v>1</v>
      </c>
      <c r="E1661" s="4" t="str">
        <f>"2170741318"</f>
        <v>2170741318</v>
      </c>
      <c r="F1661" s="4" t="s">
        <v>17</v>
      </c>
      <c r="G1661" s="4" t="s">
        <v>18</v>
      </c>
      <c r="H1661" s="4" t="s">
        <v>18</v>
      </c>
      <c r="I1661" s="4" t="s">
        <v>97</v>
      </c>
      <c r="J1661" s="4" t="s">
        <v>599</v>
      </c>
      <c r="K1661" s="4" t="s">
        <v>1572</v>
      </c>
      <c r="L1661" s="5">
        <v>0.31944444444444448</v>
      </c>
      <c r="M1661" s="4" t="s">
        <v>955</v>
      </c>
      <c r="N1661" s="6" t="s">
        <v>23</v>
      </c>
      <c r="O1661" s="4" t="s">
        <v>24</v>
      </c>
    </row>
    <row r="1662" spans="1:15" x14ac:dyDescent="0.25">
      <c r="A1662" s="4" t="s">
        <v>15</v>
      </c>
      <c r="B1662" s="4" t="str">
        <f>"FES1162751204"</f>
        <v>FES1162751204</v>
      </c>
      <c r="C1662" s="4" t="s">
        <v>1492</v>
      </c>
      <c r="D1662" s="4">
        <v>1</v>
      </c>
      <c r="E1662" s="4" t="str">
        <f>"2170741288"</f>
        <v>2170741288</v>
      </c>
      <c r="F1662" s="4" t="s">
        <v>17</v>
      </c>
      <c r="G1662" s="4" t="s">
        <v>18</v>
      </c>
      <c r="H1662" s="4" t="s">
        <v>18</v>
      </c>
      <c r="I1662" s="4" t="s">
        <v>219</v>
      </c>
      <c r="J1662" s="4" t="s">
        <v>901</v>
      </c>
      <c r="K1662" s="4" t="s">
        <v>1572</v>
      </c>
      <c r="L1662" s="5">
        <v>0.375</v>
      </c>
      <c r="M1662" s="4" t="s">
        <v>65</v>
      </c>
      <c r="N1662" s="6" t="s">
        <v>23</v>
      </c>
      <c r="O1662" s="4" t="s">
        <v>24</v>
      </c>
    </row>
    <row r="1663" spans="1:15" x14ac:dyDescent="0.25">
      <c r="A1663" s="4" t="s">
        <v>15</v>
      </c>
      <c r="B1663" s="4" t="str">
        <f>"FES1162751244"</f>
        <v>FES1162751244</v>
      </c>
      <c r="C1663" s="4" t="s">
        <v>1492</v>
      </c>
      <c r="D1663" s="4">
        <v>1</v>
      </c>
      <c r="E1663" s="4" t="str">
        <f>"2170741341"</f>
        <v>2170741341</v>
      </c>
      <c r="F1663" s="4" t="s">
        <v>17</v>
      </c>
      <c r="G1663" s="4" t="s">
        <v>18</v>
      </c>
      <c r="H1663" s="4" t="s">
        <v>18</v>
      </c>
      <c r="I1663" s="4" t="s">
        <v>29</v>
      </c>
      <c r="J1663" s="4" t="s">
        <v>1227</v>
      </c>
      <c r="K1663" s="4" t="s">
        <v>1572</v>
      </c>
      <c r="L1663" s="5">
        <v>0.32777777777777778</v>
      </c>
      <c r="M1663" s="4" t="s">
        <v>1663</v>
      </c>
      <c r="N1663" s="6" t="s">
        <v>23</v>
      </c>
      <c r="O1663" s="4" t="s">
        <v>24</v>
      </c>
    </row>
    <row r="1664" spans="1:15" x14ac:dyDescent="0.25">
      <c r="A1664" s="4" t="s">
        <v>15</v>
      </c>
      <c r="B1664" s="4" t="str">
        <f>"FES1162751224"</f>
        <v>FES1162751224</v>
      </c>
      <c r="C1664" s="4" t="s">
        <v>1492</v>
      </c>
      <c r="D1664" s="4">
        <v>1</v>
      </c>
      <c r="E1664" s="4" t="str">
        <f>"2170741267"</f>
        <v>2170741267</v>
      </c>
      <c r="F1664" s="4" t="s">
        <v>17</v>
      </c>
      <c r="G1664" s="4" t="s">
        <v>18</v>
      </c>
      <c r="H1664" s="4" t="s">
        <v>25</v>
      </c>
      <c r="I1664" s="4" t="s">
        <v>26</v>
      </c>
      <c r="J1664" s="4" t="s">
        <v>287</v>
      </c>
      <c r="K1664" s="4" t="s">
        <v>1572</v>
      </c>
      <c r="L1664" s="5">
        <v>0.40972222222222227</v>
      </c>
      <c r="M1664" s="4" t="s">
        <v>1317</v>
      </c>
      <c r="N1664" s="6" t="s">
        <v>23</v>
      </c>
      <c r="O1664" s="4" t="s">
        <v>24</v>
      </c>
    </row>
    <row r="1665" spans="1:15" x14ac:dyDescent="0.25">
      <c r="A1665" s="4" t="s">
        <v>15</v>
      </c>
      <c r="B1665" s="4" t="str">
        <f>"FES1162751253"</f>
        <v>FES1162751253</v>
      </c>
      <c r="C1665" s="4" t="s">
        <v>1492</v>
      </c>
      <c r="D1665" s="4">
        <v>1</v>
      </c>
      <c r="E1665" s="4" t="str">
        <f>"2170741322"</f>
        <v>2170741322</v>
      </c>
      <c r="F1665" s="4" t="s">
        <v>17</v>
      </c>
      <c r="G1665" s="4" t="s">
        <v>18</v>
      </c>
      <c r="H1665" s="4" t="s">
        <v>25</v>
      </c>
      <c r="I1665" s="4" t="s">
        <v>26</v>
      </c>
      <c r="J1665" s="4" t="s">
        <v>1520</v>
      </c>
      <c r="K1665" s="4" t="s">
        <v>1572</v>
      </c>
      <c r="L1665" s="5">
        <v>0.3840277777777778</v>
      </c>
      <c r="M1665" s="4" t="s">
        <v>1581</v>
      </c>
      <c r="N1665" s="6" t="s">
        <v>23</v>
      </c>
      <c r="O1665" s="4" t="s">
        <v>24</v>
      </c>
    </row>
    <row r="1666" spans="1:15" x14ac:dyDescent="0.25">
      <c r="A1666" s="4" t="s">
        <v>15</v>
      </c>
      <c r="B1666" s="4" t="str">
        <f>"FES1162751259"</f>
        <v>FES1162751259</v>
      </c>
      <c r="C1666" s="4" t="s">
        <v>1492</v>
      </c>
      <c r="D1666" s="4">
        <v>1</v>
      </c>
      <c r="E1666" s="4" t="str">
        <f>"2170739517"</f>
        <v>2170739517</v>
      </c>
      <c r="F1666" s="4" t="s">
        <v>17</v>
      </c>
      <c r="G1666" s="4" t="s">
        <v>18</v>
      </c>
      <c r="H1666" s="4" t="s">
        <v>25</v>
      </c>
      <c r="I1666" s="4" t="s">
        <v>26</v>
      </c>
      <c r="J1666" s="4" t="s">
        <v>1626</v>
      </c>
      <c r="K1666" s="4" t="s">
        <v>1572</v>
      </c>
      <c r="L1666" s="5">
        <v>0.3923611111111111</v>
      </c>
      <c r="M1666" s="4" t="s">
        <v>1664</v>
      </c>
      <c r="N1666" s="6" t="s">
        <v>23</v>
      </c>
      <c r="O1666" s="4" t="s">
        <v>24</v>
      </c>
    </row>
    <row r="1667" spans="1:15" x14ac:dyDescent="0.25">
      <c r="A1667" s="4" t="s">
        <v>15</v>
      </c>
      <c r="B1667" s="4" t="str">
        <f>"FES1162751264"</f>
        <v>FES1162751264</v>
      </c>
      <c r="C1667" s="4" t="s">
        <v>1492</v>
      </c>
      <c r="D1667" s="4">
        <v>1</v>
      </c>
      <c r="E1667" s="4" t="str">
        <f>"2170739714"</f>
        <v>2170739714</v>
      </c>
      <c r="F1667" s="4" t="s">
        <v>17</v>
      </c>
      <c r="G1667" s="4" t="s">
        <v>18</v>
      </c>
      <c r="H1667" s="4" t="s">
        <v>48</v>
      </c>
      <c r="I1667" s="4" t="s">
        <v>49</v>
      </c>
      <c r="J1667" s="4" t="s">
        <v>1627</v>
      </c>
      <c r="K1667" s="4" t="s">
        <v>1572</v>
      </c>
      <c r="L1667" s="5">
        <v>0.41250000000000003</v>
      </c>
      <c r="M1667" s="4" t="s">
        <v>1665</v>
      </c>
      <c r="N1667" s="6" t="s">
        <v>23</v>
      </c>
      <c r="O1667" s="4" t="s">
        <v>24</v>
      </c>
    </row>
    <row r="1668" spans="1:15" x14ac:dyDescent="0.25">
      <c r="A1668" s="4" t="s">
        <v>15</v>
      </c>
      <c r="B1668" s="4" t="str">
        <f>"FES1162751266"</f>
        <v>FES1162751266</v>
      </c>
      <c r="C1668" s="4" t="s">
        <v>1492</v>
      </c>
      <c r="D1668" s="4">
        <v>1</v>
      </c>
      <c r="E1668" s="4" t="str">
        <f>"2170741254"</f>
        <v>2170741254</v>
      </c>
      <c r="F1668" s="4" t="s">
        <v>17</v>
      </c>
      <c r="G1668" s="4" t="s">
        <v>18</v>
      </c>
      <c r="H1668" s="4" t="s">
        <v>32</v>
      </c>
      <c r="I1668" s="4" t="s">
        <v>33</v>
      </c>
      <c r="J1668" s="4" t="s">
        <v>1628</v>
      </c>
      <c r="K1668" s="4" t="s">
        <v>1572</v>
      </c>
      <c r="L1668" s="5">
        <v>0.375</v>
      </c>
      <c r="M1668" s="4" t="s">
        <v>1666</v>
      </c>
      <c r="N1668" s="6" t="s">
        <v>23</v>
      </c>
      <c r="O1668" s="4" t="s">
        <v>24</v>
      </c>
    </row>
    <row r="1669" spans="1:15" x14ac:dyDescent="0.25">
      <c r="A1669" s="4" t="s">
        <v>15</v>
      </c>
      <c r="B1669" s="4" t="str">
        <f>"FES1162751265"</f>
        <v>FES1162751265</v>
      </c>
      <c r="C1669" s="4" t="s">
        <v>1492</v>
      </c>
      <c r="D1669" s="4">
        <v>1</v>
      </c>
      <c r="E1669" s="4" t="str">
        <f>"2170741244"</f>
        <v>2170741244</v>
      </c>
      <c r="F1669" s="4" t="s">
        <v>17</v>
      </c>
      <c r="G1669" s="4" t="s">
        <v>18</v>
      </c>
      <c r="H1669" s="4" t="s">
        <v>18</v>
      </c>
      <c r="I1669" s="4" t="s">
        <v>29</v>
      </c>
      <c r="J1669" s="4" t="s">
        <v>30</v>
      </c>
      <c r="K1669" s="4" t="s">
        <v>1572</v>
      </c>
      <c r="L1669" s="5">
        <v>0.41666666666666669</v>
      </c>
      <c r="M1669" s="4" t="s">
        <v>1436</v>
      </c>
      <c r="N1669" s="6" t="s">
        <v>23</v>
      </c>
      <c r="O1669" s="4" t="s">
        <v>24</v>
      </c>
    </row>
    <row r="1670" spans="1:15" x14ac:dyDescent="0.25">
      <c r="A1670" s="4" t="s">
        <v>15</v>
      </c>
      <c r="B1670" s="4" t="str">
        <f>"FES1162751246"</f>
        <v>FES1162751246</v>
      </c>
      <c r="C1670" s="4" t="s">
        <v>1492</v>
      </c>
      <c r="D1670" s="4">
        <v>1</v>
      </c>
      <c r="E1670" s="4" t="str">
        <f>"2170741081"</f>
        <v>2170741081</v>
      </c>
      <c r="F1670" s="4" t="s">
        <v>17</v>
      </c>
      <c r="G1670" s="4" t="s">
        <v>18</v>
      </c>
      <c r="H1670" s="4" t="s">
        <v>18</v>
      </c>
      <c r="I1670" s="4" t="s">
        <v>121</v>
      </c>
      <c r="J1670" s="4" t="s">
        <v>1629</v>
      </c>
      <c r="K1670" s="4" t="s">
        <v>1572</v>
      </c>
      <c r="L1670" s="5">
        <v>0.4375</v>
      </c>
      <c r="M1670" s="4" t="s">
        <v>753</v>
      </c>
      <c r="N1670" s="6" t="s">
        <v>23</v>
      </c>
      <c r="O1670" s="4" t="s">
        <v>24</v>
      </c>
    </row>
    <row r="1671" spans="1:15" x14ac:dyDescent="0.25">
      <c r="A1671" s="4" t="s">
        <v>15</v>
      </c>
      <c r="B1671" s="4" t="str">
        <f>"FES1162751229"</f>
        <v>FES1162751229</v>
      </c>
      <c r="C1671" s="4" t="s">
        <v>1492</v>
      </c>
      <c r="D1671" s="4">
        <v>1</v>
      </c>
      <c r="E1671" s="4" t="str">
        <f>"2170741321"</f>
        <v>2170741321</v>
      </c>
      <c r="F1671" s="4" t="s">
        <v>17</v>
      </c>
      <c r="G1671" s="4" t="s">
        <v>18</v>
      </c>
      <c r="H1671" s="4" t="s">
        <v>25</v>
      </c>
      <c r="I1671" s="4" t="s">
        <v>26</v>
      </c>
      <c r="J1671" s="4" t="s">
        <v>1520</v>
      </c>
      <c r="K1671" s="4" t="s">
        <v>1572</v>
      </c>
      <c r="L1671" s="5">
        <v>0.3840277777777778</v>
      </c>
      <c r="M1671" s="4" t="s">
        <v>1581</v>
      </c>
      <c r="N1671" s="6" t="s">
        <v>23</v>
      </c>
      <c r="O1671" s="4" t="s">
        <v>24</v>
      </c>
    </row>
    <row r="1672" spans="1:15" x14ac:dyDescent="0.25">
      <c r="A1672" s="4" t="s">
        <v>15</v>
      </c>
      <c r="B1672" s="4" t="str">
        <f>"RFES1162748844"</f>
        <v>RFES1162748844</v>
      </c>
      <c r="C1672" s="4" t="s">
        <v>1492</v>
      </c>
      <c r="D1672" s="4">
        <v>1</v>
      </c>
      <c r="E1672" s="4" t="str">
        <f>"2170737861"</f>
        <v>2170737861</v>
      </c>
      <c r="F1672" s="4" t="s">
        <v>17</v>
      </c>
      <c r="G1672" s="4" t="s">
        <v>18</v>
      </c>
      <c r="H1672" s="4" t="s">
        <v>18</v>
      </c>
      <c r="I1672" s="4" t="s">
        <v>29</v>
      </c>
      <c r="J1672" s="4" t="s">
        <v>417</v>
      </c>
      <c r="K1672" s="4" t="s">
        <v>1572</v>
      </c>
      <c r="L1672" s="5">
        <v>0.34375</v>
      </c>
      <c r="M1672" s="4" t="s">
        <v>1639</v>
      </c>
      <c r="N1672" s="6" t="s">
        <v>23</v>
      </c>
      <c r="O1672" s="4" t="s">
        <v>24</v>
      </c>
    </row>
    <row r="1673" spans="1:15" ht="15.75" thickBot="1" x14ac:dyDescent="0.3">
      <c r="A1673" s="7" t="s">
        <v>15</v>
      </c>
      <c r="B1673" s="7" t="str">
        <f>"R009935712285"</f>
        <v>R009935712285</v>
      </c>
      <c r="C1673" s="7" t="s">
        <v>1624</v>
      </c>
      <c r="D1673" s="7">
        <v>1</v>
      </c>
      <c r="E1673" s="7" t="str">
        <f>"1162742561"</f>
        <v>1162742561</v>
      </c>
      <c r="F1673" s="7" t="s">
        <v>17</v>
      </c>
      <c r="G1673" s="7" t="s">
        <v>18</v>
      </c>
      <c r="H1673" s="7" t="s">
        <v>18</v>
      </c>
      <c r="I1673" s="7" t="s">
        <v>29</v>
      </c>
      <c r="J1673" s="7" t="s">
        <v>417</v>
      </c>
      <c r="K1673" s="7" t="s">
        <v>1572</v>
      </c>
      <c r="L1673" s="8">
        <v>0.38055555555555554</v>
      </c>
      <c r="M1673" s="7" t="s">
        <v>1639</v>
      </c>
      <c r="N1673" s="7" t="s">
        <v>23</v>
      </c>
      <c r="O1673" s="7" t="s">
        <v>297</v>
      </c>
    </row>
    <row r="1674" spans="1:15" x14ac:dyDescent="0.25">
      <c r="A1674" s="1" t="s">
        <v>15</v>
      </c>
      <c r="B1674" s="1" t="str">
        <f>"FES1162751329"</f>
        <v>FES1162751329</v>
      </c>
      <c r="C1674" s="1" t="s">
        <v>1572</v>
      </c>
      <c r="D1674" s="1">
        <v>1</v>
      </c>
      <c r="E1674" s="1" t="str">
        <f>"2170739922"</f>
        <v>2170739922</v>
      </c>
      <c r="F1674" s="1" t="s">
        <v>17</v>
      </c>
      <c r="G1674" s="1" t="s">
        <v>18</v>
      </c>
      <c r="H1674" s="1" t="s">
        <v>32</v>
      </c>
      <c r="I1674" s="1" t="s">
        <v>33</v>
      </c>
      <c r="J1674" s="1" t="s">
        <v>317</v>
      </c>
      <c r="K1674" s="1" t="s">
        <v>1668</v>
      </c>
      <c r="L1674" s="2">
        <v>0.39861111111111108</v>
      </c>
      <c r="M1674" s="1" t="s">
        <v>1693</v>
      </c>
      <c r="N1674" s="3" t="s">
        <v>23</v>
      </c>
      <c r="O1674" s="1" t="s">
        <v>24</v>
      </c>
    </row>
    <row r="1675" spans="1:15" x14ac:dyDescent="0.25">
      <c r="A1675" s="4" t="s">
        <v>15</v>
      </c>
      <c r="B1675" s="4" t="str">
        <f>"FES1162751343"</f>
        <v>FES1162751343</v>
      </c>
      <c r="C1675" s="4" t="s">
        <v>1572</v>
      </c>
      <c r="D1675" s="4">
        <v>1</v>
      </c>
      <c r="E1675" s="4" t="str">
        <f>"21707140867"</f>
        <v>21707140867</v>
      </c>
      <c r="F1675" s="4" t="s">
        <v>17</v>
      </c>
      <c r="G1675" s="4" t="s">
        <v>18</v>
      </c>
      <c r="H1675" s="4" t="s">
        <v>32</v>
      </c>
      <c r="I1675" s="4" t="s">
        <v>33</v>
      </c>
      <c r="J1675" s="4" t="s">
        <v>34</v>
      </c>
      <c r="K1675" s="4" t="s">
        <v>1668</v>
      </c>
      <c r="L1675" s="5">
        <v>0.40625</v>
      </c>
      <c r="M1675" s="4" t="s">
        <v>1694</v>
      </c>
      <c r="N1675" s="6" t="s">
        <v>23</v>
      </c>
      <c r="O1675" s="4" t="s">
        <v>24</v>
      </c>
    </row>
    <row r="1676" spans="1:15" x14ac:dyDescent="0.25">
      <c r="A1676" s="4" t="s">
        <v>15</v>
      </c>
      <c r="B1676" s="4" t="str">
        <f>"FES1162751342"</f>
        <v>FES1162751342</v>
      </c>
      <c r="C1676" s="4" t="s">
        <v>1572</v>
      </c>
      <c r="D1676" s="4">
        <v>1</v>
      </c>
      <c r="E1676" s="4" t="str">
        <f>"2170740710"</f>
        <v>2170740710</v>
      </c>
      <c r="F1676" s="4" t="s">
        <v>17</v>
      </c>
      <c r="G1676" s="4" t="s">
        <v>18</v>
      </c>
      <c r="H1676" s="4" t="s">
        <v>32</v>
      </c>
      <c r="I1676" s="4" t="s">
        <v>33</v>
      </c>
      <c r="J1676" s="4" t="s">
        <v>34</v>
      </c>
      <c r="K1676" s="4" t="s">
        <v>1668</v>
      </c>
      <c r="L1676" s="5">
        <v>0.40625</v>
      </c>
      <c r="M1676" s="4" t="s">
        <v>1558</v>
      </c>
      <c r="N1676" s="6" t="s">
        <v>23</v>
      </c>
      <c r="O1676" s="4" t="s">
        <v>24</v>
      </c>
    </row>
    <row r="1677" spans="1:15" x14ac:dyDescent="0.25">
      <c r="A1677" s="4" t="s">
        <v>15</v>
      </c>
      <c r="B1677" s="4" t="str">
        <f>"FES1162751340"</f>
        <v>FES1162751340</v>
      </c>
      <c r="C1677" s="4" t="s">
        <v>1572</v>
      </c>
      <c r="D1677" s="4">
        <v>1</v>
      </c>
      <c r="E1677" s="4" t="str">
        <f>"21707439850"</f>
        <v>21707439850</v>
      </c>
      <c r="F1677" s="4" t="s">
        <v>17</v>
      </c>
      <c r="G1677" s="4" t="s">
        <v>18</v>
      </c>
      <c r="H1677" s="4" t="s">
        <v>18</v>
      </c>
      <c r="I1677" s="4" t="s">
        <v>58</v>
      </c>
      <c r="J1677" s="4" t="s">
        <v>34</v>
      </c>
      <c r="K1677" s="4" t="s">
        <v>1668</v>
      </c>
      <c r="L1677" s="5">
        <v>0.36249999999999999</v>
      </c>
      <c r="M1677" s="4" t="s">
        <v>170</v>
      </c>
      <c r="N1677" s="6" t="s">
        <v>23</v>
      </c>
      <c r="O1677" s="4" t="s">
        <v>24</v>
      </c>
    </row>
    <row r="1678" spans="1:15" x14ac:dyDescent="0.25">
      <c r="A1678" s="4" t="s">
        <v>15</v>
      </c>
      <c r="B1678" s="4" t="str">
        <f>"FES1162751323"</f>
        <v>FES1162751323</v>
      </c>
      <c r="C1678" s="4" t="s">
        <v>1572</v>
      </c>
      <c r="D1678" s="4">
        <v>1</v>
      </c>
      <c r="E1678" s="4" t="str">
        <f>"2170741452"</f>
        <v>2170741452</v>
      </c>
      <c r="F1678" s="4" t="s">
        <v>17</v>
      </c>
      <c r="G1678" s="4" t="s">
        <v>18</v>
      </c>
      <c r="H1678" s="4" t="s">
        <v>18</v>
      </c>
      <c r="I1678" s="4" t="s">
        <v>147</v>
      </c>
      <c r="J1678" s="4" t="s">
        <v>1667</v>
      </c>
      <c r="K1678" s="4" t="s">
        <v>1668</v>
      </c>
      <c r="L1678" s="5">
        <v>0.33333333333333331</v>
      </c>
      <c r="M1678" s="4" t="s">
        <v>1695</v>
      </c>
      <c r="N1678" s="6" t="s">
        <v>23</v>
      </c>
      <c r="O1678" s="4" t="s">
        <v>24</v>
      </c>
    </row>
    <row r="1679" spans="1:15" x14ac:dyDescent="0.25">
      <c r="A1679" s="4" t="s">
        <v>15</v>
      </c>
      <c r="B1679" s="4" t="str">
        <f>"FES1162751301"</f>
        <v>FES1162751301</v>
      </c>
      <c r="C1679" s="4" t="s">
        <v>1572</v>
      </c>
      <c r="D1679" s="4">
        <v>1</v>
      </c>
      <c r="E1679" s="4" t="str">
        <f>"2170741426"</f>
        <v>2170741426</v>
      </c>
      <c r="F1679" s="4" t="s">
        <v>17</v>
      </c>
      <c r="G1679" s="4" t="s">
        <v>18</v>
      </c>
      <c r="H1679" s="4" t="s">
        <v>52</v>
      </c>
      <c r="I1679" s="4" t="s">
        <v>53</v>
      </c>
      <c r="J1679" s="4" t="s">
        <v>1070</v>
      </c>
      <c r="K1679" s="4" t="s">
        <v>1668</v>
      </c>
      <c r="L1679" s="5">
        <v>0.41666666666666669</v>
      </c>
      <c r="M1679" s="4" t="s">
        <v>1696</v>
      </c>
      <c r="N1679" s="6" t="s">
        <v>23</v>
      </c>
      <c r="O1679" s="4" t="s">
        <v>24</v>
      </c>
    </row>
    <row r="1680" spans="1:15" x14ac:dyDescent="0.25">
      <c r="A1680" s="4" t="s">
        <v>15</v>
      </c>
      <c r="B1680" s="4" t="str">
        <f>"FES1162751302"</f>
        <v>FES1162751302</v>
      </c>
      <c r="C1680" s="4" t="s">
        <v>1572</v>
      </c>
      <c r="D1680" s="4">
        <v>1</v>
      </c>
      <c r="E1680" s="4" t="str">
        <f>"2170741427"</f>
        <v>2170741427</v>
      </c>
      <c r="F1680" s="4" t="s">
        <v>17</v>
      </c>
      <c r="G1680" s="4" t="s">
        <v>18</v>
      </c>
      <c r="H1680" s="4" t="s">
        <v>52</v>
      </c>
      <c r="I1680" s="4" t="s">
        <v>53</v>
      </c>
      <c r="J1680" s="4" t="s">
        <v>1070</v>
      </c>
      <c r="K1680" s="4" t="s">
        <v>1668</v>
      </c>
      <c r="L1680" s="5">
        <v>0.43333333333333335</v>
      </c>
      <c r="M1680" s="4" t="s">
        <v>1696</v>
      </c>
      <c r="N1680" s="6" t="s">
        <v>23</v>
      </c>
      <c r="O1680" s="4" t="s">
        <v>24</v>
      </c>
    </row>
    <row r="1681" spans="1:15" x14ac:dyDescent="0.25">
      <c r="A1681" s="4" t="s">
        <v>15</v>
      </c>
      <c r="B1681" s="4" t="str">
        <f>"FES1162751310"</f>
        <v>FES1162751310</v>
      </c>
      <c r="C1681" s="4" t="s">
        <v>1572</v>
      </c>
      <c r="D1681" s="4">
        <v>1</v>
      </c>
      <c r="E1681" s="4" t="str">
        <f>"2170741436"</f>
        <v>2170741436</v>
      </c>
      <c r="F1681" s="4" t="s">
        <v>17</v>
      </c>
      <c r="G1681" s="4" t="s">
        <v>18</v>
      </c>
      <c r="H1681" s="4" t="s">
        <v>52</v>
      </c>
      <c r="I1681" s="4" t="s">
        <v>53</v>
      </c>
      <c r="J1681" s="4" t="s">
        <v>280</v>
      </c>
      <c r="K1681" s="4" t="s">
        <v>1668</v>
      </c>
      <c r="L1681" s="5">
        <v>0.41666666666666669</v>
      </c>
      <c r="M1681" s="4" t="s">
        <v>1149</v>
      </c>
      <c r="N1681" s="6" t="s">
        <v>23</v>
      </c>
      <c r="O1681" s="4" t="s">
        <v>24</v>
      </c>
    </row>
    <row r="1682" spans="1:15" x14ac:dyDescent="0.25">
      <c r="A1682" s="4" t="s">
        <v>15</v>
      </c>
      <c r="B1682" s="4" t="str">
        <f>"FES1162751298"</f>
        <v>FES1162751298</v>
      </c>
      <c r="C1682" s="4" t="s">
        <v>1572</v>
      </c>
      <c r="D1682" s="4">
        <v>1</v>
      </c>
      <c r="E1682" s="4" t="str">
        <f>"2170741422"</f>
        <v>2170741422</v>
      </c>
      <c r="F1682" s="4" t="s">
        <v>17</v>
      </c>
      <c r="G1682" s="4" t="s">
        <v>18</v>
      </c>
      <c r="H1682" s="4" t="s">
        <v>25</v>
      </c>
      <c r="I1682" s="4" t="s">
        <v>92</v>
      </c>
      <c r="J1682" s="4" t="s">
        <v>555</v>
      </c>
      <c r="K1682" s="4" t="s">
        <v>1668</v>
      </c>
      <c r="L1682" s="5">
        <v>0.34375</v>
      </c>
      <c r="M1682" s="4" t="s">
        <v>1669</v>
      </c>
      <c r="N1682" s="6" t="s">
        <v>23</v>
      </c>
      <c r="O1682" s="4" t="s">
        <v>24</v>
      </c>
    </row>
    <row r="1683" spans="1:15" x14ac:dyDescent="0.25">
      <c r="A1683" s="4" t="s">
        <v>15</v>
      </c>
      <c r="B1683" s="4" t="str">
        <f>"FES1162751306"</f>
        <v>FES1162751306</v>
      </c>
      <c r="C1683" s="4" t="s">
        <v>1572</v>
      </c>
      <c r="D1683" s="4">
        <v>1</v>
      </c>
      <c r="E1683" s="4" t="str">
        <f>"2170741411"</f>
        <v>2170741411</v>
      </c>
      <c r="F1683" s="4" t="s">
        <v>17</v>
      </c>
      <c r="G1683" s="4" t="s">
        <v>18</v>
      </c>
      <c r="H1683" s="4" t="s">
        <v>52</v>
      </c>
      <c r="I1683" s="4" t="s">
        <v>53</v>
      </c>
      <c r="J1683" s="4" t="s">
        <v>592</v>
      </c>
      <c r="K1683" s="4" t="s">
        <v>1668</v>
      </c>
      <c r="L1683" s="5">
        <v>0.43333333333333335</v>
      </c>
      <c r="M1683" s="4" t="s">
        <v>1697</v>
      </c>
      <c r="N1683" s="6" t="s">
        <v>23</v>
      </c>
      <c r="O1683" s="4" t="s">
        <v>24</v>
      </c>
    </row>
    <row r="1684" spans="1:15" x14ac:dyDescent="0.25">
      <c r="A1684" s="4" t="s">
        <v>15</v>
      </c>
      <c r="B1684" s="4" t="str">
        <f>"FES1162751308"</f>
        <v>FES1162751308</v>
      </c>
      <c r="C1684" s="4" t="s">
        <v>1572</v>
      </c>
      <c r="D1684" s="4">
        <v>1</v>
      </c>
      <c r="E1684" s="4" t="str">
        <f>"2170741429"</f>
        <v>2170741429</v>
      </c>
      <c r="F1684" s="4" t="s">
        <v>17</v>
      </c>
      <c r="G1684" s="4" t="s">
        <v>18</v>
      </c>
      <c r="H1684" s="4" t="s">
        <v>25</v>
      </c>
      <c r="I1684" s="4" t="s">
        <v>92</v>
      </c>
      <c r="J1684" s="4" t="s">
        <v>288</v>
      </c>
      <c r="K1684" s="4" t="s">
        <v>1668</v>
      </c>
      <c r="L1684" s="5">
        <v>0.37152777777777773</v>
      </c>
      <c r="M1684" s="4" t="s">
        <v>1698</v>
      </c>
      <c r="N1684" s="6" t="s">
        <v>23</v>
      </c>
      <c r="O1684" s="4" t="s">
        <v>24</v>
      </c>
    </row>
    <row r="1685" spans="1:15" x14ac:dyDescent="0.25">
      <c r="A1685" s="4" t="s">
        <v>15</v>
      </c>
      <c r="B1685" s="4" t="str">
        <f>"FES1162751275"</f>
        <v>FES1162751275</v>
      </c>
      <c r="C1685" s="4" t="s">
        <v>1572</v>
      </c>
      <c r="D1685" s="4">
        <v>1</v>
      </c>
      <c r="E1685" s="4" t="str">
        <f>"2170739673"</f>
        <v>2170739673</v>
      </c>
      <c r="F1685" s="4" t="s">
        <v>17</v>
      </c>
      <c r="G1685" s="4" t="s">
        <v>18</v>
      </c>
      <c r="H1685" s="4" t="s">
        <v>18</v>
      </c>
      <c r="I1685" s="4" t="s">
        <v>19</v>
      </c>
      <c r="J1685" s="4" t="s">
        <v>186</v>
      </c>
      <c r="K1685" s="4" t="s">
        <v>1668</v>
      </c>
      <c r="L1685" s="5">
        <v>0.4145833333333333</v>
      </c>
      <c r="M1685" s="4" t="s">
        <v>707</v>
      </c>
      <c r="N1685" s="6" t="s">
        <v>23</v>
      </c>
      <c r="O1685" s="4" t="s">
        <v>24</v>
      </c>
    </row>
    <row r="1686" spans="1:15" x14ac:dyDescent="0.25">
      <c r="A1686" s="4" t="s">
        <v>15</v>
      </c>
      <c r="B1686" s="4" t="str">
        <f>"FES1162751307"</f>
        <v>FES1162751307</v>
      </c>
      <c r="C1686" s="4" t="s">
        <v>1572</v>
      </c>
      <c r="D1686" s="4">
        <v>1</v>
      </c>
      <c r="E1686" s="4" t="str">
        <f>"21707414156"</f>
        <v>21707414156</v>
      </c>
      <c r="F1686" s="4" t="s">
        <v>17</v>
      </c>
      <c r="G1686" s="4" t="s">
        <v>18</v>
      </c>
      <c r="H1686" s="4" t="s">
        <v>85</v>
      </c>
      <c r="I1686" s="4" t="s">
        <v>144</v>
      </c>
      <c r="J1686" s="4" t="s">
        <v>360</v>
      </c>
      <c r="K1686" s="4" t="s">
        <v>1668</v>
      </c>
      <c r="L1686" s="5">
        <v>0.36458333333333331</v>
      </c>
      <c r="M1686" s="4" t="s">
        <v>1699</v>
      </c>
      <c r="N1686" s="6" t="s">
        <v>23</v>
      </c>
      <c r="O1686" s="4" t="s">
        <v>24</v>
      </c>
    </row>
    <row r="1687" spans="1:15" x14ac:dyDescent="0.25">
      <c r="A1687" s="4" t="s">
        <v>15</v>
      </c>
      <c r="B1687" s="4" t="str">
        <f>"FES1162751276"</f>
        <v>FES1162751276</v>
      </c>
      <c r="C1687" s="4" t="s">
        <v>1572</v>
      </c>
      <c r="D1687" s="4">
        <v>1</v>
      </c>
      <c r="E1687" s="4" t="str">
        <f>"2170740120"</f>
        <v>2170740120</v>
      </c>
      <c r="F1687" s="4" t="s">
        <v>17</v>
      </c>
      <c r="G1687" s="4" t="s">
        <v>18</v>
      </c>
      <c r="H1687" s="4" t="s">
        <v>40</v>
      </c>
      <c r="I1687" s="4" t="s">
        <v>41</v>
      </c>
      <c r="J1687" s="4" t="s">
        <v>359</v>
      </c>
      <c r="K1687" s="4" t="s">
        <v>1668</v>
      </c>
      <c r="L1687" s="5">
        <v>0.56458333333333333</v>
      </c>
      <c r="M1687" s="4" t="s">
        <v>1700</v>
      </c>
      <c r="N1687" s="6" t="s">
        <v>23</v>
      </c>
      <c r="O1687" s="4" t="s">
        <v>24</v>
      </c>
    </row>
    <row r="1688" spans="1:15" x14ac:dyDescent="0.25">
      <c r="A1688" s="4" t="s">
        <v>15</v>
      </c>
      <c r="B1688" s="4" t="str">
        <f>"FES1162751214"</f>
        <v>FES1162751214</v>
      </c>
      <c r="C1688" s="4" t="s">
        <v>1572</v>
      </c>
      <c r="D1688" s="4">
        <v>1</v>
      </c>
      <c r="E1688" s="4" t="str">
        <f>"21707410305"</f>
        <v>21707410305</v>
      </c>
      <c r="F1688" s="4" t="s">
        <v>17</v>
      </c>
      <c r="G1688" s="4" t="s">
        <v>18</v>
      </c>
      <c r="H1688" s="4" t="s">
        <v>85</v>
      </c>
      <c r="I1688" s="4" t="s">
        <v>144</v>
      </c>
      <c r="J1688" s="4" t="s">
        <v>1373</v>
      </c>
      <c r="K1688" s="4" t="s">
        <v>1668</v>
      </c>
      <c r="L1688" s="5">
        <v>0.40625</v>
      </c>
      <c r="M1688" s="4" t="s">
        <v>1701</v>
      </c>
      <c r="N1688" s="6" t="s">
        <v>23</v>
      </c>
      <c r="O1688" s="4" t="s">
        <v>24</v>
      </c>
    </row>
    <row r="1689" spans="1:15" x14ac:dyDescent="0.25">
      <c r="A1689" s="4" t="s">
        <v>15</v>
      </c>
      <c r="B1689" s="4" t="str">
        <f>"FES1162751289"</f>
        <v>FES1162751289</v>
      </c>
      <c r="C1689" s="4" t="s">
        <v>1572</v>
      </c>
      <c r="D1689" s="4">
        <v>1</v>
      </c>
      <c r="E1689" s="4" t="str">
        <f>"2170741393"</f>
        <v>2170741393</v>
      </c>
      <c r="F1689" s="4" t="s">
        <v>17</v>
      </c>
      <c r="G1689" s="4" t="s">
        <v>18</v>
      </c>
      <c r="H1689" s="4" t="s">
        <v>18</v>
      </c>
      <c r="I1689" s="4" t="s">
        <v>29</v>
      </c>
      <c r="J1689" s="4" t="s">
        <v>1518</v>
      </c>
      <c r="K1689" s="4" t="s">
        <v>1668</v>
      </c>
      <c r="L1689" s="5">
        <v>0.4201388888888889</v>
      </c>
      <c r="M1689" s="4" t="s">
        <v>1578</v>
      </c>
      <c r="N1689" s="6" t="s">
        <v>23</v>
      </c>
      <c r="O1689" s="4" t="s">
        <v>24</v>
      </c>
    </row>
    <row r="1690" spans="1:15" x14ac:dyDescent="0.25">
      <c r="A1690" s="4" t="s">
        <v>15</v>
      </c>
      <c r="B1690" s="4" t="str">
        <f>"FES1162751305"</f>
        <v>FES1162751305</v>
      </c>
      <c r="C1690" s="4" t="s">
        <v>1572</v>
      </c>
      <c r="D1690" s="4">
        <v>1</v>
      </c>
      <c r="E1690" s="4" t="str">
        <f>"2170741386"</f>
        <v>2170741386</v>
      </c>
      <c r="F1690" s="4" t="s">
        <v>17</v>
      </c>
      <c r="G1690" s="4" t="s">
        <v>18</v>
      </c>
      <c r="H1690" s="4" t="s">
        <v>18</v>
      </c>
      <c r="I1690" s="4" t="s">
        <v>292</v>
      </c>
      <c r="J1690" s="4" t="s">
        <v>312</v>
      </c>
      <c r="K1690" s="4" t="s">
        <v>1668</v>
      </c>
      <c r="L1690" s="5">
        <v>0.43055555555555558</v>
      </c>
      <c r="M1690" s="4" t="s">
        <v>1702</v>
      </c>
      <c r="N1690" s="6" t="s">
        <v>23</v>
      </c>
      <c r="O1690" s="4" t="s">
        <v>24</v>
      </c>
    </row>
    <row r="1691" spans="1:15" x14ac:dyDescent="0.25">
      <c r="A1691" s="4" t="s">
        <v>15</v>
      </c>
      <c r="B1691" s="4" t="str">
        <f>"FES1162751292"</f>
        <v>FES1162751292</v>
      </c>
      <c r="C1691" s="4" t="s">
        <v>1572</v>
      </c>
      <c r="D1691" s="4">
        <v>1</v>
      </c>
      <c r="E1691" s="4" t="str">
        <f>"2170741397"</f>
        <v>2170741397</v>
      </c>
      <c r="F1691" s="4" t="s">
        <v>17</v>
      </c>
      <c r="G1691" s="4" t="s">
        <v>18</v>
      </c>
      <c r="H1691" s="4" t="s">
        <v>32</v>
      </c>
      <c r="I1691" s="4" t="s">
        <v>33</v>
      </c>
      <c r="J1691" s="4" t="s">
        <v>1369</v>
      </c>
      <c r="K1691" s="4" t="s">
        <v>1668</v>
      </c>
      <c r="L1691" s="5">
        <v>0.3888888888888889</v>
      </c>
      <c r="M1691" s="4" t="s">
        <v>65</v>
      </c>
      <c r="N1691" s="6" t="s">
        <v>23</v>
      </c>
      <c r="O1691" s="4" t="s">
        <v>24</v>
      </c>
    </row>
    <row r="1692" spans="1:15" x14ac:dyDescent="0.25">
      <c r="A1692" s="4" t="s">
        <v>15</v>
      </c>
      <c r="B1692" s="4" t="str">
        <f>"FES1162751277"</f>
        <v>FES1162751277</v>
      </c>
      <c r="C1692" s="4" t="s">
        <v>1572</v>
      </c>
      <c r="D1692" s="4">
        <v>1</v>
      </c>
      <c r="E1692" s="4" t="str">
        <f>"2170740302"</f>
        <v>2170740302</v>
      </c>
      <c r="F1692" s="4" t="s">
        <v>17</v>
      </c>
      <c r="G1692" s="4" t="s">
        <v>18</v>
      </c>
      <c r="H1692" s="4" t="s">
        <v>32</v>
      </c>
      <c r="I1692" s="4" t="s">
        <v>140</v>
      </c>
      <c r="J1692" s="4" t="s">
        <v>1046</v>
      </c>
      <c r="K1692" s="4" t="s">
        <v>1668</v>
      </c>
      <c r="L1692" s="5">
        <v>0.65277777777777779</v>
      </c>
      <c r="M1692" s="4" t="s">
        <v>1033</v>
      </c>
      <c r="N1692" s="6" t="s">
        <v>23</v>
      </c>
      <c r="O1692" s="4" t="s">
        <v>24</v>
      </c>
    </row>
    <row r="1693" spans="1:15" x14ac:dyDescent="0.25">
      <c r="A1693" s="4" t="s">
        <v>15</v>
      </c>
      <c r="B1693" s="4" t="str">
        <f>"FES1162751300"</f>
        <v>FES1162751300</v>
      </c>
      <c r="C1693" s="4" t="s">
        <v>1572</v>
      </c>
      <c r="D1693" s="4">
        <v>1</v>
      </c>
      <c r="E1693" s="4" t="str">
        <f>"2170741242"</f>
        <v>2170741242</v>
      </c>
      <c r="F1693" s="4" t="s">
        <v>17</v>
      </c>
      <c r="G1693" s="4" t="s">
        <v>18</v>
      </c>
      <c r="H1693" s="4" t="s">
        <v>18</v>
      </c>
      <c r="I1693" s="4" t="s">
        <v>97</v>
      </c>
      <c r="J1693" s="4" t="s">
        <v>612</v>
      </c>
      <c r="K1693" s="4" t="s">
        <v>1668</v>
      </c>
      <c r="L1693" s="5">
        <v>0.35486111111111113</v>
      </c>
      <c r="M1693" s="4" t="s">
        <v>726</v>
      </c>
      <c r="N1693" s="6" t="s">
        <v>23</v>
      </c>
      <c r="O1693" s="4" t="s">
        <v>24</v>
      </c>
    </row>
    <row r="1694" spans="1:15" x14ac:dyDescent="0.25">
      <c r="A1694" s="4" t="s">
        <v>15</v>
      </c>
      <c r="B1694" s="4" t="str">
        <f>"FES1162751291"</f>
        <v>FES1162751291</v>
      </c>
      <c r="C1694" s="4" t="s">
        <v>1572</v>
      </c>
      <c r="D1694" s="4">
        <v>1</v>
      </c>
      <c r="E1694" s="4" t="str">
        <f>"2170741395"</f>
        <v>2170741395</v>
      </c>
      <c r="F1694" s="4" t="s">
        <v>17</v>
      </c>
      <c r="G1694" s="4" t="s">
        <v>18</v>
      </c>
      <c r="H1694" s="4" t="s">
        <v>48</v>
      </c>
      <c r="I1694" s="4" t="s">
        <v>49</v>
      </c>
      <c r="J1694" s="4" t="s">
        <v>1514</v>
      </c>
      <c r="K1694" s="4" t="s">
        <v>1668</v>
      </c>
      <c r="L1694" s="5">
        <v>0.37083333333333335</v>
      </c>
      <c r="M1694" s="4" t="s">
        <v>1515</v>
      </c>
      <c r="N1694" s="6" t="s">
        <v>23</v>
      </c>
      <c r="O1694" s="4" t="s">
        <v>24</v>
      </c>
    </row>
    <row r="1695" spans="1:15" x14ac:dyDescent="0.25">
      <c r="A1695" s="4" t="s">
        <v>15</v>
      </c>
      <c r="B1695" s="4" t="str">
        <f>"FES1162751278"</f>
        <v>FES1162751278</v>
      </c>
      <c r="C1695" s="4" t="s">
        <v>1572</v>
      </c>
      <c r="D1695" s="4">
        <v>1</v>
      </c>
      <c r="E1695" s="4" t="str">
        <f>"2170740308"</f>
        <v>2170740308</v>
      </c>
      <c r="F1695" s="4" t="s">
        <v>17</v>
      </c>
      <c r="G1695" s="4" t="s">
        <v>18</v>
      </c>
      <c r="H1695" s="4" t="s">
        <v>48</v>
      </c>
      <c r="I1695" s="4" t="s">
        <v>49</v>
      </c>
      <c r="J1695" s="4" t="s">
        <v>631</v>
      </c>
      <c r="K1695" s="4" t="s">
        <v>1668</v>
      </c>
      <c r="L1695" s="5">
        <v>0.41666666666666669</v>
      </c>
      <c r="M1695" s="4" t="s">
        <v>1703</v>
      </c>
      <c r="N1695" s="6" t="s">
        <v>23</v>
      </c>
      <c r="O1695" s="4" t="s">
        <v>24</v>
      </c>
    </row>
    <row r="1696" spans="1:15" x14ac:dyDescent="0.25">
      <c r="A1696" s="4" t="s">
        <v>15</v>
      </c>
      <c r="B1696" s="4" t="str">
        <f>"FES1162751296"</f>
        <v>FES1162751296</v>
      </c>
      <c r="C1696" s="4" t="s">
        <v>1572</v>
      </c>
      <c r="D1696" s="4">
        <v>1</v>
      </c>
      <c r="E1696" s="4" t="str">
        <f>"21707414141"</f>
        <v>21707414141</v>
      </c>
      <c r="F1696" s="4" t="s">
        <v>17</v>
      </c>
      <c r="G1696" s="4" t="s">
        <v>18</v>
      </c>
      <c r="H1696" s="4" t="s">
        <v>48</v>
      </c>
      <c r="I1696" s="4" t="s">
        <v>49</v>
      </c>
      <c r="J1696" s="4" t="s">
        <v>1614</v>
      </c>
      <c r="K1696" s="4" t="s">
        <v>1668</v>
      </c>
      <c r="L1696" s="5">
        <v>0.4680555555555555</v>
      </c>
      <c r="M1696" s="4" t="s">
        <v>1704</v>
      </c>
      <c r="N1696" s="6" t="s">
        <v>23</v>
      </c>
      <c r="O1696" s="4" t="s">
        <v>24</v>
      </c>
    </row>
    <row r="1697" spans="1:15" x14ac:dyDescent="0.25">
      <c r="A1697" s="4" t="s">
        <v>15</v>
      </c>
      <c r="B1697" s="4" t="str">
        <f>"FES1162751283"</f>
        <v>FES1162751283</v>
      </c>
      <c r="C1697" s="4" t="s">
        <v>1572</v>
      </c>
      <c r="D1697" s="4">
        <v>1</v>
      </c>
      <c r="E1697" s="4" t="str">
        <f>"21702741199"</f>
        <v>21702741199</v>
      </c>
      <c r="F1697" s="4" t="s">
        <v>17</v>
      </c>
      <c r="G1697" s="4" t="s">
        <v>18</v>
      </c>
      <c r="H1697" s="4" t="s">
        <v>48</v>
      </c>
      <c r="I1697" s="4" t="s">
        <v>73</v>
      </c>
      <c r="J1697" s="4" t="s">
        <v>104</v>
      </c>
      <c r="K1697" s="4" t="s">
        <v>1668</v>
      </c>
      <c r="L1697" s="5">
        <v>0.48333333333333334</v>
      </c>
      <c r="M1697" s="4" t="s">
        <v>943</v>
      </c>
      <c r="N1697" s="6" t="s">
        <v>23</v>
      </c>
      <c r="O1697" s="4" t="s">
        <v>24</v>
      </c>
    </row>
    <row r="1698" spans="1:15" x14ac:dyDescent="0.25">
      <c r="A1698" s="4" t="s">
        <v>15</v>
      </c>
      <c r="B1698" s="4" t="str">
        <f>"FES1162751320"</f>
        <v>FES1162751320</v>
      </c>
      <c r="C1698" s="4" t="s">
        <v>1572</v>
      </c>
      <c r="D1698" s="4">
        <v>1</v>
      </c>
      <c r="E1698" s="4" t="str">
        <f>"2170741448"</f>
        <v>2170741448</v>
      </c>
      <c r="F1698" s="4" t="s">
        <v>17</v>
      </c>
      <c r="G1698" s="4" t="s">
        <v>18</v>
      </c>
      <c r="H1698" s="4" t="s">
        <v>18</v>
      </c>
      <c r="I1698" s="4" t="s">
        <v>29</v>
      </c>
      <c r="J1698" s="4" t="s">
        <v>30</v>
      </c>
      <c r="K1698" s="4" t="s">
        <v>1668</v>
      </c>
      <c r="L1698" s="5">
        <v>0.40972222222222227</v>
      </c>
      <c r="M1698" s="4" t="s">
        <v>128</v>
      </c>
      <c r="N1698" s="6" t="s">
        <v>23</v>
      </c>
      <c r="O1698" s="4" t="s">
        <v>24</v>
      </c>
    </row>
    <row r="1699" spans="1:15" x14ac:dyDescent="0.25">
      <c r="A1699" s="4" t="s">
        <v>15</v>
      </c>
      <c r="B1699" s="4" t="str">
        <f>"FES1162751324"</f>
        <v>FES1162751324</v>
      </c>
      <c r="C1699" s="4" t="s">
        <v>1572</v>
      </c>
      <c r="D1699" s="4">
        <v>1</v>
      </c>
      <c r="E1699" s="4" t="str">
        <f>"2170741453"</f>
        <v>2170741453</v>
      </c>
      <c r="F1699" s="4" t="s">
        <v>17</v>
      </c>
      <c r="G1699" s="4" t="s">
        <v>18</v>
      </c>
      <c r="H1699" s="4" t="s">
        <v>18</v>
      </c>
      <c r="I1699" s="4" t="s">
        <v>29</v>
      </c>
      <c r="J1699" s="4" t="s">
        <v>173</v>
      </c>
      <c r="K1699" s="4" t="s">
        <v>1668</v>
      </c>
      <c r="L1699" s="5">
        <v>0.38194444444444442</v>
      </c>
      <c r="M1699" s="4" t="s">
        <v>174</v>
      </c>
      <c r="N1699" s="6" t="s">
        <v>23</v>
      </c>
      <c r="O1699" s="4" t="s">
        <v>24</v>
      </c>
    </row>
    <row r="1700" spans="1:15" x14ac:dyDescent="0.25">
      <c r="A1700" s="4" t="s">
        <v>15</v>
      </c>
      <c r="B1700" s="4" t="str">
        <f>"FES1162751299"</f>
        <v>FES1162751299</v>
      </c>
      <c r="C1700" s="4" t="s">
        <v>1572</v>
      </c>
      <c r="D1700" s="4">
        <v>1</v>
      </c>
      <c r="E1700" s="4" t="str">
        <f>"2170741423"</f>
        <v>2170741423</v>
      </c>
      <c r="F1700" s="4" t="s">
        <v>17</v>
      </c>
      <c r="G1700" s="4" t="s">
        <v>18</v>
      </c>
      <c r="H1700" s="4" t="s">
        <v>52</v>
      </c>
      <c r="I1700" s="4" t="s">
        <v>53</v>
      </c>
      <c r="J1700" s="4" t="s">
        <v>1070</v>
      </c>
      <c r="K1700" s="4" t="s">
        <v>1668</v>
      </c>
      <c r="L1700" s="5">
        <v>0.41666666666666669</v>
      </c>
      <c r="M1700" s="4" t="s">
        <v>1696</v>
      </c>
      <c r="N1700" s="6" t="s">
        <v>23</v>
      </c>
      <c r="O1700" s="4" t="s">
        <v>24</v>
      </c>
    </row>
    <row r="1701" spans="1:15" x14ac:dyDescent="0.25">
      <c r="A1701" s="4" t="s">
        <v>15</v>
      </c>
      <c r="B1701" s="4" t="str">
        <f>"FES1162751279"</f>
        <v>FES1162751279</v>
      </c>
      <c r="C1701" s="4" t="s">
        <v>1572</v>
      </c>
      <c r="D1701" s="4">
        <v>1</v>
      </c>
      <c r="E1701" s="4" t="str">
        <f>"2170740769"</f>
        <v>2170740769</v>
      </c>
      <c r="F1701" s="4" t="s">
        <v>17</v>
      </c>
      <c r="G1701" s="4" t="s">
        <v>18</v>
      </c>
      <c r="H1701" s="4" t="s">
        <v>85</v>
      </c>
      <c r="I1701" s="4" t="s">
        <v>144</v>
      </c>
      <c r="J1701" s="4" t="s">
        <v>360</v>
      </c>
      <c r="K1701" s="4" t="s">
        <v>1668</v>
      </c>
      <c r="L1701" s="5">
        <v>0.36458333333333331</v>
      </c>
      <c r="M1701" s="4" t="s">
        <v>1699</v>
      </c>
      <c r="N1701" s="6" t="s">
        <v>23</v>
      </c>
      <c r="O1701" s="4" t="s">
        <v>24</v>
      </c>
    </row>
    <row r="1702" spans="1:15" x14ac:dyDescent="0.25">
      <c r="A1702" s="4" t="s">
        <v>15</v>
      </c>
      <c r="B1702" s="4" t="str">
        <f>"FES1162751316"</f>
        <v>FES1162751316</v>
      </c>
      <c r="C1702" s="4" t="s">
        <v>1572</v>
      </c>
      <c r="D1702" s="4">
        <v>1</v>
      </c>
      <c r="E1702" s="4" t="str">
        <f>"2170741446"</f>
        <v>2170741446</v>
      </c>
      <c r="F1702" s="4" t="s">
        <v>17</v>
      </c>
      <c r="G1702" s="4" t="s">
        <v>18</v>
      </c>
      <c r="H1702" s="4" t="s">
        <v>40</v>
      </c>
      <c r="I1702" s="4" t="s">
        <v>41</v>
      </c>
      <c r="J1702" s="4" t="s">
        <v>221</v>
      </c>
      <c r="K1702" s="4" t="s">
        <v>1668</v>
      </c>
      <c r="L1702" s="5">
        <v>0.40347222222222223</v>
      </c>
      <c r="M1702" s="4" t="s">
        <v>1443</v>
      </c>
      <c r="N1702" s="6" t="s">
        <v>23</v>
      </c>
      <c r="O1702" s="4" t="s">
        <v>24</v>
      </c>
    </row>
    <row r="1703" spans="1:15" x14ac:dyDescent="0.25">
      <c r="A1703" s="4" t="s">
        <v>15</v>
      </c>
      <c r="B1703" s="4" t="str">
        <f>"FES1162751281"</f>
        <v>FES1162751281</v>
      </c>
      <c r="C1703" s="4" t="s">
        <v>1572</v>
      </c>
      <c r="D1703" s="4">
        <v>1</v>
      </c>
      <c r="E1703" s="4" t="str">
        <f>"2170740917"</f>
        <v>2170740917</v>
      </c>
      <c r="F1703" s="4" t="s">
        <v>17</v>
      </c>
      <c r="G1703" s="4" t="s">
        <v>18</v>
      </c>
      <c r="H1703" s="4" t="s">
        <v>40</v>
      </c>
      <c r="I1703" s="4" t="s">
        <v>41</v>
      </c>
      <c r="J1703" s="4" t="s">
        <v>221</v>
      </c>
      <c r="K1703" s="4" t="s">
        <v>1668</v>
      </c>
      <c r="L1703" s="5">
        <v>0.40347222222222223</v>
      </c>
      <c r="M1703" s="4" t="s">
        <v>1443</v>
      </c>
      <c r="N1703" s="6" t="s">
        <v>23</v>
      </c>
      <c r="O1703" s="4" t="s">
        <v>24</v>
      </c>
    </row>
    <row r="1704" spans="1:15" x14ac:dyDescent="0.25">
      <c r="A1704" s="4" t="s">
        <v>15</v>
      </c>
      <c r="B1704" s="4" t="str">
        <f>"FES1162751290"</f>
        <v>FES1162751290</v>
      </c>
      <c r="C1704" s="4" t="s">
        <v>1572</v>
      </c>
      <c r="D1704" s="4">
        <v>1</v>
      </c>
      <c r="E1704" s="4" t="str">
        <f>"2170741394"</f>
        <v>2170741394</v>
      </c>
      <c r="F1704" s="4" t="s">
        <v>17</v>
      </c>
      <c r="G1704" s="4" t="s">
        <v>18</v>
      </c>
      <c r="H1704" s="4" t="s">
        <v>85</v>
      </c>
      <c r="I1704" s="4" t="s">
        <v>295</v>
      </c>
      <c r="J1704" s="4" t="s">
        <v>370</v>
      </c>
      <c r="K1704" s="4" t="s">
        <v>1668</v>
      </c>
      <c r="L1704" s="5">
        <v>0.56805555555555554</v>
      </c>
      <c r="M1704" s="4" t="s">
        <v>456</v>
      </c>
      <c r="N1704" s="6" t="s">
        <v>23</v>
      </c>
      <c r="O1704" s="4" t="s">
        <v>24</v>
      </c>
    </row>
    <row r="1705" spans="1:15" x14ac:dyDescent="0.25">
      <c r="A1705" s="4" t="s">
        <v>15</v>
      </c>
      <c r="B1705" s="4" t="str">
        <f>"FES1162751303"</f>
        <v>FES1162751303</v>
      </c>
      <c r="C1705" s="4" t="s">
        <v>1572</v>
      </c>
      <c r="D1705" s="4">
        <v>1</v>
      </c>
      <c r="E1705" s="4" t="str">
        <f>"2170741430"</f>
        <v>2170741430</v>
      </c>
      <c r="F1705" s="4" t="s">
        <v>17</v>
      </c>
      <c r="G1705" s="4" t="s">
        <v>18</v>
      </c>
      <c r="H1705" s="4" t="s">
        <v>18</v>
      </c>
      <c r="I1705" s="4" t="s">
        <v>29</v>
      </c>
      <c r="J1705" s="4" t="s">
        <v>258</v>
      </c>
      <c r="K1705" s="4" t="s">
        <v>1668</v>
      </c>
      <c r="L1705" s="5">
        <v>0.375</v>
      </c>
      <c r="M1705" s="4" t="s">
        <v>1322</v>
      </c>
      <c r="N1705" s="6" t="s">
        <v>23</v>
      </c>
      <c r="O1705" s="4" t="s">
        <v>24</v>
      </c>
    </row>
    <row r="1706" spans="1:15" x14ac:dyDescent="0.25">
      <c r="A1706" s="4" t="s">
        <v>15</v>
      </c>
      <c r="B1706" s="4" t="str">
        <f>"FES1162751294"</f>
        <v>FES1162751294</v>
      </c>
      <c r="C1706" s="4" t="s">
        <v>1572</v>
      </c>
      <c r="D1706" s="4">
        <v>1</v>
      </c>
      <c r="E1706" s="4" t="str">
        <f>"21707414709"</f>
        <v>21707414709</v>
      </c>
      <c r="F1706" s="4" t="s">
        <v>17</v>
      </c>
      <c r="G1706" s="4" t="s">
        <v>18</v>
      </c>
      <c r="H1706" s="4" t="s">
        <v>18</v>
      </c>
      <c r="I1706" s="4" t="s">
        <v>19</v>
      </c>
      <c r="J1706" s="4" t="s">
        <v>1200</v>
      </c>
      <c r="K1706" s="4" t="s">
        <v>1668</v>
      </c>
      <c r="L1706" s="5">
        <v>0.36736111111111108</v>
      </c>
      <c r="M1706" s="4" t="s">
        <v>170</v>
      </c>
      <c r="N1706" s="6" t="s">
        <v>23</v>
      </c>
      <c r="O1706" s="4" t="s">
        <v>24</v>
      </c>
    </row>
    <row r="1707" spans="1:15" x14ac:dyDescent="0.25">
      <c r="A1707" s="4" t="s">
        <v>15</v>
      </c>
      <c r="B1707" s="4" t="str">
        <f>"FES1162751282"</f>
        <v>FES1162751282</v>
      </c>
      <c r="C1707" s="4" t="s">
        <v>1572</v>
      </c>
      <c r="D1707" s="4">
        <v>1</v>
      </c>
      <c r="E1707" s="4" t="str">
        <f>"2170741106"</f>
        <v>2170741106</v>
      </c>
      <c r="F1707" s="4" t="s">
        <v>17</v>
      </c>
      <c r="G1707" s="4" t="s">
        <v>18</v>
      </c>
      <c r="H1707" s="4" t="s">
        <v>18</v>
      </c>
      <c r="I1707" s="4" t="s">
        <v>29</v>
      </c>
      <c r="J1707" s="4" t="s">
        <v>299</v>
      </c>
      <c r="K1707" s="4" t="s">
        <v>1668</v>
      </c>
      <c r="L1707" s="5">
        <v>0.31944444444444448</v>
      </c>
      <c r="M1707" s="4" t="s">
        <v>1705</v>
      </c>
      <c r="N1707" s="6" t="s">
        <v>23</v>
      </c>
      <c r="O1707" s="4" t="s">
        <v>24</v>
      </c>
    </row>
    <row r="1708" spans="1:15" x14ac:dyDescent="0.25">
      <c r="A1708" s="4" t="s">
        <v>15</v>
      </c>
      <c r="B1708" s="4" t="str">
        <f>"FES1162751314"</f>
        <v>FES1162751314</v>
      </c>
      <c r="C1708" s="4" t="s">
        <v>1572</v>
      </c>
      <c r="D1708" s="4">
        <v>1</v>
      </c>
      <c r="E1708" s="4" t="str">
        <f>"217041442"</f>
        <v>217041442</v>
      </c>
      <c r="F1708" s="4" t="s">
        <v>17</v>
      </c>
      <c r="G1708" s="4" t="s">
        <v>18</v>
      </c>
      <c r="H1708" s="4" t="s">
        <v>48</v>
      </c>
      <c r="I1708" s="4" t="s">
        <v>110</v>
      </c>
      <c r="J1708" s="4" t="s">
        <v>111</v>
      </c>
      <c r="K1708" s="4" t="s">
        <v>43</v>
      </c>
      <c r="L1708" s="4"/>
      <c r="M1708" s="4" t="s">
        <v>44</v>
      </c>
      <c r="N1708" s="4" t="s">
        <v>1762</v>
      </c>
      <c r="O1708" s="4" t="s">
        <v>24</v>
      </c>
    </row>
    <row r="1709" spans="1:15" x14ac:dyDescent="0.25">
      <c r="A1709" s="4" t="s">
        <v>15</v>
      </c>
      <c r="B1709" s="4" t="str">
        <f>"FES1162751288"</f>
        <v>FES1162751288</v>
      </c>
      <c r="C1709" s="4" t="s">
        <v>1572</v>
      </c>
      <c r="D1709" s="4">
        <v>1</v>
      </c>
      <c r="E1709" s="4" t="str">
        <f>"2170741391"</f>
        <v>2170741391</v>
      </c>
      <c r="F1709" s="4" t="s">
        <v>17</v>
      </c>
      <c r="G1709" s="4" t="s">
        <v>18</v>
      </c>
      <c r="H1709" s="4" t="s">
        <v>48</v>
      </c>
      <c r="I1709" s="4" t="s">
        <v>49</v>
      </c>
      <c r="J1709" s="4" t="s">
        <v>322</v>
      </c>
      <c r="K1709" s="4" t="s">
        <v>1668</v>
      </c>
      <c r="L1709" s="5">
        <v>0.2986111111111111</v>
      </c>
      <c r="M1709" s="4" t="s">
        <v>583</v>
      </c>
      <c r="N1709" s="6" t="s">
        <v>23</v>
      </c>
      <c r="O1709" s="4" t="s">
        <v>24</v>
      </c>
    </row>
    <row r="1710" spans="1:15" x14ac:dyDescent="0.25">
      <c r="A1710" s="4" t="s">
        <v>15</v>
      </c>
      <c r="B1710" s="4" t="str">
        <f>"FES1162751287"</f>
        <v>FES1162751287</v>
      </c>
      <c r="C1710" s="4" t="s">
        <v>1572</v>
      </c>
      <c r="D1710" s="4">
        <v>1</v>
      </c>
      <c r="E1710" s="4" t="str">
        <f>"2170741385"</f>
        <v>2170741385</v>
      </c>
      <c r="F1710" s="4" t="s">
        <v>17</v>
      </c>
      <c r="G1710" s="4" t="s">
        <v>18</v>
      </c>
      <c r="H1710" s="4" t="s">
        <v>48</v>
      </c>
      <c r="I1710" s="4" t="s">
        <v>49</v>
      </c>
      <c r="J1710" s="4" t="s">
        <v>322</v>
      </c>
      <c r="K1710" s="4" t="s">
        <v>1668</v>
      </c>
      <c r="L1710" s="5">
        <v>0.2986111111111111</v>
      </c>
      <c r="M1710" s="4" t="s">
        <v>583</v>
      </c>
      <c r="N1710" s="6" t="s">
        <v>23</v>
      </c>
      <c r="O1710" s="4" t="s">
        <v>24</v>
      </c>
    </row>
    <row r="1711" spans="1:15" x14ac:dyDescent="0.25">
      <c r="A1711" s="4" t="s">
        <v>15</v>
      </c>
      <c r="B1711" s="4" t="str">
        <f>"FES1162751322"</f>
        <v>FES1162751322</v>
      </c>
      <c r="C1711" s="4" t="s">
        <v>1572</v>
      </c>
      <c r="D1711" s="4">
        <v>2</v>
      </c>
      <c r="E1711" s="4" t="str">
        <f>"2170741451"</f>
        <v>2170741451</v>
      </c>
      <c r="F1711" s="4" t="s">
        <v>17</v>
      </c>
      <c r="G1711" s="4" t="s">
        <v>18</v>
      </c>
      <c r="H1711" s="4" t="s">
        <v>25</v>
      </c>
      <c r="I1711" s="4" t="s">
        <v>26</v>
      </c>
      <c r="J1711" s="4" t="s">
        <v>1087</v>
      </c>
      <c r="K1711" s="4" t="s">
        <v>1668</v>
      </c>
      <c r="L1711" s="5">
        <v>0.625</v>
      </c>
      <c r="M1711" s="4" t="s">
        <v>1706</v>
      </c>
      <c r="N1711" s="6" t="s">
        <v>23</v>
      </c>
      <c r="O1711" s="4" t="s">
        <v>24</v>
      </c>
    </row>
    <row r="1712" spans="1:15" x14ac:dyDescent="0.25">
      <c r="A1712" s="4" t="s">
        <v>15</v>
      </c>
      <c r="B1712" s="4" t="str">
        <f>"FES1162751219"</f>
        <v>FES1162751219</v>
      </c>
      <c r="C1712" s="4" t="s">
        <v>1572</v>
      </c>
      <c r="D1712" s="4">
        <v>1</v>
      </c>
      <c r="E1712" s="4" t="str">
        <f>"2170741314"</f>
        <v>2170741314</v>
      </c>
      <c r="F1712" s="4" t="s">
        <v>17</v>
      </c>
      <c r="G1712" s="4" t="s">
        <v>18</v>
      </c>
      <c r="H1712" s="4" t="s">
        <v>52</v>
      </c>
      <c r="I1712" s="4" t="s">
        <v>53</v>
      </c>
      <c r="J1712" s="4" t="s">
        <v>1670</v>
      </c>
      <c r="K1712" s="4" t="s">
        <v>1668</v>
      </c>
      <c r="L1712" s="5">
        <v>0.39583333333333331</v>
      </c>
      <c r="M1712" s="4" t="s">
        <v>1707</v>
      </c>
      <c r="N1712" s="6" t="s">
        <v>23</v>
      </c>
      <c r="O1712" s="4" t="s">
        <v>24</v>
      </c>
    </row>
    <row r="1713" spans="1:15" x14ac:dyDescent="0.25">
      <c r="A1713" s="4" t="s">
        <v>15</v>
      </c>
      <c r="B1713" s="4" t="str">
        <f>"FES1162751332"</f>
        <v>FES1162751332</v>
      </c>
      <c r="C1713" s="4" t="s">
        <v>1572</v>
      </c>
      <c r="D1713" s="4">
        <v>1</v>
      </c>
      <c r="E1713" s="4" t="str">
        <f>"2170741472"</f>
        <v>2170741472</v>
      </c>
      <c r="F1713" s="4" t="s">
        <v>17</v>
      </c>
      <c r="G1713" s="4" t="s">
        <v>18</v>
      </c>
      <c r="H1713" s="4" t="s">
        <v>85</v>
      </c>
      <c r="I1713" s="4" t="s">
        <v>362</v>
      </c>
      <c r="J1713" s="4" t="s">
        <v>363</v>
      </c>
      <c r="K1713" s="4" t="s">
        <v>1668</v>
      </c>
      <c r="L1713" s="5">
        <v>0.40069444444444446</v>
      </c>
      <c r="M1713" s="4" t="s">
        <v>1122</v>
      </c>
      <c r="N1713" s="6" t="s">
        <v>23</v>
      </c>
      <c r="O1713" s="4" t="s">
        <v>24</v>
      </c>
    </row>
    <row r="1714" spans="1:15" x14ac:dyDescent="0.25">
      <c r="A1714" s="4" t="s">
        <v>15</v>
      </c>
      <c r="B1714" s="4" t="str">
        <f>"FES1162751334"</f>
        <v>FES1162751334</v>
      </c>
      <c r="C1714" s="4" t="s">
        <v>1572</v>
      </c>
      <c r="D1714" s="4">
        <v>1</v>
      </c>
      <c r="E1714" s="4" t="str">
        <f>"2170741474"</f>
        <v>2170741474</v>
      </c>
      <c r="F1714" s="4" t="s">
        <v>17</v>
      </c>
      <c r="G1714" s="4" t="s">
        <v>18</v>
      </c>
      <c r="H1714" s="4" t="s">
        <v>85</v>
      </c>
      <c r="I1714" s="4" t="s">
        <v>207</v>
      </c>
      <c r="J1714" s="4" t="s">
        <v>1612</v>
      </c>
      <c r="K1714" s="4" t="s">
        <v>1668</v>
      </c>
      <c r="L1714" s="5">
        <v>0.34513888888888888</v>
      </c>
      <c r="M1714" s="4" t="s">
        <v>1671</v>
      </c>
      <c r="N1714" s="6" t="s">
        <v>23</v>
      </c>
      <c r="O1714" s="4" t="s">
        <v>24</v>
      </c>
    </row>
    <row r="1715" spans="1:15" x14ac:dyDescent="0.25">
      <c r="A1715" s="4" t="s">
        <v>15</v>
      </c>
      <c r="B1715" s="4" t="str">
        <f>"FES1162751335"</f>
        <v>FES1162751335</v>
      </c>
      <c r="C1715" s="4" t="s">
        <v>1572</v>
      </c>
      <c r="D1715" s="4">
        <v>1</v>
      </c>
      <c r="E1715" s="4" t="str">
        <f>"21707414747"</f>
        <v>21707414747</v>
      </c>
      <c r="F1715" s="4" t="s">
        <v>17</v>
      </c>
      <c r="G1715" s="4" t="s">
        <v>18</v>
      </c>
      <c r="H1715" s="4" t="s">
        <v>85</v>
      </c>
      <c r="I1715" s="4" t="s">
        <v>207</v>
      </c>
      <c r="J1715" s="4" t="s">
        <v>633</v>
      </c>
      <c r="K1715" s="4" t="s">
        <v>1668</v>
      </c>
      <c r="L1715" s="5">
        <v>0.34652777777777777</v>
      </c>
      <c r="M1715" s="4" t="s">
        <v>752</v>
      </c>
      <c r="N1715" s="6" t="s">
        <v>23</v>
      </c>
      <c r="O1715" s="4" t="s">
        <v>24</v>
      </c>
    </row>
    <row r="1716" spans="1:15" x14ac:dyDescent="0.25">
      <c r="A1716" s="4" t="s">
        <v>15</v>
      </c>
      <c r="B1716" s="4" t="str">
        <f>"FES1162751317"</f>
        <v>FES1162751317</v>
      </c>
      <c r="C1716" s="4" t="s">
        <v>1572</v>
      </c>
      <c r="D1716" s="4">
        <v>1</v>
      </c>
      <c r="E1716" s="4" t="str">
        <f>"21707471447"</f>
        <v>21707471447</v>
      </c>
      <c r="F1716" s="4" t="s">
        <v>17</v>
      </c>
      <c r="G1716" s="4" t="s">
        <v>18</v>
      </c>
      <c r="H1716" s="4" t="s">
        <v>52</v>
      </c>
      <c r="I1716" s="4" t="s">
        <v>53</v>
      </c>
      <c r="J1716" s="4" t="s">
        <v>56</v>
      </c>
      <c r="K1716" s="4" t="s">
        <v>1668</v>
      </c>
      <c r="L1716" s="5">
        <v>0.43402777777777773</v>
      </c>
      <c r="M1716" s="4" t="s">
        <v>715</v>
      </c>
      <c r="N1716" s="6" t="s">
        <v>23</v>
      </c>
      <c r="O1716" s="4" t="s">
        <v>24</v>
      </c>
    </row>
    <row r="1717" spans="1:15" x14ac:dyDescent="0.25">
      <c r="A1717" s="4" t="s">
        <v>15</v>
      </c>
      <c r="B1717" s="4" t="str">
        <f>"FES1162751318"</f>
        <v>FES1162751318</v>
      </c>
      <c r="C1717" s="4" t="s">
        <v>1572</v>
      </c>
      <c r="D1717" s="4">
        <v>1</v>
      </c>
      <c r="E1717" s="4" t="str">
        <f>"21707414449"</f>
        <v>21707414449</v>
      </c>
      <c r="F1717" s="4" t="s">
        <v>17</v>
      </c>
      <c r="G1717" s="4" t="s">
        <v>18</v>
      </c>
      <c r="H1717" s="4" t="s">
        <v>18</v>
      </c>
      <c r="I1717" s="4" t="s">
        <v>97</v>
      </c>
      <c r="J1717" s="4" t="s">
        <v>1672</v>
      </c>
      <c r="K1717" s="4" t="s">
        <v>1668</v>
      </c>
      <c r="L1717" s="5">
        <v>0.37291666666666662</v>
      </c>
      <c r="M1717" s="4" t="s">
        <v>1020</v>
      </c>
      <c r="N1717" s="6" t="s">
        <v>23</v>
      </c>
      <c r="O1717" s="4" t="s">
        <v>24</v>
      </c>
    </row>
    <row r="1718" spans="1:15" x14ac:dyDescent="0.25">
      <c r="A1718" s="4" t="s">
        <v>15</v>
      </c>
      <c r="B1718" s="4" t="str">
        <f>"FES1162751327"</f>
        <v>FES1162751327</v>
      </c>
      <c r="C1718" s="4" t="s">
        <v>1572</v>
      </c>
      <c r="D1718" s="4">
        <v>1</v>
      </c>
      <c r="E1718" s="4" t="str">
        <f>"2170741463"</f>
        <v>2170741463</v>
      </c>
      <c r="F1718" s="4" t="s">
        <v>17</v>
      </c>
      <c r="G1718" s="4" t="s">
        <v>18</v>
      </c>
      <c r="H1718" s="4" t="s">
        <v>18</v>
      </c>
      <c r="I1718" s="4" t="s">
        <v>29</v>
      </c>
      <c r="J1718" s="4" t="s">
        <v>302</v>
      </c>
      <c r="K1718" s="4" t="s">
        <v>1668</v>
      </c>
      <c r="L1718" s="5">
        <v>0.43055555555555558</v>
      </c>
      <c r="M1718" s="4" t="s">
        <v>1708</v>
      </c>
      <c r="N1718" s="6" t="s">
        <v>23</v>
      </c>
      <c r="O1718" s="4" t="s">
        <v>24</v>
      </c>
    </row>
    <row r="1719" spans="1:15" x14ac:dyDescent="0.25">
      <c r="A1719" s="4" t="s">
        <v>15</v>
      </c>
      <c r="B1719" s="4" t="str">
        <f>"FES1162751330"</f>
        <v>FES1162751330</v>
      </c>
      <c r="C1719" s="4" t="s">
        <v>1572</v>
      </c>
      <c r="D1719" s="4">
        <v>1</v>
      </c>
      <c r="E1719" s="4" t="str">
        <f>"2170741445"</f>
        <v>2170741445</v>
      </c>
      <c r="F1719" s="4" t="s">
        <v>17</v>
      </c>
      <c r="G1719" s="4" t="s">
        <v>18</v>
      </c>
      <c r="H1719" s="4" t="s">
        <v>48</v>
      </c>
      <c r="I1719" s="4" t="s">
        <v>49</v>
      </c>
      <c r="J1719" s="4" t="s">
        <v>324</v>
      </c>
      <c r="K1719" s="4" t="s">
        <v>1668</v>
      </c>
      <c r="L1719" s="5">
        <v>0.38472222222222219</v>
      </c>
      <c r="M1719" s="4" t="s">
        <v>1709</v>
      </c>
      <c r="N1719" s="6" t="s">
        <v>23</v>
      </c>
      <c r="O1719" s="4" t="s">
        <v>24</v>
      </c>
    </row>
    <row r="1720" spans="1:15" x14ac:dyDescent="0.25">
      <c r="A1720" s="4" t="s">
        <v>15</v>
      </c>
      <c r="B1720" s="4" t="str">
        <f>"FES1162751331"</f>
        <v>FES1162751331</v>
      </c>
      <c r="C1720" s="4" t="s">
        <v>1572</v>
      </c>
      <c r="D1720" s="4">
        <v>1</v>
      </c>
      <c r="E1720" s="4" t="str">
        <f>"21707417455"</f>
        <v>21707417455</v>
      </c>
      <c r="F1720" s="4" t="s">
        <v>17</v>
      </c>
      <c r="G1720" s="4" t="s">
        <v>18</v>
      </c>
      <c r="H1720" s="4" t="s">
        <v>48</v>
      </c>
      <c r="I1720" s="4" t="s">
        <v>49</v>
      </c>
      <c r="J1720" s="4" t="s">
        <v>322</v>
      </c>
      <c r="K1720" s="4" t="s">
        <v>1668</v>
      </c>
      <c r="L1720" s="5">
        <v>0.2986111111111111</v>
      </c>
      <c r="M1720" s="4" t="s">
        <v>583</v>
      </c>
      <c r="N1720" s="6" t="s">
        <v>23</v>
      </c>
      <c r="O1720" s="4" t="s">
        <v>24</v>
      </c>
    </row>
    <row r="1721" spans="1:15" x14ac:dyDescent="0.25">
      <c r="A1721" s="4" t="s">
        <v>15</v>
      </c>
      <c r="B1721" s="4" t="str">
        <f>"FES1162751346"</f>
        <v>FES1162751346</v>
      </c>
      <c r="C1721" s="4" t="s">
        <v>1572</v>
      </c>
      <c r="D1721" s="4">
        <v>1</v>
      </c>
      <c r="E1721" s="4" t="str">
        <f>"2170741488"</f>
        <v>2170741488</v>
      </c>
      <c r="F1721" s="4" t="s">
        <v>17</v>
      </c>
      <c r="G1721" s="4" t="s">
        <v>18</v>
      </c>
      <c r="H1721" s="4" t="s">
        <v>25</v>
      </c>
      <c r="I1721" s="4" t="s">
        <v>26</v>
      </c>
      <c r="J1721" s="4" t="s">
        <v>411</v>
      </c>
      <c r="K1721" s="4" t="s">
        <v>1668</v>
      </c>
      <c r="L1721" s="5">
        <v>0.3923611111111111</v>
      </c>
      <c r="M1721" s="4" t="s">
        <v>404</v>
      </c>
      <c r="N1721" s="6" t="s">
        <v>23</v>
      </c>
      <c r="O1721" s="4" t="s">
        <v>24</v>
      </c>
    </row>
    <row r="1722" spans="1:15" x14ac:dyDescent="0.25">
      <c r="A1722" s="4" t="s">
        <v>15</v>
      </c>
      <c r="B1722" s="4" t="str">
        <f>"FES1162751341"</f>
        <v>FES1162751341</v>
      </c>
      <c r="C1722" s="4" t="s">
        <v>1572</v>
      </c>
      <c r="D1722" s="4">
        <v>1</v>
      </c>
      <c r="E1722" s="4" t="str">
        <f>"2170740653"</f>
        <v>2170740653</v>
      </c>
      <c r="F1722" s="4" t="s">
        <v>17</v>
      </c>
      <c r="G1722" s="4" t="s">
        <v>18</v>
      </c>
      <c r="H1722" s="4" t="s">
        <v>25</v>
      </c>
      <c r="I1722" s="4" t="s">
        <v>281</v>
      </c>
      <c r="J1722" s="4" t="s">
        <v>34</v>
      </c>
      <c r="K1722" s="4" t="s">
        <v>43</v>
      </c>
      <c r="L1722" s="4"/>
      <c r="M1722" s="4" t="s">
        <v>44</v>
      </c>
      <c r="N1722" s="4" t="s">
        <v>1762</v>
      </c>
      <c r="O1722" s="4" t="s">
        <v>24</v>
      </c>
    </row>
    <row r="1723" spans="1:15" x14ac:dyDescent="0.25">
      <c r="A1723" s="4" t="s">
        <v>15</v>
      </c>
      <c r="B1723" s="4" t="str">
        <f>"FES1162751328"</f>
        <v>FES1162751328</v>
      </c>
      <c r="C1723" s="4" t="s">
        <v>1572</v>
      </c>
      <c r="D1723" s="4">
        <v>1</v>
      </c>
      <c r="E1723" s="4" t="str">
        <f>"2170741646"</f>
        <v>2170741646</v>
      </c>
      <c r="F1723" s="4" t="s">
        <v>17</v>
      </c>
      <c r="G1723" s="4" t="s">
        <v>18</v>
      </c>
      <c r="H1723" s="4" t="s">
        <v>18</v>
      </c>
      <c r="I1723" s="4" t="s">
        <v>292</v>
      </c>
      <c r="J1723" s="4" t="s">
        <v>293</v>
      </c>
      <c r="K1723" s="4" t="s">
        <v>1668</v>
      </c>
      <c r="L1723" s="5">
        <v>0.41666666666666669</v>
      </c>
      <c r="M1723" s="4" t="s">
        <v>1710</v>
      </c>
      <c r="N1723" s="6" t="s">
        <v>23</v>
      </c>
      <c r="O1723" s="4" t="s">
        <v>24</v>
      </c>
    </row>
    <row r="1724" spans="1:15" x14ac:dyDescent="0.25">
      <c r="A1724" s="4" t="s">
        <v>15</v>
      </c>
      <c r="B1724" s="4" t="str">
        <f>"FES1162751321"</f>
        <v>FES1162751321</v>
      </c>
      <c r="C1724" s="4" t="s">
        <v>1572</v>
      </c>
      <c r="D1724" s="4">
        <v>1</v>
      </c>
      <c r="E1724" s="4" t="str">
        <f>"21707414150"</f>
        <v>21707414150</v>
      </c>
      <c r="F1724" s="4" t="s">
        <v>17</v>
      </c>
      <c r="G1724" s="4" t="s">
        <v>18</v>
      </c>
      <c r="H1724" s="4" t="s">
        <v>18</v>
      </c>
      <c r="I1724" s="4" t="s">
        <v>29</v>
      </c>
      <c r="J1724" s="4" t="s">
        <v>302</v>
      </c>
      <c r="K1724" s="4" t="s">
        <v>1668</v>
      </c>
      <c r="L1724" s="5">
        <v>0.43055555555555558</v>
      </c>
      <c r="M1724" s="4" t="s">
        <v>1708</v>
      </c>
      <c r="N1724" s="6" t="s">
        <v>23</v>
      </c>
      <c r="O1724" s="4" t="s">
        <v>24</v>
      </c>
    </row>
    <row r="1725" spans="1:15" x14ac:dyDescent="0.25">
      <c r="A1725" s="4" t="s">
        <v>15</v>
      </c>
      <c r="B1725" s="4" t="str">
        <f>"FES1162751325"</f>
        <v>FES1162751325</v>
      </c>
      <c r="C1725" s="4" t="s">
        <v>1572</v>
      </c>
      <c r="D1725" s="4">
        <v>1</v>
      </c>
      <c r="E1725" s="4" t="str">
        <f>"2170741456"</f>
        <v>2170741456</v>
      </c>
      <c r="F1725" s="4" t="s">
        <v>17</v>
      </c>
      <c r="G1725" s="4" t="s">
        <v>18</v>
      </c>
      <c r="H1725" s="4" t="s">
        <v>1390</v>
      </c>
      <c r="I1725" s="4" t="s">
        <v>1391</v>
      </c>
      <c r="J1725" s="4" t="s">
        <v>1392</v>
      </c>
      <c r="K1725" s="4" t="s">
        <v>43</v>
      </c>
      <c r="L1725" s="4"/>
      <c r="M1725" s="4" t="s">
        <v>44</v>
      </c>
      <c r="N1725" s="4" t="s">
        <v>1762</v>
      </c>
      <c r="O1725" s="4" t="s">
        <v>24</v>
      </c>
    </row>
    <row r="1726" spans="1:15" x14ac:dyDescent="0.25">
      <c r="A1726" s="4" t="s">
        <v>15</v>
      </c>
      <c r="B1726" s="4" t="str">
        <f>"FES1162751344"</f>
        <v>FES1162751344</v>
      </c>
      <c r="C1726" s="4" t="s">
        <v>1572</v>
      </c>
      <c r="D1726" s="4">
        <v>1</v>
      </c>
      <c r="E1726" s="4" t="str">
        <f>"2170741485"</f>
        <v>2170741485</v>
      </c>
      <c r="F1726" s="4" t="s">
        <v>17</v>
      </c>
      <c r="G1726" s="4" t="s">
        <v>18</v>
      </c>
      <c r="H1726" s="4" t="s">
        <v>85</v>
      </c>
      <c r="I1726" s="4" t="s">
        <v>144</v>
      </c>
      <c r="J1726" s="4" t="s">
        <v>878</v>
      </c>
      <c r="K1726" s="4" t="s">
        <v>1668</v>
      </c>
      <c r="L1726" s="5">
        <v>0.37013888888888885</v>
      </c>
      <c r="M1726" s="4" t="s">
        <v>1711</v>
      </c>
      <c r="N1726" s="6" t="s">
        <v>23</v>
      </c>
      <c r="O1726" s="4" t="s">
        <v>24</v>
      </c>
    </row>
    <row r="1727" spans="1:15" x14ac:dyDescent="0.25">
      <c r="A1727" s="4" t="s">
        <v>15</v>
      </c>
      <c r="B1727" s="4" t="str">
        <f>"FES1162751349"</f>
        <v>FES1162751349</v>
      </c>
      <c r="C1727" s="4" t="s">
        <v>1572</v>
      </c>
      <c r="D1727" s="4">
        <v>1</v>
      </c>
      <c r="E1727" s="4" t="str">
        <f>"2170741473"</f>
        <v>2170741473</v>
      </c>
      <c r="F1727" s="4" t="s">
        <v>17</v>
      </c>
      <c r="G1727" s="4" t="s">
        <v>18</v>
      </c>
      <c r="H1727" s="4" t="s">
        <v>48</v>
      </c>
      <c r="I1727" s="4" t="s">
        <v>49</v>
      </c>
      <c r="J1727" s="4" t="s">
        <v>322</v>
      </c>
      <c r="K1727" s="4" t="s">
        <v>1668</v>
      </c>
      <c r="L1727" s="5">
        <v>0.2986111111111111</v>
      </c>
      <c r="M1727" s="4" t="s">
        <v>583</v>
      </c>
      <c r="N1727" s="6" t="s">
        <v>23</v>
      </c>
      <c r="O1727" s="4" t="s">
        <v>24</v>
      </c>
    </row>
    <row r="1728" spans="1:15" x14ac:dyDescent="0.25">
      <c r="A1728" s="4" t="s">
        <v>15</v>
      </c>
      <c r="B1728" s="4" t="str">
        <f>"FES1162751348"</f>
        <v>FES1162751348</v>
      </c>
      <c r="C1728" s="4" t="s">
        <v>1572</v>
      </c>
      <c r="D1728" s="4">
        <v>1</v>
      </c>
      <c r="E1728" s="4" t="str">
        <f>"2170741491"</f>
        <v>2170741491</v>
      </c>
      <c r="F1728" s="4" t="s">
        <v>17</v>
      </c>
      <c r="G1728" s="4" t="s">
        <v>18</v>
      </c>
      <c r="H1728" s="4" t="s">
        <v>18</v>
      </c>
      <c r="I1728" s="4" t="s">
        <v>97</v>
      </c>
      <c r="J1728" s="4" t="s">
        <v>1673</v>
      </c>
      <c r="K1728" s="4" t="s">
        <v>1668</v>
      </c>
      <c r="L1728" s="5">
        <v>0.3840277777777778</v>
      </c>
      <c r="M1728" s="4" t="s">
        <v>191</v>
      </c>
      <c r="N1728" s="6" t="s">
        <v>23</v>
      </c>
      <c r="O1728" s="4" t="s">
        <v>24</v>
      </c>
    </row>
    <row r="1729" spans="1:15" x14ac:dyDescent="0.25">
      <c r="A1729" s="4" t="s">
        <v>15</v>
      </c>
      <c r="B1729" s="4" t="str">
        <f>"FES1162751345"</f>
        <v>FES1162751345</v>
      </c>
      <c r="C1729" s="4" t="s">
        <v>1572</v>
      </c>
      <c r="D1729" s="4">
        <v>1</v>
      </c>
      <c r="E1729" s="4" t="str">
        <f>"2170741486"</f>
        <v>2170741486</v>
      </c>
      <c r="F1729" s="4" t="s">
        <v>17</v>
      </c>
      <c r="G1729" s="4" t="s">
        <v>18</v>
      </c>
      <c r="H1729" s="4" t="s">
        <v>18</v>
      </c>
      <c r="I1729" s="4" t="s">
        <v>19</v>
      </c>
      <c r="J1729" s="4" t="s">
        <v>1198</v>
      </c>
      <c r="K1729" s="4" t="s">
        <v>1668</v>
      </c>
      <c r="L1729" s="5">
        <v>0.31041666666666667</v>
      </c>
      <c r="M1729" s="4" t="s">
        <v>1712</v>
      </c>
      <c r="N1729" s="6" t="s">
        <v>23</v>
      </c>
      <c r="O1729" s="4" t="s">
        <v>24</v>
      </c>
    </row>
    <row r="1730" spans="1:15" x14ac:dyDescent="0.25">
      <c r="A1730" s="4" t="s">
        <v>15</v>
      </c>
      <c r="B1730" s="4" t="str">
        <f>"FES1162751355"</f>
        <v>FES1162751355</v>
      </c>
      <c r="C1730" s="4" t="s">
        <v>1572</v>
      </c>
      <c r="D1730" s="4">
        <v>1</v>
      </c>
      <c r="E1730" s="4" t="str">
        <f>"2170741499"</f>
        <v>2170741499</v>
      </c>
      <c r="F1730" s="4" t="s">
        <v>17</v>
      </c>
      <c r="G1730" s="4" t="s">
        <v>18</v>
      </c>
      <c r="H1730" s="4" t="s">
        <v>48</v>
      </c>
      <c r="I1730" s="4" t="s">
        <v>49</v>
      </c>
      <c r="J1730" s="4" t="s">
        <v>898</v>
      </c>
      <c r="K1730" s="4" t="s">
        <v>1668</v>
      </c>
      <c r="L1730" s="5">
        <v>0.37777777777777777</v>
      </c>
      <c r="M1730" s="4" t="s">
        <v>897</v>
      </c>
      <c r="N1730" s="6" t="s">
        <v>23</v>
      </c>
      <c r="O1730" s="4" t="s">
        <v>24</v>
      </c>
    </row>
    <row r="1731" spans="1:15" x14ac:dyDescent="0.25">
      <c r="A1731" s="4" t="s">
        <v>15</v>
      </c>
      <c r="B1731" s="4" t="str">
        <f>"FES1162751357"</f>
        <v>FES1162751357</v>
      </c>
      <c r="C1731" s="4" t="s">
        <v>1572</v>
      </c>
      <c r="D1731" s="4">
        <v>1</v>
      </c>
      <c r="E1731" s="4" t="str">
        <f>"2170741501"</f>
        <v>2170741501</v>
      </c>
      <c r="F1731" s="4" t="s">
        <v>17</v>
      </c>
      <c r="G1731" s="4" t="s">
        <v>18</v>
      </c>
      <c r="H1731" s="4" t="s">
        <v>18</v>
      </c>
      <c r="I1731" s="4" t="s">
        <v>29</v>
      </c>
      <c r="J1731" s="4" t="s">
        <v>550</v>
      </c>
      <c r="K1731" s="4" t="s">
        <v>1668</v>
      </c>
      <c r="L1731" s="5">
        <v>0.33333333333333331</v>
      </c>
      <c r="M1731" s="4" t="s">
        <v>1713</v>
      </c>
      <c r="N1731" s="6" t="s">
        <v>23</v>
      </c>
      <c r="O1731" s="4" t="s">
        <v>24</v>
      </c>
    </row>
    <row r="1732" spans="1:15" x14ac:dyDescent="0.25">
      <c r="A1732" s="4" t="s">
        <v>15</v>
      </c>
      <c r="B1732" s="4" t="str">
        <f>"FES1162751350"</f>
        <v>FES1162751350</v>
      </c>
      <c r="C1732" s="4" t="s">
        <v>1572</v>
      </c>
      <c r="D1732" s="4">
        <v>1</v>
      </c>
      <c r="E1732" s="4" t="str">
        <f>"2170741489"</f>
        <v>2170741489</v>
      </c>
      <c r="F1732" s="4" t="s">
        <v>17</v>
      </c>
      <c r="G1732" s="4" t="s">
        <v>18</v>
      </c>
      <c r="H1732" s="4" t="s">
        <v>25</v>
      </c>
      <c r="I1732" s="4" t="s">
        <v>26</v>
      </c>
      <c r="J1732" s="4" t="s">
        <v>202</v>
      </c>
      <c r="K1732" s="4" t="s">
        <v>1668</v>
      </c>
      <c r="L1732" s="5">
        <v>0.38125000000000003</v>
      </c>
      <c r="M1732" s="4" t="s">
        <v>203</v>
      </c>
      <c r="N1732" s="6" t="s">
        <v>23</v>
      </c>
      <c r="O1732" s="4" t="s">
        <v>24</v>
      </c>
    </row>
    <row r="1733" spans="1:15" x14ac:dyDescent="0.25">
      <c r="A1733" s="4" t="s">
        <v>15</v>
      </c>
      <c r="B1733" s="4" t="str">
        <f>"FES1162751347"</f>
        <v>FES1162751347</v>
      </c>
      <c r="C1733" s="4" t="s">
        <v>1572</v>
      </c>
      <c r="D1733" s="4">
        <v>1</v>
      </c>
      <c r="E1733" s="4" t="str">
        <f>"2170741490"</f>
        <v>2170741490</v>
      </c>
      <c r="F1733" s="4" t="s">
        <v>17</v>
      </c>
      <c r="G1733" s="4" t="s">
        <v>18</v>
      </c>
      <c r="H1733" s="4" t="s">
        <v>25</v>
      </c>
      <c r="I1733" s="4" t="s">
        <v>92</v>
      </c>
      <c r="J1733" s="4" t="s">
        <v>1674</v>
      </c>
      <c r="K1733" s="4" t="s">
        <v>1668</v>
      </c>
      <c r="L1733" s="5">
        <v>0.37361111111111112</v>
      </c>
      <c r="M1733" s="4" t="s">
        <v>1714</v>
      </c>
      <c r="N1733" s="6" t="s">
        <v>23</v>
      </c>
      <c r="O1733" s="4" t="s">
        <v>24</v>
      </c>
    </row>
    <row r="1734" spans="1:15" x14ac:dyDescent="0.25">
      <c r="A1734" s="4" t="s">
        <v>15</v>
      </c>
      <c r="B1734" s="4" t="str">
        <f>"FES1162751358"</f>
        <v>FES1162751358</v>
      </c>
      <c r="C1734" s="4" t="s">
        <v>1572</v>
      </c>
      <c r="D1734" s="4">
        <v>1</v>
      </c>
      <c r="E1734" s="4" t="str">
        <f>"2170741502"</f>
        <v>2170741502</v>
      </c>
      <c r="F1734" s="4" t="s">
        <v>17</v>
      </c>
      <c r="G1734" s="4" t="s">
        <v>18</v>
      </c>
      <c r="H1734" s="4" t="s">
        <v>18</v>
      </c>
      <c r="I1734" s="4" t="s">
        <v>45</v>
      </c>
      <c r="J1734" s="4" t="s">
        <v>1675</v>
      </c>
      <c r="K1734" s="4" t="s">
        <v>1668</v>
      </c>
      <c r="L1734" s="5">
        <v>0.33333333333333331</v>
      </c>
      <c r="M1734" s="4" t="s">
        <v>1715</v>
      </c>
      <c r="N1734" s="6" t="s">
        <v>23</v>
      </c>
      <c r="O1734" s="4" t="s">
        <v>24</v>
      </c>
    </row>
    <row r="1735" spans="1:15" x14ac:dyDescent="0.25">
      <c r="A1735" s="4" t="s">
        <v>15</v>
      </c>
      <c r="B1735" s="4" t="str">
        <f>"FES1162751336"</f>
        <v>FES1162751336</v>
      </c>
      <c r="C1735" s="4" t="s">
        <v>1572</v>
      </c>
      <c r="D1735" s="4">
        <v>1</v>
      </c>
      <c r="E1735" s="4" t="str">
        <f>"2170741479"</f>
        <v>2170741479</v>
      </c>
      <c r="F1735" s="4" t="s">
        <v>17</v>
      </c>
      <c r="G1735" s="4" t="s">
        <v>18</v>
      </c>
      <c r="H1735" s="4" t="s">
        <v>18</v>
      </c>
      <c r="I1735" s="4" t="s">
        <v>19</v>
      </c>
      <c r="J1735" s="4" t="s">
        <v>1676</v>
      </c>
      <c r="K1735" s="4" t="s">
        <v>1668</v>
      </c>
      <c r="L1735" s="5">
        <v>0.38263888888888892</v>
      </c>
      <c r="M1735" s="4" t="s">
        <v>1033</v>
      </c>
      <c r="N1735" s="6" t="s">
        <v>23</v>
      </c>
      <c r="O1735" s="4" t="s">
        <v>24</v>
      </c>
    </row>
    <row r="1736" spans="1:15" x14ac:dyDescent="0.25">
      <c r="A1736" s="4" t="s">
        <v>15</v>
      </c>
      <c r="B1736" s="4" t="str">
        <f>"FES1162751351"</f>
        <v>FES1162751351</v>
      </c>
      <c r="C1736" s="4" t="s">
        <v>1572</v>
      </c>
      <c r="D1736" s="4">
        <v>1</v>
      </c>
      <c r="E1736" s="4" t="str">
        <f>"2170741492"</f>
        <v>2170741492</v>
      </c>
      <c r="F1736" s="4" t="s">
        <v>17</v>
      </c>
      <c r="G1736" s="4" t="s">
        <v>18</v>
      </c>
      <c r="H1736" s="4" t="s">
        <v>18</v>
      </c>
      <c r="I1736" s="4" t="s">
        <v>19</v>
      </c>
      <c r="J1736" s="4" t="s">
        <v>20</v>
      </c>
      <c r="K1736" s="4" t="s">
        <v>1668</v>
      </c>
      <c r="L1736" s="5">
        <v>0.36458333333333331</v>
      </c>
      <c r="M1736" s="4" t="s">
        <v>22</v>
      </c>
      <c r="N1736" s="6" t="s">
        <v>23</v>
      </c>
      <c r="O1736" s="4" t="s">
        <v>24</v>
      </c>
    </row>
    <row r="1737" spans="1:15" x14ac:dyDescent="0.25">
      <c r="A1737" s="4" t="s">
        <v>15</v>
      </c>
      <c r="B1737" s="4" t="str">
        <f>"FES1162751353"</f>
        <v>FES1162751353</v>
      </c>
      <c r="C1737" s="4" t="s">
        <v>1572</v>
      </c>
      <c r="D1737" s="4">
        <v>1</v>
      </c>
      <c r="E1737" s="4" t="str">
        <f>"2170741495"</f>
        <v>2170741495</v>
      </c>
      <c r="F1737" s="4" t="s">
        <v>17</v>
      </c>
      <c r="G1737" s="4" t="s">
        <v>18</v>
      </c>
      <c r="H1737" s="4" t="s">
        <v>18</v>
      </c>
      <c r="I1737" s="4" t="s">
        <v>68</v>
      </c>
      <c r="J1737" s="4" t="s">
        <v>69</v>
      </c>
      <c r="K1737" s="4" t="s">
        <v>43</v>
      </c>
      <c r="L1737" s="4"/>
      <c r="M1737" s="4" t="s">
        <v>44</v>
      </c>
      <c r="N1737" s="4" t="s">
        <v>1762</v>
      </c>
      <c r="O1737" s="4" t="s">
        <v>24</v>
      </c>
    </row>
    <row r="1738" spans="1:15" x14ac:dyDescent="0.25">
      <c r="A1738" s="4" t="s">
        <v>15</v>
      </c>
      <c r="B1738" s="4" t="str">
        <f>"FES1162751359"</f>
        <v>FES1162751359</v>
      </c>
      <c r="C1738" s="4" t="s">
        <v>1572</v>
      </c>
      <c r="D1738" s="4">
        <v>1</v>
      </c>
      <c r="E1738" s="4" t="str">
        <f>"21707471466"</f>
        <v>21707471466</v>
      </c>
      <c r="F1738" s="4" t="s">
        <v>17</v>
      </c>
      <c r="G1738" s="4" t="s">
        <v>18</v>
      </c>
      <c r="H1738" s="4" t="s">
        <v>25</v>
      </c>
      <c r="I1738" s="4" t="s">
        <v>26</v>
      </c>
      <c r="J1738" s="4" t="s">
        <v>1677</v>
      </c>
      <c r="K1738" s="4" t="s">
        <v>1668</v>
      </c>
      <c r="L1738" s="5">
        <v>0.37638888888888888</v>
      </c>
      <c r="M1738" s="4" t="s">
        <v>1716</v>
      </c>
      <c r="N1738" s="6" t="s">
        <v>23</v>
      </c>
      <c r="O1738" s="4" t="s">
        <v>24</v>
      </c>
    </row>
    <row r="1739" spans="1:15" x14ac:dyDescent="0.25">
      <c r="A1739" s="4" t="s">
        <v>15</v>
      </c>
      <c r="B1739" s="4" t="str">
        <f>"FES1162751362"</f>
        <v>FES1162751362</v>
      </c>
      <c r="C1739" s="4" t="s">
        <v>1572</v>
      </c>
      <c r="D1739" s="4">
        <v>1</v>
      </c>
      <c r="E1739" s="4" t="str">
        <f>"2170741497"</f>
        <v>2170741497</v>
      </c>
      <c r="F1739" s="4" t="s">
        <v>17</v>
      </c>
      <c r="G1739" s="4" t="s">
        <v>18</v>
      </c>
      <c r="H1739" s="4" t="s">
        <v>18</v>
      </c>
      <c r="I1739" s="4" t="s">
        <v>19</v>
      </c>
      <c r="J1739" s="4" t="s">
        <v>20</v>
      </c>
      <c r="K1739" s="4" t="s">
        <v>1668</v>
      </c>
      <c r="L1739" s="5">
        <v>0.36527777777777781</v>
      </c>
      <c r="M1739" s="4" t="s">
        <v>22</v>
      </c>
      <c r="N1739" s="6" t="s">
        <v>23</v>
      </c>
      <c r="O1739" s="4" t="s">
        <v>24</v>
      </c>
    </row>
    <row r="1740" spans="1:15" x14ac:dyDescent="0.25">
      <c r="A1740" s="4" t="s">
        <v>15</v>
      </c>
      <c r="B1740" s="4" t="str">
        <f>"FES1162751361"</f>
        <v>FES1162751361</v>
      </c>
      <c r="C1740" s="4" t="s">
        <v>1572</v>
      </c>
      <c r="D1740" s="4">
        <v>1</v>
      </c>
      <c r="E1740" s="4" t="str">
        <f>"2170741487"</f>
        <v>2170741487</v>
      </c>
      <c r="F1740" s="4" t="s">
        <v>17</v>
      </c>
      <c r="G1740" s="4" t="s">
        <v>18</v>
      </c>
      <c r="H1740" s="4" t="s">
        <v>32</v>
      </c>
      <c r="I1740" s="4" t="s">
        <v>33</v>
      </c>
      <c r="J1740" s="4" t="s">
        <v>317</v>
      </c>
      <c r="K1740" s="4" t="s">
        <v>1668</v>
      </c>
      <c r="L1740" s="5">
        <v>0.39861111111111108</v>
      </c>
      <c r="M1740" s="4" t="s">
        <v>1693</v>
      </c>
      <c r="N1740" s="6" t="s">
        <v>23</v>
      </c>
      <c r="O1740" s="4" t="s">
        <v>24</v>
      </c>
    </row>
    <row r="1741" spans="1:15" x14ac:dyDescent="0.25">
      <c r="A1741" s="4" t="s">
        <v>15</v>
      </c>
      <c r="B1741" s="4" t="str">
        <f>"FES1162751363"</f>
        <v>FES1162751363</v>
      </c>
      <c r="C1741" s="4" t="s">
        <v>1572</v>
      </c>
      <c r="D1741" s="4">
        <v>1</v>
      </c>
      <c r="E1741" s="4" t="str">
        <f>"2170741050"</f>
        <v>2170741050</v>
      </c>
      <c r="F1741" s="4" t="s">
        <v>17</v>
      </c>
      <c r="G1741" s="4" t="s">
        <v>18</v>
      </c>
      <c r="H1741" s="4" t="s">
        <v>18</v>
      </c>
      <c r="I1741" s="4" t="s">
        <v>19</v>
      </c>
      <c r="J1741" s="4" t="s">
        <v>20</v>
      </c>
      <c r="K1741" s="4" t="s">
        <v>1668</v>
      </c>
      <c r="L1741" s="5">
        <v>0.36458333333333331</v>
      </c>
      <c r="M1741" s="4" t="s">
        <v>22</v>
      </c>
      <c r="N1741" s="6" t="s">
        <v>23</v>
      </c>
      <c r="O1741" s="4" t="s">
        <v>24</v>
      </c>
    </row>
    <row r="1742" spans="1:15" x14ac:dyDescent="0.25">
      <c r="A1742" s="4" t="s">
        <v>15</v>
      </c>
      <c r="B1742" s="4" t="str">
        <f>"FES1162751364"</f>
        <v>FES1162751364</v>
      </c>
      <c r="C1742" s="4" t="s">
        <v>1572</v>
      </c>
      <c r="D1742" s="4">
        <v>1</v>
      </c>
      <c r="E1742" s="4" t="str">
        <f>"2170741509"</f>
        <v>2170741509</v>
      </c>
      <c r="F1742" s="4" t="s">
        <v>17</v>
      </c>
      <c r="G1742" s="4" t="s">
        <v>18</v>
      </c>
      <c r="H1742" s="4" t="s">
        <v>18</v>
      </c>
      <c r="I1742" s="4" t="s">
        <v>19</v>
      </c>
      <c r="J1742" s="4" t="s">
        <v>20</v>
      </c>
      <c r="K1742" s="4" t="s">
        <v>1668</v>
      </c>
      <c r="L1742" s="5">
        <v>0.3659722222222222</v>
      </c>
      <c r="M1742" s="4" t="s">
        <v>22</v>
      </c>
      <c r="N1742" s="6" t="s">
        <v>23</v>
      </c>
      <c r="O1742" s="4" t="s">
        <v>24</v>
      </c>
    </row>
    <row r="1743" spans="1:15" x14ac:dyDescent="0.25">
      <c r="A1743" s="4" t="s">
        <v>15</v>
      </c>
      <c r="B1743" s="4" t="str">
        <f>"FES1162751366"</f>
        <v>FES1162751366</v>
      </c>
      <c r="C1743" s="4" t="s">
        <v>1572</v>
      </c>
      <c r="D1743" s="4">
        <v>1</v>
      </c>
      <c r="E1743" s="4" t="str">
        <f>"2170741514"</f>
        <v>2170741514</v>
      </c>
      <c r="F1743" s="4" t="s">
        <v>17</v>
      </c>
      <c r="G1743" s="4" t="s">
        <v>18</v>
      </c>
      <c r="H1743" s="4" t="s">
        <v>48</v>
      </c>
      <c r="I1743" s="4" t="s">
        <v>49</v>
      </c>
      <c r="J1743" s="4" t="s">
        <v>100</v>
      </c>
      <c r="K1743" s="4" t="s">
        <v>1668</v>
      </c>
      <c r="L1743" s="5">
        <v>0.33958333333333335</v>
      </c>
      <c r="M1743" s="4" t="s">
        <v>1678</v>
      </c>
      <c r="N1743" s="6" t="s">
        <v>23</v>
      </c>
      <c r="O1743" s="4" t="s">
        <v>24</v>
      </c>
    </row>
    <row r="1744" spans="1:15" x14ac:dyDescent="0.25">
      <c r="A1744" s="4" t="s">
        <v>15</v>
      </c>
      <c r="B1744" s="4" t="str">
        <f>"FES1162751365"</f>
        <v>FES1162751365</v>
      </c>
      <c r="C1744" s="4" t="s">
        <v>1572</v>
      </c>
      <c r="D1744" s="4">
        <v>1</v>
      </c>
      <c r="E1744" s="4" t="str">
        <f>"2170741513"</f>
        <v>2170741513</v>
      </c>
      <c r="F1744" s="4" t="s">
        <v>17</v>
      </c>
      <c r="G1744" s="4" t="s">
        <v>18</v>
      </c>
      <c r="H1744" s="4" t="s">
        <v>178</v>
      </c>
      <c r="I1744" s="4" t="s">
        <v>900</v>
      </c>
      <c r="J1744" s="4" t="s">
        <v>899</v>
      </c>
      <c r="K1744" s="4" t="s">
        <v>1668</v>
      </c>
      <c r="L1744" s="5">
        <v>0.39583333333333331</v>
      </c>
      <c r="M1744" s="4" t="s">
        <v>978</v>
      </c>
      <c r="N1744" s="6" t="s">
        <v>23</v>
      </c>
      <c r="O1744" s="4" t="s">
        <v>24</v>
      </c>
    </row>
    <row r="1745" spans="1:15" x14ac:dyDescent="0.25">
      <c r="A1745" s="4" t="s">
        <v>15</v>
      </c>
      <c r="B1745" s="4" t="str">
        <f>"FES1162751372"</f>
        <v>FES1162751372</v>
      </c>
      <c r="C1745" s="4" t="s">
        <v>1572</v>
      </c>
      <c r="D1745" s="4">
        <v>1</v>
      </c>
      <c r="E1745" s="4" t="str">
        <f>"2170741524"</f>
        <v>2170741524</v>
      </c>
      <c r="F1745" s="4" t="s">
        <v>17</v>
      </c>
      <c r="G1745" s="4" t="s">
        <v>18</v>
      </c>
      <c r="H1745" s="4" t="s">
        <v>85</v>
      </c>
      <c r="I1745" s="4" t="s">
        <v>362</v>
      </c>
      <c r="J1745" s="4" t="s">
        <v>363</v>
      </c>
      <c r="K1745" s="4" t="s">
        <v>1668</v>
      </c>
      <c r="L1745" s="5">
        <v>0.40069444444444446</v>
      </c>
      <c r="M1745" s="4" t="s">
        <v>1122</v>
      </c>
      <c r="N1745" s="6" t="s">
        <v>23</v>
      </c>
      <c r="O1745" s="4" t="s">
        <v>24</v>
      </c>
    </row>
    <row r="1746" spans="1:15" x14ac:dyDescent="0.25">
      <c r="A1746" s="4" t="s">
        <v>15</v>
      </c>
      <c r="B1746" s="4" t="str">
        <f>"FES1162751374"</f>
        <v>FES1162751374</v>
      </c>
      <c r="C1746" s="4" t="s">
        <v>1572</v>
      </c>
      <c r="D1746" s="4">
        <v>1</v>
      </c>
      <c r="E1746" s="4" t="str">
        <f>"2170741532"</f>
        <v>2170741532</v>
      </c>
      <c r="F1746" s="4" t="s">
        <v>17</v>
      </c>
      <c r="G1746" s="4" t="s">
        <v>18</v>
      </c>
      <c r="H1746" s="4" t="s">
        <v>85</v>
      </c>
      <c r="I1746" s="4" t="s">
        <v>144</v>
      </c>
      <c r="J1746" s="4" t="s">
        <v>210</v>
      </c>
      <c r="K1746" s="4" t="s">
        <v>1668</v>
      </c>
      <c r="L1746" s="5">
        <v>0.37777777777777777</v>
      </c>
      <c r="M1746" s="4" t="s">
        <v>1717</v>
      </c>
      <c r="N1746" s="6" t="s">
        <v>23</v>
      </c>
      <c r="O1746" s="4" t="s">
        <v>24</v>
      </c>
    </row>
    <row r="1747" spans="1:15" x14ac:dyDescent="0.25">
      <c r="A1747" s="4" t="s">
        <v>15</v>
      </c>
      <c r="B1747" s="4" t="str">
        <f>"FES1162751368"</f>
        <v>FES1162751368</v>
      </c>
      <c r="C1747" s="4" t="s">
        <v>1572</v>
      </c>
      <c r="D1747" s="4">
        <v>1</v>
      </c>
      <c r="E1747" s="4" t="str">
        <f>"2170741508"</f>
        <v>2170741508</v>
      </c>
      <c r="F1747" s="4" t="s">
        <v>17</v>
      </c>
      <c r="G1747" s="4" t="s">
        <v>18</v>
      </c>
      <c r="H1747" s="4" t="s">
        <v>18</v>
      </c>
      <c r="I1747" s="4" t="s">
        <v>19</v>
      </c>
      <c r="J1747" s="4" t="s">
        <v>1679</v>
      </c>
      <c r="K1747" s="4" t="s">
        <v>1668</v>
      </c>
      <c r="L1747" s="5">
        <v>0.43055555555555558</v>
      </c>
      <c r="M1747" s="4" t="s">
        <v>1718</v>
      </c>
      <c r="N1747" s="6" t="s">
        <v>23</v>
      </c>
      <c r="O1747" s="4" t="s">
        <v>24</v>
      </c>
    </row>
    <row r="1748" spans="1:15" x14ac:dyDescent="0.25">
      <c r="A1748" s="4" t="s">
        <v>15</v>
      </c>
      <c r="B1748" s="4" t="str">
        <f>"FES1162751367"</f>
        <v>FES1162751367</v>
      </c>
      <c r="C1748" s="4" t="s">
        <v>1572</v>
      </c>
      <c r="D1748" s="4">
        <v>1</v>
      </c>
      <c r="E1748" s="4" t="str">
        <f>"2170741515"</f>
        <v>2170741515</v>
      </c>
      <c r="F1748" s="4" t="s">
        <v>17</v>
      </c>
      <c r="G1748" s="4" t="s">
        <v>18</v>
      </c>
      <c r="H1748" s="4" t="s">
        <v>25</v>
      </c>
      <c r="I1748" s="4" t="s">
        <v>26</v>
      </c>
      <c r="J1748" s="4" t="s">
        <v>1092</v>
      </c>
      <c r="K1748" s="4" t="s">
        <v>1668</v>
      </c>
      <c r="L1748" s="5">
        <v>0.35416666666666669</v>
      </c>
      <c r="M1748" s="4" t="s">
        <v>1680</v>
      </c>
      <c r="N1748" s="6" t="s">
        <v>23</v>
      </c>
      <c r="O1748" s="4" t="s">
        <v>24</v>
      </c>
    </row>
    <row r="1749" spans="1:15" x14ac:dyDescent="0.25">
      <c r="A1749" s="4" t="s">
        <v>15</v>
      </c>
      <c r="B1749" s="4" t="str">
        <f>"FES1162751380"</f>
        <v>FES1162751380</v>
      </c>
      <c r="C1749" s="4" t="s">
        <v>1572</v>
      </c>
      <c r="D1749" s="4">
        <v>1</v>
      </c>
      <c r="E1749" s="4" t="str">
        <f>"2170741531"</f>
        <v>2170741531</v>
      </c>
      <c r="F1749" s="4" t="s">
        <v>17</v>
      </c>
      <c r="G1749" s="4" t="s">
        <v>18</v>
      </c>
      <c r="H1749" s="4" t="s">
        <v>85</v>
      </c>
      <c r="I1749" s="4" t="s">
        <v>144</v>
      </c>
      <c r="J1749" s="4" t="s">
        <v>255</v>
      </c>
      <c r="K1749" s="4" t="s">
        <v>1668</v>
      </c>
      <c r="L1749" s="5">
        <v>0.30208333333333331</v>
      </c>
      <c r="M1749" s="4" t="s">
        <v>658</v>
      </c>
      <c r="N1749" s="6" t="s">
        <v>23</v>
      </c>
      <c r="O1749" s="4" t="s">
        <v>24</v>
      </c>
    </row>
    <row r="1750" spans="1:15" x14ac:dyDescent="0.25">
      <c r="A1750" s="4" t="s">
        <v>15</v>
      </c>
      <c r="B1750" s="4" t="str">
        <f>"FES1162751371"</f>
        <v>FES1162751371</v>
      </c>
      <c r="C1750" s="4" t="s">
        <v>1572</v>
      </c>
      <c r="D1750" s="4">
        <v>1</v>
      </c>
      <c r="E1750" s="4" t="str">
        <f>"2170741923"</f>
        <v>2170741923</v>
      </c>
      <c r="F1750" s="4" t="s">
        <v>17</v>
      </c>
      <c r="G1750" s="4" t="s">
        <v>18</v>
      </c>
      <c r="H1750" s="4" t="s">
        <v>18</v>
      </c>
      <c r="I1750" s="4" t="s">
        <v>97</v>
      </c>
      <c r="J1750" s="4" t="s">
        <v>1681</v>
      </c>
      <c r="K1750" s="4" t="s">
        <v>1668</v>
      </c>
      <c r="L1750" s="5">
        <v>0.36805555555555558</v>
      </c>
      <c r="M1750" s="4" t="s">
        <v>1719</v>
      </c>
      <c r="N1750" s="6" t="s">
        <v>23</v>
      </c>
      <c r="O1750" s="4" t="s">
        <v>24</v>
      </c>
    </row>
    <row r="1751" spans="1:15" x14ac:dyDescent="0.25">
      <c r="A1751" s="4" t="s">
        <v>15</v>
      </c>
      <c r="B1751" s="4" t="str">
        <f>"FES1162751373"</f>
        <v>FES1162751373</v>
      </c>
      <c r="C1751" s="4" t="s">
        <v>1572</v>
      </c>
      <c r="D1751" s="4">
        <v>1</v>
      </c>
      <c r="E1751" s="4" t="str">
        <f>"2170741527"</f>
        <v>2170741527</v>
      </c>
      <c r="F1751" s="4" t="s">
        <v>17</v>
      </c>
      <c r="G1751" s="4" t="s">
        <v>18</v>
      </c>
      <c r="H1751" s="4" t="s">
        <v>25</v>
      </c>
      <c r="I1751" s="4" t="s">
        <v>26</v>
      </c>
      <c r="J1751" s="4" t="s">
        <v>411</v>
      </c>
      <c r="K1751" s="4" t="s">
        <v>1668</v>
      </c>
      <c r="L1751" s="5">
        <v>0.3923611111111111</v>
      </c>
      <c r="M1751" s="4" t="s">
        <v>404</v>
      </c>
      <c r="N1751" s="6" t="s">
        <v>23</v>
      </c>
      <c r="O1751" s="4" t="s">
        <v>24</v>
      </c>
    </row>
    <row r="1752" spans="1:15" x14ac:dyDescent="0.25">
      <c r="A1752" s="4" t="s">
        <v>15</v>
      </c>
      <c r="B1752" s="4" t="str">
        <f>"FES1162751378"</f>
        <v>FES1162751378</v>
      </c>
      <c r="C1752" s="4" t="s">
        <v>1572</v>
      </c>
      <c r="D1752" s="4">
        <v>1</v>
      </c>
      <c r="E1752" s="4" t="str">
        <f>"2170741523"</f>
        <v>2170741523</v>
      </c>
      <c r="F1752" s="4" t="s">
        <v>17</v>
      </c>
      <c r="G1752" s="4" t="s">
        <v>18</v>
      </c>
      <c r="H1752" s="4" t="s">
        <v>18</v>
      </c>
      <c r="I1752" s="4" t="s">
        <v>19</v>
      </c>
      <c r="J1752" s="4" t="s">
        <v>20</v>
      </c>
      <c r="K1752" s="4" t="s">
        <v>1668</v>
      </c>
      <c r="L1752" s="5">
        <v>0.36388888888888887</v>
      </c>
      <c r="M1752" s="4" t="s">
        <v>22</v>
      </c>
      <c r="N1752" s="6" t="s">
        <v>23</v>
      </c>
      <c r="O1752" s="4" t="s">
        <v>24</v>
      </c>
    </row>
    <row r="1753" spans="1:15" x14ac:dyDescent="0.25">
      <c r="A1753" s="4" t="s">
        <v>15</v>
      </c>
      <c r="B1753" s="4" t="str">
        <f>"FES1162751377"</f>
        <v>FES1162751377</v>
      </c>
      <c r="C1753" s="4" t="s">
        <v>1572</v>
      </c>
      <c r="D1753" s="4">
        <v>1</v>
      </c>
      <c r="E1753" s="4" t="str">
        <f>"2170741516"</f>
        <v>2170741516</v>
      </c>
      <c r="F1753" s="4" t="s">
        <v>17</v>
      </c>
      <c r="G1753" s="4" t="s">
        <v>18</v>
      </c>
      <c r="H1753" s="4" t="s">
        <v>18</v>
      </c>
      <c r="I1753" s="4" t="s">
        <v>29</v>
      </c>
      <c r="J1753" s="4" t="s">
        <v>30</v>
      </c>
      <c r="K1753" s="4" t="s">
        <v>1668</v>
      </c>
      <c r="L1753" s="5">
        <v>0.40972222222222227</v>
      </c>
      <c r="M1753" s="4" t="s">
        <v>128</v>
      </c>
      <c r="N1753" s="6" t="s">
        <v>23</v>
      </c>
      <c r="O1753" s="4" t="s">
        <v>24</v>
      </c>
    </row>
    <row r="1754" spans="1:15" x14ac:dyDescent="0.25">
      <c r="A1754" s="4" t="s">
        <v>15</v>
      </c>
      <c r="B1754" s="4" t="str">
        <f>"FES1162751385"</f>
        <v>FES1162751385</v>
      </c>
      <c r="C1754" s="4" t="s">
        <v>1572</v>
      </c>
      <c r="D1754" s="4">
        <v>1</v>
      </c>
      <c r="E1754" s="4" t="str">
        <f>"2107471540"</f>
        <v>2107471540</v>
      </c>
      <c r="F1754" s="4" t="s">
        <v>17</v>
      </c>
      <c r="G1754" s="4" t="s">
        <v>18</v>
      </c>
      <c r="H1754" s="4" t="s">
        <v>48</v>
      </c>
      <c r="I1754" s="4" t="s">
        <v>73</v>
      </c>
      <c r="J1754" s="4" t="s">
        <v>779</v>
      </c>
      <c r="K1754" s="4" t="s">
        <v>1668</v>
      </c>
      <c r="L1754" s="5">
        <v>0.47361111111111115</v>
      </c>
      <c r="M1754" s="4" t="s">
        <v>1032</v>
      </c>
      <c r="N1754" s="6" t="s">
        <v>23</v>
      </c>
      <c r="O1754" s="4" t="s">
        <v>24</v>
      </c>
    </row>
    <row r="1755" spans="1:15" x14ac:dyDescent="0.25">
      <c r="A1755" s="4" t="s">
        <v>15</v>
      </c>
      <c r="B1755" s="4" t="str">
        <f>"FES1162751382"</f>
        <v>FES1162751382</v>
      </c>
      <c r="C1755" s="4" t="s">
        <v>1572</v>
      </c>
      <c r="D1755" s="4">
        <v>1</v>
      </c>
      <c r="E1755" s="4" t="str">
        <f>"2170739086"</f>
        <v>2170739086</v>
      </c>
      <c r="F1755" s="4" t="s">
        <v>17</v>
      </c>
      <c r="G1755" s="4" t="s">
        <v>18</v>
      </c>
      <c r="H1755" s="4" t="s">
        <v>18</v>
      </c>
      <c r="I1755" s="4" t="s">
        <v>68</v>
      </c>
      <c r="J1755" s="4" t="s">
        <v>1682</v>
      </c>
      <c r="K1755" s="4" t="s">
        <v>1668</v>
      </c>
      <c r="L1755" s="5">
        <v>0.375</v>
      </c>
      <c r="M1755" s="4" t="s">
        <v>1720</v>
      </c>
      <c r="N1755" s="6" t="s">
        <v>23</v>
      </c>
      <c r="O1755" s="4" t="s">
        <v>24</v>
      </c>
    </row>
    <row r="1756" spans="1:15" x14ac:dyDescent="0.25">
      <c r="A1756" s="4" t="s">
        <v>15</v>
      </c>
      <c r="B1756" s="4" t="str">
        <f>"RFES1162750781"</f>
        <v>RFES1162750781</v>
      </c>
      <c r="C1756" s="4" t="s">
        <v>1572</v>
      </c>
      <c r="D1756" s="4">
        <v>1</v>
      </c>
      <c r="E1756" s="4" t="str">
        <f>"2170740882"</f>
        <v>2170740882</v>
      </c>
      <c r="F1756" s="4" t="s">
        <v>17</v>
      </c>
      <c r="G1756" s="4" t="s">
        <v>85</v>
      </c>
      <c r="H1756" s="4" t="s">
        <v>18</v>
      </c>
      <c r="I1756" s="4" t="s">
        <v>29</v>
      </c>
      <c r="J1756" s="4" t="s">
        <v>417</v>
      </c>
      <c r="K1756" s="4" t="s">
        <v>1668</v>
      </c>
      <c r="L1756" s="5">
        <v>0.375</v>
      </c>
      <c r="M1756" s="4" t="s">
        <v>1639</v>
      </c>
      <c r="N1756" s="6" t="s">
        <v>23</v>
      </c>
      <c r="O1756" s="4" t="s">
        <v>24</v>
      </c>
    </row>
    <row r="1757" spans="1:15" x14ac:dyDescent="0.25">
      <c r="A1757" s="4" t="s">
        <v>15</v>
      </c>
      <c r="B1757" s="4" t="str">
        <f>"FES1162751388"</f>
        <v>FES1162751388</v>
      </c>
      <c r="C1757" s="4" t="s">
        <v>1572</v>
      </c>
      <c r="D1757" s="4">
        <v>1</v>
      </c>
      <c r="E1757" s="4" t="str">
        <f>"2170741544"</f>
        <v>2170741544</v>
      </c>
      <c r="F1757" s="4" t="s">
        <v>17</v>
      </c>
      <c r="G1757" s="4" t="s">
        <v>18</v>
      </c>
      <c r="H1757" s="4" t="s">
        <v>18</v>
      </c>
      <c r="I1757" s="4" t="s">
        <v>97</v>
      </c>
      <c r="J1757" s="4" t="s">
        <v>846</v>
      </c>
      <c r="K1757" s="4" t="s">
        <v>1668</v>
      </c>
      <c r="L1757" s="5">
        <v>0.26250000000000001</v>
      </c>
      <c r="M1757" s="4" t="s">
        <v>1266</v>
      </c>
      <c r="N1757" s="6" t="s">
        <v>23</v>
      </c>
      <c r="O1757" s="4" t="s">
        <v>24</v>
      </c>
    </row>
    <row r="1758" spans="1:15" x14ac:dyDescent="0.25">
      <c r="A1758" s="4" t="s">
        <v>15</v>
      </c>
      <c r="B1758" s="4" t="str">
        <f>"FES1162751386"</f>
        <v>FES1162751386</v>
      </c>
      <c r="C1758" s="4" t="s">
        <v>1572</v>
      </c>
      <c r="D1758" s="4">
        <v>1</v>
      </c>
      <c r="E1758" s="4" t="str">
        <f>"2170741221"</f>
        <v>2170741221</v>
      </c>
      <c r="F1758" s="4" t="s">
        <v>17</v>
      </c>
      <c r="G1758" s="4" t="s">
        <v>18</v>
      </c>
      <c r="H1758" s="4" t="s">
        <v>32</v>
      </c>
      <c r="I1758" s="4" t="s">
        <v>106</v>
      </c>
      <c r="J1758" s="4" t="s">
        <v>1683</v>
      </c>
      <c r="K1758" s="4" t="s">
        <v>1668</v>
      </c>
      <c r="L1758" s="5">
        <v>0.44513888888888892</v>
      </c>
      <c r="M1758" s="4" t="s">
        <v>170</v>
      </c>
      <c r="N1758" s="6" t="s">
        <v>23</v>
      </c>
      <c r="O1758" s="4" t="s">
        <v>24</v>
      </c>
    </row>
    <row r="1759" spans="1:15" x14ac:dyDescent="0.25">
      <c r="A1759" s="4" t="s">
        <v>15</v>
      </c>
      <c r="B1759" s="4" t="str">
        <f>"FES1162751384"</f>
        <v>FES1162751384</v>
      </c>
      <c r="C1759" s="4" t="s">
        <v>1572</v>
      </c>
      <c r="D1759" s="4">
        <v>1</v>
      </c>
      <c r="E1759" s="4" t="str">
        <f>"2170741431"</f>
        <v>2170741431</v>
      </c>
      <c r="F1759" s="4" t="s">
        <v>17</v>
      </c>
      <c r="G1759" s="4" t="s">
        <v>18</v>
      </c>
      <c r="H1759" s="4" t="s">
        <v>18</v>
      </c>
      <c r="I1759" s="4" t="s">
        <v>147</v>
      </c>
      <c r="J1759" s="4" t="s">
        <v>1684</v>
      </c>
      <c r="K1759" s="4" t="s">
        <v>1668</v>
      </c>
      <c r="L1759" s="5">
        <v>0.33333333333333331</v>
      </c>
      <c r="M1759" s="4" t="s">
        <v>1721</v>
      </c>
      <c r="N1759" s="6" t="s">
        <v>23</v>
      </c>
      <c r="O1759" s="4" t="s">
        <v>24</v>
      </c>
    </row>
    <row r="1760" spans="1:15" x14ac:dyDescent="0.25">
      <c r="A1760" s="4" t="s">
        <v>15</v>
      </c>
      <c r="B1760" s="4" t="str">
        <f>"FES1162751389"</f>
        <v>FES1162751389</v>
      </c>
      <c r="C1760" s="4" t="s">
        <v>1572</v>
      </c>
      <c r="D1760" s="4">
        <v>1</v>
      </c>
      <c r="E1760" s="4" t="str">
        <f>"2170741546"</f>
        <v>2170741546</v>
      </c>
      <c r="F1760" s="4" t="s">
        <v>17</v>
      </c>
      <c r="G1760" s="4" t="s">
        <v>18</v>
      </c>
      <c r="H1760" s="4" t="s">
        <v>40</v>
      </c>
      <c r="I1760" s="4" t="s">
        <v>41</v>
      </c>
      <c r="J1760" s="4" t="s">
        <v>221</v>
      </c>
      <c r="K1760" s="4" t="s">
        <v>1668</v>
      </c>
      <c r="L1760" s="5">
        <v>0.40347222222222223</v>
      </c>
      <c r="M1760" s="4" t="s">
        <v>1443</v>
      </c>
      <c r="N1760" s="6" t="s">
        <v>23</v>
      </c>
      <c r="O1760" s="4" t="s">
        <v>24</v>
      </c>
    </row>
    <row r="1761" spans="1:15" x14ac:dyDescent="0.25">
      <c r="A1761" s="4" t="s">
        <v>15</v>
      </c>
      <c r="B1761" s="4" t="str">
        <f>"FES1162751391"</f>
        <v>FES1162751391</v>
      </c>
      <c r="C1761" s="4" t="s">
        <v>1572</v>
      </c>
      <c r="D1761" s="4">
        <v>1</v>
      </c>
      <c r="E1761" s="4" t="str">
        <f>"217073864"</f>
        <v>217073864</v>
      </c>
      <c r="F1761" s="4" t="s">
        <v>17</v>
      </c>
      <c r="G1761" s="4" t="s">
        <v>18</v>
      </c>
      <c r="H1761" s="4" t="s">
        <v>18</v>
      </c>
      <c r="I1761" s="4" t="s">
        <v>147</v>
      </c>
      <c r="J1761" s="4" t="s">
        <v>1685</v>
      </c>
      <c r="K1761" s="4" t="s">
        <v>1668</v>
      </c>
      <c r="L1761" s="5">
        <v>0.43402777777777773</v>
      </c>
      <c r="M1761" s="4" t="s">
        <v>1722</v>
      </c>
      <c r="N1761" s="6" t="s">
        <v>23</v>
      </c>
      <c r="O1761" s="4" t="s">
        <v>24</v>
      </c>
    </row>
    <row r="1762" spans="1:15" x14ac:dyDescent="0.25">
      <c r="A1762" s="4" t="s">
        <v>15</v>
      </c>
      <c r="B1762" s="4" t="str">
        <f>"FES1162751383"</f>
        <v>FES1162751383</v>
      </c>
      <c r="C1762" s="4" t="s">
        <v>1572</v>
      </c>
      <c r="D1762" s="4">
        <v>1</v>
      </c>
      <c r="E1762" s="4" t="str">
        <f>"2170740280"</f>
        <v>2170740280</v>
      </c>
      <c r="F1762" s="4" t="s">
        <v>17</v>
      </c>
      <c r="G1762" s="4" t="s">
        <v>18</v>
      </c>
      <c r="H1762" s="4" t="s">
        <v>18</v>
      </c>
      <c r="I1762" s="4" t="s">
        <v>309</v>
      </c>
      <c r="J1762" s="4" t="s">
        <v>310</v>
      </c>
      <c r="K1762" s="4" t="s">
        <v>1668</v>
      </c>
      <c r="L1762" s="5">
        <v>0.375</v>
      </c>
      <c r="M1762" s="4" t="s">
        <v>1723</v>
      </c>
      <c r="N1762" s="6" t="s">
        <v>23</v>
      </c>
      <c r="O1762" s="4" t="s">
        <v>24</v>
      </c>
    </row>
    <row r="1763" spans="1:15" x14ac:dyDescent="0.25">
      <c r="A1763" s="4" t="s">
        <v>15</v>
      </c>
      <c r="B1763" s="4" t="str">
        <f>"FES1162751392"</f>
        <v>FES1162751392</v>
      </c>
      <c r="C1763" s="4" t="s">
        <v>1572</v>
      </c>
      <c r="D1763" s="4">
        <v>1</v>
      </c>
      <c r="E1763" s="4" t="str">
        <f>"21707401714"</f>
        <v>21707401714</v>
      </c>
      <c r="F1763" s="4" t="s">
        <v>17</v>
      </c>
      <c r="G1763" s="4" t="s">
        <v>18</v>
      </c>
      <c r="H1763" s="4" t="s">
        <v>18</v>
      </c>
      <c r="I1763" s="4" t="s">
        <v>309</v>
      </c>
      <c r="J1763" s="4" t="s">
        <v>1040</v>
      </c>
      <c r="K1763" s="4" t="s">
        <v>1668</v>
      </c>
      <c r="L1763" s="5">
        <v>0.33333333333333331</v>
      </c>
      <c r="M1763" s="4" t="s">
        <v>1724</v>
      </c>
      <c r="N1763" s="6" t="s">
        <v>23</v>
      </c>
      <c r="O1763" s="4" t="s">
        <v>24</v>
      </c>
    </row>
    <row r="1764" spans="1:15" x14ac:dyDescent="0.25">
      <c r="A1764" s="4" t="s">
        <v>15</v>
      </c>
      <c r="B1764" s="4" t="str">
        <f>"FES1162751394"</f>
        <v>FES1162751394</v>
      </c>
      <c r="C1764" s="4" t="s">
        <v>1572</v>
      </c>
      <c r="D1764" s="4">
        <v>1</v>
      </c>
      <c r="E1764" s="4" t="str">
        <f>"217"</f>
        <v>217</v>
      </c>
      <c r="F1764" s="4" t="s">
        <v>17</v>
      </c>
      <c r="G1764" s="4" t="s">
        <v>18</v>
      </c>
      <c r="H1764" s="4" t="s">
        <v>18</v>
      </c>
      <c r="I1764" s="4" t="s">
        <v>309</v>
      </c>
      <c r="J1764" s="4" t="s">
        <v>1040</v>
      </c>
      <c r="K1764" s="4" t="s">
        <v>1668</v>
      </c>
      <c r="L1764" s="5">
        <v>0.33333333333333331</v>
      </c>
      <c r="M1764" s="4" t="s">
        <v>1724</v>
      </c>
      <c r="N1764" s="6" t="s">
        <v>23</v>
      </c>
      <c r="O1764" s="4" t="s">
        <v>24</v>
      </c>
    </row>
    <row r="1765" spans="1:15" ht="15.75" thickBot="1" x14ac:dyDescent="0.3">
      <c r="A1765" s="7" t="s">
        <v>15</v>
      </c>
      <c r="B1765" s="7" t="str">
        <f>"009936741520"</f>
        <v>009936741520</v>
      </c>
      <c r="C1765" s="7" t="s">
        <v>1572</v>
      </c>
      <c r="D1765" s="7">
        <v>1</v>
      </c>
      <c r="E1765" s="7" t="str">
        <f>""</f>
        <v/>
      </c>
      <c r="F1765" s="7" t="s">
        <v>17</v>
      </c>
      <c r="G1765" s="7" t="s">
        <v>349</v>
      </c>
      <c r="H1765" s="7" t="s">
        <v>32</v>
      </c>
      <c r="I1765" s="7" t="s">
        <v>33</v>
      </c>
      <c r="J1765" s="7" t="s">
        <v>769</v>
      </c>
      <c r="K1765" s="7" t="s">
        <v>43</v>
      </c>
      <c r="L1765" s="7"/>
      <c r="M1765" s="7" t="s">
        <v>44</v>
      </c>
      <c r="N1765" s="7" t="s">
        <v>1762</v>
      </c>
      <c r="O1765" s="7" t="s">
        <v>24</v>
      </c>
    </row>
    <row r="1766" spans="1:15" x14ac:dyDescent="0.25">
      <c r="A1766" s="1" t="s">
        <v>15</v>
      </c>
      <c r="B1766" s="1" t="str">
        <f>"FES1162751597"</f>
        <v>FES1162751597</v>
      </c>
      <c r="C1766" s="1" t="s">
        <v>1668</v>
      </c>
      <c r="D1766" s="1">
        <v>1</v>
      </c>
      <c r="E1766" s="1" t="str">
        <f>"2170740414"</f>
        <v>2170740414</v>
      </c>
      <c r="F1766" s="1" t="s">
        <v>17</v>
      </c>
      <c r="G1766" s="1" t="s">
        <v>18</v>
      </c>
      <c r="H1766" s="1" t="s">
        <v>48</v>
      </c>
      <c r="I1766" s="1" t="s">
        <v>73</v>
      </c>
      <c r="J1766" s="1" t="s">
        <v>247</v>
      </c>
      <c r="K1766" s="1" t="s">
        <v>43</v>
      </c>
      <c r="L1766" s="1"/>
      <c r="M1766" s="1" t="s">
        <v>44</v>
      </c>
      <c r="N1766" s="1" t="s">
        <v>1762</v>
      </c>
      <c r="O1766" s="1" t="s">
        <v>24</v>
      </c>
    </row>
    <row r="1767" spans="1:15" x14ac:dyDescent="0.25">
      <c r="A1767" s="4" t="s">
        <v>15</v>
      </c>
      <c r="B1767" s="4" t="str">
        <f>"FES1162751617"</f>
        <v>FES1162751617</v>
      </c>
      <c r="C1767" s="4" t="s">
        <v>1668</v>
      </c>
      <c r="D1767" s="4">
        <v>1</v>
      </c>
      <c r="E1767" s="4" t="str">
        <f>"2170740539"</f>
        <v>2170740539</v>
      </c>
      <c r="F1767" s="4" t="s">
        <v>17</v>
      </c>
      <c r="G1767" s="4" t="s">
        <v>18</v>
      </c>
      <c r="H1767" s="4" t="s">
        <v>32</v>
      </c>
      <c r="I1767" s="4" t="s">
        <v>33</v>
      </c>
      <c r="J1767" s="4" t="s">
        <v>1725</v>
      </c>
      <c r="K1767" s="4" t="s">
        <v>43</v>
      </c>
      <c r="L1767" s="4"/>
      <c r="M1767" s="4" t="s">
        <v>44</v>
      </c>
      <c r="N1767" s="4" t="s">
        <v>1762</v>
      </c>
      <c r="O1767" s="4" t="s">
        <v>24</v>
      </c>
    </row>
    <row r="1768" spans="1:15" x14ac:dyDescent="0.25">
      <c r="A1768" s="4" t="s">
        <v>15</v>
      </c>
      <c r="B1768" s="4" t="str">
        <f>"FES1162751688"</f>
        <v>FES1162751688</v>
      </c>
      <c r="C1768" s="4" t="s">
        <v>1668</v>
      </c>
      <c r="D1768" s="4">
        <v>1</v>
      </c>
      <c r="E1768" s="4" t="str">
        <f>"217041457"</f>
        <v>217041457</v>
      </c>
      <c r="F1768" s="4" t="s">
        <v>17</v>
      </c>
      <c r="G1768" s="4" t="s">
        <v>18</v>
      </c>
      <c r="H1768" s="4" t="s">
        <v>32</v>
      </c>
      <c r="I1768" s="4" t="s">
        <v>33</v>
      </c>
      <c r="J1768" s="4" t="s">
        <v>1726</v>
      </c>
      <c r="K1768" s="4" t="s">
        <v>43</v>
      </c>
      <c r="L1768" s="4"/>
      <c r="M1768" s="4" t="s">
        <v>44</v>
      </c>
      <c r="N1768" s="4" t="s">
        <v>1762</v>
      </c>
      <c r="O1768" s="4" t="s">
        <v>24</v>
      </c>
    </row>
    <row r="1769" spans="1:15" x14ac:dyDescent="0.25">
      <c r="A1769" s="4" t="s">
        <v>15</v>
      </c>
      <c r="B1769" s="4" t="str">
        <f>"FES1162751665"</f>
        <v>FES1162751665</v>
      </c>
      <c r="C1769" s="4" t="s">
        <v>1668</v>
      </c>
      <c r="D1769" s="4">
        <v>1</v>
      </c>
      <c r="E1769" s="4" t="str">
        <f>"2170741675"</f>
        <v>2170741675</v>
      </c>
      <c r="F1769" s="4" t="s">
        <v>17</v>
      </c>
      <c r="G1769" s="4" t="s">
        <v>18</v>
      </c>
      <c r="H1769" s="4" t="s">
        <v>48</v>
      </c>
      <c r="I1769" s="4" t="s">
        <v>49</v>
      </c>
      <c r="J1769" s="4" t="s">
        <v>1727</v>
      </c>
      <c r="K1769" s="4" t="s">
        <v>43</v>
      </c>
      <c r="L1769" s="4"/>
      <c r="M1769" s="4" t="s">
        <v>44</v>
      </c>
      <c r="N1769" s="4" t="s">
        <v>1762</v>
      </c>
      <c r="O1769" s="4" t="s">
        <v>24</v>
      </c>
    </row>
    <row r="1770" spans="1:15" x14ac:dyDescent="0.25">
      <c r="A1770" s="4" t="s">
        <v>15</v>
      </c>
      <c r="B1770" s="4" t="str">
        <f>"FES1162751716"</f>
        <v>FES1162751716</v>
      </c>
      <c r="C1770" s="4" t="s">
        <v>1668</v>
      </c>
      <c r="D1770" s="4">
        <v>1</v>
      </c>
      <c r="E1770" s="4" t="str">
        <f>"2170471730"</f>
        <v>2170471730</v>
      </c>
      <c r="F1770" s="4" t="s">
        <v>17</v>
      </c>
      <c r="G1770" s="4" t="s">
        <v>18</v>
      </c>
      <c r="H1770" s="4" t="s">
        <v>48</v>
      </c>
      <c r="I1770" s="4" t="s">
        <v>49</v>
      </c>
      <c r="J1770" s="4" t="s">
        <v>100</v>
      </c>
      <c r="K1770" s="4" t="s">
        <v>43</v>
      </c>
      <c r="L1770" s="4"/>
      <c r="M1770" s="4" t="s">
        <v>44</v>
      </c>
      <c r="N1770" s="4" t="s">
        <v>1762</v>
      </c>
      <c r="O1770" s="4" t="s">
        <v>24</v>
      </c>
    </row>
    <row r="1771" spans="1:15" x14ac:dyDescent="0.25">
      <c r="A1771" s="4" t="s">
        <v>15</v>
      </c>
      <c r="B1771" s="4" t="str">
        <f>"FES1162751663"</f>
        <v>FES1162751663</v>
      </c>
      <c r="C1771" s="4" t="s">
        <v>1668</v>
      </c>
      <c r="D1771" s="4">
        <v>1</v>
      </c>
      <c r="E1771" s="4" t="str">
        <f>"217041669"</f>
        <v>217041669</v>
      </c>
      <c r="F1771" s="4" t="s">
        <v>17</v>
      </c>
      <c r="G1771" s="4" t="s">
        <v>18</v>
      </c>
      <c r="H1771" s="4" t="s">
        <v>48</v>
      </c>
      <c r="I1771" s="4" t="s">
        <v>108</v>
      </c>
      <c r="J1771" s="4" t="s">
        <v>109</v>
      </c>
      <c r="K1771" s="4" t="s">
        <v>43</v>
      </c>
      <c r="L1771" s="4"/>
      <c r="M1771" s="4" t="s">
        <v>44</v>
      </c>
      <c r="N1771" s="4" t="s">
        <v>1762</v>
      </c>
      <c r="O1771" s="4" t="s">
        <v>24</v>
      </c>
    </row>
    <row r="1772" spans="1:15" x14ac:dyDescent="0.25">
      <c r="A1772" s="4" t="s">
        <v>15</v>
      </c>
      <c r="B1772" s="4" t="str">
        <f>"FES1162751674"</f>
        <v>FES1162751674</v>
      </c>
      <c r="C1772" s="4" t="s">
        <v>1668</v>
      </c>
      <c r="D1772" s="4">
        <v>1</v>
      </c>
      <c r="E1772" s="4" t="str">
        <f>"2170471004"</f>
        <v>2170471004</v>
      </c>
      <c r="F1772" s="4" t="s">
        <v>17</v>
      </c>
      <c r="G1772" s="4" t="s">
        <v>18</v>
      </c>
      <c r="H1772" s="4" t="s">
        <v>48</v>
      </c>
      <c r="I1772" s="4" t="s">
        <v>49</v>
      </c>
      <c r="J1772" s="4" t="s">
        <v>1728</v>
      </c>
      <c r="K1772" s="4" t="s">
        <v>43</v>
      </c>
      <c r="L1772" s="4"/>
      <c r="M1772" s="4" t="s">
        <v>44</v>
      </c>
      <c r="N1772" s="4" t="s">
        <v>1762</v>
      </c>
      <c r="O1772" s="4" t="s">
        <v>24</v>
      </c>
    </row>
    <row r="1773" spans="1:15" x14ac:dyDescent="0.25">
      <c r="A1773" s="4" t="s">
        <v>15</v>
      </c>
      <c r="B1773" s="4" t="str">
        <f>"FES1162751672"</f>
        <v>FES1162751672</v>
      </c>
      <c r="C1773" s="4" t="s">
        <v>1668</v>
      </c>
      <c r="D1773" s="4">
        <v>1</v>
      </c>
      <c r="E1773" s="4" t="str">
        <f>"2170741689"</f>
        <v>2170741689</v>
      </c>
      <c r="F1773" s="4" t="s">
        <v>17</v>
      </c>
      <c r="G1773" s="4" t="s">
        <v>18</v>
      </c>
      <c r="H1773" s="4" t="s">
        <v>48</v>
      </c>
      <c r="I1773" s="4" t="s">
        <v>108</v>
      </c>
      <c r="J1773" s="4" t="s">
        <v>109</v>
      </c>
      <c r="K1773" s="4" t="s">
        <v>43</v>
      </c>
      <c r="L1773" s="4"/>
      <c r="M1773" s="4" t="s">
        <v>44</v>
      </c>
      <c r="N1773" s="4" t="s">
        <v>1762</v>
      </c>
      <c r="O1773" s="4" t="s">
        <v>24</v>
      </c>
    </row>
    <row r="1774" spans="1:15" x14ac:dyDescent="0.25">
      <c r="A1774" s="4" t="s">
        <v>15</v>
      </c>
      <c r="B1774" s="4" t="str">
        <f>"FES1162751575"</f>
        <v>FES1162751575</v>
      </c>
      <c r="C1774" s="4" t="s">
        <v>1668</v>
      </c>
      <c r="D1774" s="4">
        <v>1</v>
      </c>
      <c r="E1774" s="4" t="str">
        <f>"2170740213"</f>
        <v>2170740213</v>
      </c>
      <c r="F1774" s="4" t="s">
        <v>17</v>
      </c>
      <c r="G1774" s="4" t="s">
        <v>18</v>
      </c>
      <c r="H1774" s="4" t="s">
        <v>25</v>
      </c>
      <c r="I1774" s="4" t="s">
        <v>26</v>
      </c>
      <c r="J1774" s="4" t="s">
        <v>770</v>
      </c>
      <c r="K1774" s="4" t="s">
        <v>43</v>
      </c>
      <c r="L1774" s="4"/>
      <c r="M1774" s="4" t="s">
        <v>44</v>
      </c>
      <c r="N1774" s="4" t="s">
        <v>1762</v>
      </c>
      <c r="O1774" s="4" t="s">
        <v>24</v>
      </c>
    </row>
    <row r="1775" spans="1:15" x14ac:dyDescent="0.25">
      <c r="A1775" s="4" t="s">
        <v>15</v>
      </c>
      <c r="B1775" s="4" t="str">
        <f>"FES1162751469"</f>
        <v>FES1162751469</v>
      </c>
      <c r="C1775" s="4" t="s">
        <v>1668</v>
      </c>
      <c r="D1775" s="4">
        <v>1</v>
      </c>
      <c r="E1775" s="4" t="str">
        <f>"2170741528"</f>
        <v>2170741528</v>
      </c>
      <c r="F1775" s="4" t="s">
        <v>17</v>
      </c>
      <c r="G1775" s="4" t="s">
        <v>18</v>
      </c>
      <c r="H1775" s="4" t="s">
        <v>85</v>
      </c>
      <c r="I1775" s="4" t="s">
        <v>144</v>
      </c>
      <c r="J1775" s="4" t="s">
        <v>255</v>
      </c>
      <c r="K1775" s="4" t="s">
        <v>1729</v>
      </c>
      <c r="L1775" s="5">
        <v>0.34027777777777773</v>
      </c>
      <c r="M1775" s="4" t="s">
        <v>658</v>
      </c>
      <c r="N1775" s="6" t="s">
        <v>23</v>
      </c>
      <c r="O1775" s="4" t="s">
        <v>24</v>
      </c>
    </row>
    <row r="1776" spans="1:15" x14ac:dyDescent="0.25">
      <c r="A1776" s="4" t="s">
        <v>15</v>
      </c>
      <c r="B1776" s="4" t="str">
        <f>"FES1162751608"</f>
        <v>FES1162751608</v>
      </c>
      <c r="C1776" s="4" t="s">
        <v>1668</v>
      </c>
      <c r="D1776" s="4">
        <v>1</v>
      </c>
      <c r="E1776" s="4" t="str">
        <f>"217040492"</f>
        <v>217040492</v>
      </c>
      <c r="F1776" s="4" t="s">
        <v>17</v>
      </c>
      <c r="G1776" s="4" t="s">
        <v>18</v>
      </c>
      <c r="H1776" s="4" t="s">
        <v>18</v>
      </c>
      <c r="I1776" s="4" t="s">
        <v>126</v>
      </c>
      <c r="J1776" s="4" t="s">
        <v>581</v>
      </c>
      <c r="K1776" s="4" t="s">
        <v>43</v>
      </c>
      <c r="L1776" s="4"/>
      <c r="M1776" s="4" t="s">
        <v>44</v>
      </c>
      <c r="N1776" s="4" t="s">
        <v>1762</v>
      </c>
      <c r="O1776" s="4" t="s">
        <v>24</v>
      </c>
    </row>
    <row r="1777" spans="1:15" x14ac:dyDescent="0.25">
      <c r="A1777" s="4" t="s">
        <v>15</v>
      </c>
      <c r="B1777" s="4" t="str">
        <f>"FES1162751536"</f>
        <v>FES1162751536</v>
      </c>
      <c r="C1777" s="4" t="s">
        <v>1668</v>
      </c>
      <c r="D1777" s="4">
        <v>1</v>
      </c>
      <c r="E1777" s="4" t="str">
        <f>"2170739908"</f>
        <v>2170739908</v>
      </c>
      <c r="F1777" s="4" t="s">
        <v>17</v>
      </c>
      <c r="G1777" s="4" t="s">
        <v>18</v>
      </c>
      <c r="H1777" s="4" t="s">
        <v>40</v>
      </c>
      <c r="I1777" s="4" t="s">
        <v>41</v>
      </c>
      <c r="J1777" s="4" t="s">
        <v>852</v>
      </c>
      <c r="K1777" s="4" t="s">
        <v>43</v>
      </c>
      <c r="L1777" s="4"/>
      <c r="M1777" s="4" t="s">
        <v>44</v>
      </c>
      <c r="N1777" s="4" t="s">
        <v>1762</v>
      </c>
      <c r="O1777" s="4" t="s">
        <v>24</v>
      </c>
    </row>
    <row r="1778" spans="1:15" x14ac:dyDescent="0.25">
      <c r="A1778" s="4" t="s">
        <v>15</v>
      </c>
      <c r="B1778" s="4" t="str">
        <f>"FES1162751621"</f>
        <v>FES1162751621</v>
      </c>
      <c r="C1778" s="4" t="s">
        <v>1668</v>
      </c>
      <c r="D1778" s="4">
        <v>1</v>
      </c>
      <c r="E1778" s="4" t="str">
        <f>"2170740585"</f>
        <v>2170740585</v>
      </c>
      <c r="F1778" s="4" t="s">
        <v>17</v>
      </c>
      <c r="G1778" s="4" t="s">
        <v>18</v>
      </c>
      <c r="H1778" s="4" t="s">
        <v>85</v>
      </c>
      <c r="I1778" s="4" t="s">
        <v>207</v>
      </c>
      <c r="J1778" s="4" t="s">
        <v>1609</v>
      </c>
      <c r="K1778" s="4" t="s">
        <v>43</v>
      </c>
      <c r="L1778" s="4"/>
      <c r="M1778" s="4" t="s">
        <v>44</v>
      </c>
      <c r="N1778" s="4" t="s">
        <v>1762</v>
      </c>
      <c r="O1778" s="4" t="s">
        <v>24</v>
      </c>
    </row>
    <row r="1779" spans="1:15" x14ac:dyDescent="0.25">
      <c r="A1779" s="4" t="s">
        <v>15</v>
      </c>
      <c r="B1779" s="4" t="str">
        <f>"FES1162751651"</f>
        <v>FES1162751651</v>
      </c>
      <c r="C1779" s="4" t="s">
        <v>1668</v>
      </c>
      <c r="D1779" s="4">
        <v>1</v>
      </c>
      <c r="E1779" s="4" t="str">
        <f>"21704649"</f>
        <v>21704649</v>
      </c>
      <c r="F1779" s="4" t="s">
        <v>17</v>
      </c>
      <c r="G1779" s="4" t="s">
        <v>18</v>
      </c>
      <c r="H1779" s="4" t="s">
        <v>18</v>
      </c>
      <c r="I1779" s="4" t="s">
        <v>19</v>
      </c>
      <c r="J1779" s="4" t="s">
        <v>1730</v>
      </c>
      <c r="K1779" s="4" t="s">
        <v>43</v>
      </c>
      <c r="L1779" s="4"/>
      <c r="M1779" s="4" t="s">
        <v>44</v>
      </c>
      <c r="N1779" s="4" t="s">
        <v>1762</v>
      </c>
      <c r="O1779" s="4" t="s">
        <v>24</v>
      </c>
    </row>
    <row r="1780" spans="1:15" x14ac:dyDescent="0.25">
      <c r="A1780" s="4" t="s">
        <v>15</v>
      </c>
      <c r="B1780" s="4" t="str">
        <f>"FES1162751457"</f>
        <v>FES1162751457</v>
      </c>
      <c r="C1780" s="4" t="s">
        <v>1668</v>
      </c>
      <c r="D1780" s="4">
        <v>1</v>
      </c>
      <c r="E1780" s="4" t="str">
        <f>"2170740302"</f>
        <v>2170740302</v>
      </c>
      <c r="F1780" s="4" t="s">
        <v>17</v>
      </c>
      <c r="G1780" s="4" t="s">
        <v>18</v>
      </c>
      <c r="H1780" s="4" t="s">
        <v>32</v>
      </c>
      <c r="I1780" s="4" t="s">
        <v>140</v>
      </c>
      <c r="J1780" s="4" t="s">
        <v>1046</v>
      </c>
      <c r="K1780" s="4" t="s">
        <v>43</v>
      </c>
      <c r="L1780" s="4"/>
      <c r="M1780" s="4" t="s">
        <v>44</v>
      </c>
      <c r="N1780" s="4" t="s">
        <v>1762</v>
      </c>
      <c r="O1780" s="4" t="s">
        <v>24</v>
      </c>
    </row>
    <row r="1781" spans="1:15" x14ac:dyDescent="0.25">
      <c r="A1781" s="4" t="s">
        <v>15</v>
      </c>
      <c r="B1781" s="4" t="str">
        <f>"FES1162751494"</f>
        <v>FES1162751494</v>
      </c>
      <c r="C1781" s="4" t="s">
        <v>1668</v>
      </c>
      <c r="D1781" s="4">
        <v>1</v>
      </c>
      <c r="E1781" s="4" t="str">
        <f>"217074613"</f>
        <v>217074613</v>
      </c>
      <c r="F1781" s="4" t="s">
        <v>17</v>
      </c>
      <c r="G1781" s="4" t="s">
        <v>18</v>
      </c>
      <c r="H1781" s="4" t="s">
        <v>48</v>
      </c>
      <c r="I1781" s="4" t="s">
        <v>108</v>
      </c>
      <c r="J1781" s="4" t="s">
        <v>109</v>
      </c>
      <c r="K1781" s="4" t="s">
        <v>43</v>
      </c>
      <c r="L1781" s="4"/>
      <c r="M1781" s="4" t="s">
        <v>44</v>
      </c>
      <c r="N1781" s="4" t="s">
        <v>1762</v>
      </c>
      <c r="O1781" s="4" t="s">
        <v>24</v>
      </c>
    </row>
    <row r="1782" spans="1:15" x14ac:dyDescent="0.25">
      <c r="A1782" s="4" t="s">
        <v>15</v>
      </c>
      <c r="B1782" s="4" t="str">
        <f>"FES1162751592"</f>
        <v>FES1162751592</v>
      </c>
      <c r="C1782" s="4" t="s">
        <v>1668</v>
      </c>
      <c r="D1782" s="4">
        <v>1</v>
      </c>
      <c r="E1782" s="4" t="str">
        <f>"2170740372"</f>
        <v>2170740372</v>
      </c>
      <c r="F1782" s="4" t="s">
        <v>17</v>
      </c>
      <c r="G1782" s="4" t="s">
        <v>18</v>
      </c>
      <c r="H1782" s="4" t="s">
        <v>18</v>
      </c>
      <c r="I1782" s="4" t="s">
        <v>68</v>
      </c>
      <c r="J1782" s="4" t="s">
        <v>1682</v>
      </c>
      <c r="K1782" s="4" t="s">
        <v>43</v>
      </c>
      <c r="L1782" s="4"/>
      <c r="M1782" s="4" t="s">
        <v>44</v>
      </c>
      <c r="N1782" s="4" t="s">
        <v>1762</v>
      </c>
      <c r="O1782" s="4" t="s">
        <v>24</v>
      </c>
    </row>
    <row r="1783" spans="1:15" x14ac:dyDescent="0.25">
      <c r="A1783" s="4" t="s">
        <v>15</v>
      </c>
      <c r="B1783" s="4" t="str">
        <f>"FES1162751623"</f>
        <v>FES1162751623</v>
      </c>
      <c r="C1783" s="4" t="s">
        <v>1668</v>
      </c>
      <c r="D1783" s="4">
        <v>1</v>
      </c>
      <c r="E1783" s="4" t="str">
        <f>"2170740594"</f>
        <v>2170740594</v>
      </c>
      <c r="F1783" s="4" t="s">
        <v>17</v>
      </c>
      <c r="G1783" s="4" t="s">
        <v>18</v>
      </c>
      <c r="H1783" s="4" t="s">
        <v>18</v>
      </c>
      <c r="I1783" s="4" t="s">
        <v>29</v>
      </c>
      <c r="J1783" s="4" t="s">
        <v>1731</v>
      </c>
      <c r="K1783" s="4" t="s">
        <v>43</v>
      </c>
      <c r="L1783" s="4"/>
      <c r="M1783" s="4" t="s">
        <v>44</v>
      </c>
      <c r="N1783" s="4" t="s">
        <v>1762</v>
      </c>
      <c r="O1783" s="4" t="s">
        <v>24</v>
      </c>
    </row>
    <row r="1784" spans="1:15" x14ac:dyDescent="0.25">
      <c r="A1784" s="4" t="s">
        <v>15</v>
      </c>
      <c r="B1784" s="4" t="str">
        <f>"FES1162751703"</f>
        <v>FES1162751703</v>
      </c>
      <c r="C1784" s="4" t="s">
        <v>1668</v>
      </c>
      <c r="D1784" s="4">
        <v>1</v>
      </c>
      <c r="E1784" s="4" t="str">
        <f>"2170741719"</f>
        <v>2170741719</v>
      </c>
      <c r="F1784" s="4" t="s">
        <v>17</v>
      </c>
      <c r="G1784" s="4" t="s">
        <v>18</v>
      </c>
      <c r="H1784" s="4" t="s">
        <v>25</v>
      </c>
      <c r="I1784" s="4" t="s">
        <v>92</v>
      </c>
      <c r="J1784" s="4" t="s">
        <v>93</v>
      </c>
      <c r="K1784" s="4" t="s">
        <v>1729</v>
      </c>
      <c r="L1784" s="5">
        <v>0.36319444444444443</v>
      </c>
      <c r="M1784" s="4" t="s">
        <v>793</v>
      </c>
      <c r="N1784" s="6" t="s">
        <v>23</v>
      </c>
      <c r="O1784" s="4" t="s">
        <v>24</v>
      </c>
    </row>
    <row r="1785" spans="1:15" x14ac:dyDescent="0.25">
      <c r="A1785" s="4" t="s">
        <v>15</v>
      </c>
      <c r="B1785" s="4" t="str">
        <f>"FES1162751683"</f>
        <v>FES1162751683</v>
      </c>
      <c r="C1785" s="4" t="s">
        <v>1668</v>
      </c>
      <c r="D1785" s="4">
        <v>1</v>
      </c>
      <c r="E1785" s="4" t="str">
        <f>"2170741468"</f>
        <v>2170741468</v>
      </c>
      <c r="F1785" s="4" t="s">
        <v>17</v>
      </c>
      <c r="G1785" s="4" t="s">
        <v>18</v>
      </c>
      <c r="H1785" s="4" t="s">
        <v>25</v>
      </c>
      <c r="I1785" s="4" t="s">
        <v>281</v>
      </c>
      <c r="J1785" s="4" t="s">
        <v>624</v>
      </c>
      <c r="K1785" s="4" t="s">
        <v>43</v>
      </c>
      <c r="L1785" s="4"/>
      <c r="M1785" s="4" t="s">
        <v>44</v>
      </c>
      <c r="N1785" s="4" t="s">
        <v>1762</v>
      </c>
      <c r="O1785" s="4" t="s">
        <v>24</v>
      </c>
    </row>
    <row r="1786" spans="1:15" x14ac:dyDescent="0.25">
      <c r="A1786" s="4" t="s">
        <v>15</v>
      </c>
      <c r="B1786" s="4" t="str">
        <f>"FES1162751474"</f>
        <v>FES1162751474</v>
      </c>
      <c r="C1786" s="4" t="s">
        <v>1668</v>
      </c>
      <c r="D1786" s="4">
        <v>1</v>
      </c>
      <c r="E1786" s="4" t="str">
        <f>"2170741548"</f>
        <v>2170741548</v>
      </c>
      <c r="F1786" s="4" t="s">
        <v>17</v>
      </c>
      <c r="G1786" s="4" t="s">
        <v>18</v>
      </c>
      <c r="H1786" s="4" t="s">
        <v>18</v>
      </c>
      <c r="I1786" s="4" t="s">
        <v>29</v>
      </c>
      <c r="J1786" s="4" t="s">
        <v>389</v>
      </c>
      <c r="K1786" s="4" t="s">
        <v>43</v>
      </c>
      <c r="L1786" s="4"/>
      <c r="M1786" s="4" t="s">
        <v>44</v>
      </c>
      <c r="N1786" s="4" t="s">
        <v>1762</v>
      </c>
      <c r="O1786" s="4" t="s">
        <v>24</v>
      </c>
    </row>
    <row r="1787" spans="1:15" x14ac:dyDescent="0.25">
      <c r="A1787" s="4" t="s">
        <v>15</v>
      </c>
      <c r="B1787" s="4" t="str">
        <f>"FES1162751538"</f>
        <v>FES1162751538</v>
      </c>
      <c r="C1787" s="4" t="s">
        <v>1668</v>
      </c>
      <c r="D1787" s="4">
        <v>1</v>
      </c>
      <c r="E1787" s="4" t="str">
        <f>"2170740042"</f>
        <v>2170740042</v>
      </c>
      <c r="F1787" s="4" t="s">
        <v>17</v>
      </c>
      <c r="G1787" s="4" t="s">
        <v>18</v>
      </c>
      <c r="H1787" s="4" t="s">
        <v>25</v>
      </c>
      <c r="I1787" s="4" t="s">
        <v>26</v>
      </c>
      <c r="J1787" s="4" t="s">
        <v>1732</v>
      </c>
      <c r="K1787" s="4" t="s">
        <v>43</v>
      </c>
      <c r="L1787" s="4"/>
      <c r="M1787" s="4" t="s">
        <v>44</v>
      </c>
      <c r="N1787" s="4" t="s">
        <v>1762</v>
      </c>
      <c r="O1787" s="4" t="s">
        <v>24</v>
      </c>
    </row>
    <row r="1788" spans="1:15" x14ac:dyDescent="0.25">
      <c r="A1788" s="4" t="s">
        <v>15</v>
      </c>
      <c r="B1788" s="4" t="str">
        <f>"FES1162751408"</f>
        <v>FES1162751408</v>
      </c>
      <c r="C1788" s="4" t="s">
        <v>1668</v>
      </c>
      <c r="D1788" s="4">
        <v>1</v>
      </c>
      <c r="E1788" s="4" t="str">
        <f>"2170740101"</f>
        <v>2170740101</v>
      </c>
      <c r="F1788" s="4" t="s">
        <v>17</v>
      </c>
      <c r="G1788" s="4" t="s">
        <v>18</v>
      </c>
      <c r="H1788" s="4" t="s">
        <v>25</v>
      </c>
      <c r="I1788" s="4" t="s">
        <v>394</v>
      </c>
      <c r="J1788" s="4" t="s">
        <v>395</v>
      </c>
      <c r="K1788" s="4" t="s">
        <v>43</v>
      </c>
      <c r="L1788" s="4"/>
      <c r="M1788" s="4" t="s">
        <v>44</v>
      </c>
      <c r="N1788" s="4" t="s">
        <v>1762</v>
      </c>
      <c r="O1788" s="4" t="s">
        <v>24</v>
      </c>
    </row>
    <row r="1789" spans="1:15" x14ac:dyDescent="0.25">
      <c r="A1789" s="4" t="s">
        <v>15</v>
      </c>
      <c r="B1789" s="4" t="str">
        <f>"FES1162751461"</f>
        <v>FES1162751461</v>
      </c>
      <c r="C1789" s="4" t="s">
        <v>1668</v>
      </c>
      <c r="D1789" s="4">
        <v>1</v>
      </c>
      <c r="E1789" s="4" t="str">
        <f>"2170741558"</f>
        <v>2170741558</v>
      </c>
      <c r="F1789" s="4" t="s">
        <v>17</v>
      </c>
      <c r="G1789" s="4" t="s">
        <v>18</v>
      </c>
      <c r="H1789" s="4" t="s">
        <v>18</v>
      </c>
      <c r="I1789" s="4" t="s">
        <v>19</v>
      </c>
      <c r="J1789" s="4" t="s">
        <v>1733</v>
      </c>
      <c r="K1789" s="4" t="s">
        <v>43</v>
      </c>
      <c r="L1789" s="4"/>
      <c r="M1789" s="4" t="s">
        <v>44</v>
      </c>
      <c r="N1789" s="4" t="s">
        <v>1762</v>
      </c>
      <c r="O1789" s="4" t="s">
        <v>24</v>
      </c>
    </row>
    <row r="1790" spans="1:15" x14ac:dyDescent="0.25">
      <c r="A1790" s="4" t="s">
        <v>15</v>
      </c>
      <c r="B1790" s="4" t="str">
        <f>"FES1162751436"</f>
        <v>FES1162751436</v>
      </c>
      <c r="C1790" s="4" t="s">
        <v>1668</v>
      </c>
      <c r="D1790" s="4">
        <v>1</v>
      </c>
      <c r="E1790" s="4" t="str">
        <f>"2170741563"</f>
        <v>2170741563</v>
      </c>
      <c r="F1790" s="4" t="s">
        <v>17</v>
      </c>
      <c r="G1790" s="4" t="s">
        <v>18</v>
      </c>
      <c r="H1790" s="4" t="s">
        <v>40</v>
      </c>
      <c r="I1790" s="4" t="s">
        <v>41</v>
      </c>
      <c r="J1790" s="4" t="s">
        <v>99</v>
      </c>
      <c r="K1790" s="4" t="s">
        <v>1729</v>
      </c>
      <c r="L1790" s="5">
        <v>0.34861111111111115</v>
      </c>
      <c r="M1790" s="4" t="s">
        <v>1734</v>
      </c>
      <c r="N1790" s="6" t="s">
        <v>23</v>
      </c>
      <c r="O1790" s="4" t="s">
        <v>24</v>
      </c>
    </row>
    <row r="1791" spans="1:15" x14ac:dyDescent="0.25">
      <c r="A1791" s="4" t="s">
        <v>15</v>
      </c>
      <c r="B1791" s="4" t="str">
        <f>"FES1162751428"</f>
        <v>FES1162751428</v>
      </c>
      <c r="C1791" s="4" t="s">
        <v>1668</v>
      </c>
      <c r="D1791" s="4">
        <v>1</v>
      </c>
      <c r="E1791" s="4" t="str">
        <f>"2170741284"</f>
        <v>2170741284</v>
      </c>
      <c r="F1791" s="4" t="s">
        <v>17</v>
      </c>
      <c r="G1791" s="4" t="s">
        <v>18</v>
      </c>
      <c r="H1791" s="4" t="s">
        <v>52</v>
      </c>
      <c r="I1791" s="4" t="s">
        <v>53</v>
      </c>
      <c r="J1791" s="4" t="s">
        <v>280</v>
      </c>
      <c r="K1791" s="4" t="s">
        <v>43</v>
      </c>
      <c r="L1791" s="4"/>
      <c r="M1791" s="4" t="s">
        <v>44</v>
      </c>
      <c r="N1791" s="4" t="s">
        <v>1762</v>
      </c>
      <c r="O1791" s="4" t="s">
        <v>24</v>
      </c>
    </row>
    <row r="1792" spans="1:15" x14ac:dyDescent="0.25">
      <c r="A1792" s="4" t="s">
        <v>15</v>
      </c>
      <c r="B1792" s="4" t="str">
        <f>"FES1162751704"</f>
        <v>FES1162751704</v>
      </c>
      <c r="C1792" s="4" t="s">
        <v>1668</v>
      </c>
      <c r="D1792" s="4">
        <v>1</v>
      </c>
      <c r="E1792" s="4" t="str">
        <f>"2170741720"</f>
        <v>2170741720</v>
      </c>
      <c r="F1792" s="4" t="s">
        <v>17</v>
      </c>
      <c r="G1792" s="4" t="s">
        <v>18</v>
      </c>
      <c r="H1792" s="4" t="s">
        <v>25</v>
      </c>
      <c r="I1792" s="4" t="s">
        <v>281</v>
      </c>
      <c r="J1792" s="4" t="s">
        <v>282</v>
      </c>
      <c r="K1792" s="4" t="s">
        <v>43</v>
      </c>
      <c r="L1792" s="4"/>
      <c r="M1792" s="4" t="s">
        <v>44</v>
      </c>
      <c r="N1792" s="4" t="s">
        <v>1762</v>
      </c>
      <c r="O1792" s="4" t="s">
        <v>24</v>
      </c>
    </row>
    <row r="1793" spans="1:15" x14ac:dyDescent="0.25">
      <c r="A1793" s="4" t="s">
        <v>15</v>
      </c>
      <c r="B1793" s="4" t="str">
        <f>"FES1162751578"</f>
        <v>FES1162751578</v>
      </c>
      <c r="C1793" s="4" t="s">
        <v>1668</v>
      </c>
      <c r="D1793" s="4">
        <v>1</v>
      </c>
      <c r="E1793" s="4" t="str">
        <f>"2170740236"</f>
        <v>2170740236</v>
      </c>
      <c r="F1793" s="4" t="s">
        <v>17</v>
      </c>
      <c r="G1793" s="4" t="s">
        <v>18</v>
      </c>
      <c r="H1793" s="4" t="s">
        <v>18</v>
      </c>
      <c r="I1793" s="4" t="s">
        <v>19</v>
      </c>
      <c r="J1793" s="4" t="s">
        <v>20</v>
      </c>
      <c r="K1793" s="4" t="s">
        <v>43</v>
      </c>
      <c r="L1793" s="4"/>
      <c r="M1793" s="4" t="s">
        <v>44</v>
      </c>
      <c r="N1793" s="4" t="s">
        <v>1762</v>
      </c>
      <c r="O1793" s="4" t="s">
        <v>24</v>
      </c>
    </row>
    <row r="1794" spans="1:15" x14ac:dyDescent="0.25">
      <c r="A1794" s="4" t="s">
        <v>15</v>
      </c>
      <c r="B1794" s="4" t="str">
        <f>"FES1162751679"</f>
        <v>FES1162751679</v>
      </c>
      <c r="C1794" s="4" t="s">
        <v>1668</v>
      </c>
      <c r="D1794" s="4">
        <v>1</v>
      </c>
      <c r="E1794" s="4" t="str">
        <f>"217041693"</f>
        <v>217041693</v>
      </c>
      <c r="F1794" s="4" t="s">
        <v>17</v>
      </c>
      <c r="G1794" s="4" t="s">
        <v>18</v>
      </c>
      <c r="H1794" s="4" t="s">
        <v>85</v>
      </c>
      <c r="I1794" s="4" t="s">
        <v>144</v>
      </c>
      <c r="J1794" s="4" t="s">
        <v>210</v>
      </c>
      <c r="K1794" s="4" t="s">
        <v>1729</v>
      </c>
      <c r="L1794" s="5">
        <v>0.36527777777777781</v>
      </c>
      <c r="M1794" s="4" t="s">
        <v>1717</v>
      </c>
      <c r="N1794" s="6" t="s">
        <v>23</v>
      </c>
      <c r="O1794" s="4" t="s">
        <v>24</v>
      </c>
    </row>
    <row r="1795" spans="1:15" x14ac:dyDescent="0.25">
      <c r="A1795" s="4" t="s">
        <v>15</v>
      </c>
      <c r="B1795" s="4" t="str">
        <f>"FES1162751664"</f>
        <v>FES1162751664</v>
      </c>
      <c r="C1795" s="4" t="s">
        <v>1668</v>
      </c>
      <c r="D1795" s="4">
        <v>1</v>
      </c>
      <c r="E1795" s="4" t="str">
        <f>"217041670"</f>
        <v>217041670</v>
      </c>
      <c r="F1795" s="4" t="s">
        <v>17</v>
      </c>
      <c r="G1795" s="4" t="s">
        <v>18</v>
      </c>
      <c r="H1795" s="4" t="s">
        <v>85</v>
      </c>
      <c r="I1795" s="4" t="s">
        <v>144</v>
      </c>
      <c r="J1795" s="4" t="s">
        <v>851</v>
      </c>
      <c r="K1795" s="4" t="s">
        <v>1729</v>
      </c>
      <c r="L1795" s="5">
        <v>0.3444444444444445</v>
      </c>
      <c r="M1795" s="4" t="s">
        <v>1735</v>
      </c>
      <c r="N1795" s="6" t="s">
        <v>23</v>
      </c>
      <c r="O1795" s="4" t="s">
        <v>24</v>
      </c>
    </row>
    <row r="1796" spans="1:15" x14ac:dyDescent="0.25">
      <c r="A1796" s="4" t="s">
        <v>15</v>
      </c>
      <c r="B1796" s="4" t="str">
        <f>"FES1162751693"</f>
        <v>FES1162751693</v>
      </c>
      <c r="C1796" s="4" t="s">
        <v>1668</v>
      </c>
      <c r="D1796" s="4">
        <v>1</v>
      </c>
      <c r="E1796" s="4" t="str">
        <f>"217041705"</f>
        <v>217041705</v>
      </c>
      <c r="F1796" s="4" t="s">
        <v>17</v>
      </c>
      <c r="G1796" s="4" t="s">
        <v>18</v>
      </c>
      <c r="H1796" s="4" t="s">
        <v>85</v>
      </c>
      <c r="I1796" s="4" t="s">
        <v>207</v>
      </c>
      <c r="J1796" s="4" t="s">
        <v>633</v>
      </c>
      <c r="K1796" s="4" t="s">
        <v>1729</v>
      </c>
      <c r="L1796" s="5">
        <v>0.3263888888888889</v>
      </c>
      <c r="M1796" s="4" t="s">
        <v>752</v>
      </c>
      <c r="N1796" s="6" t="s">
        <v>23</v>
      </c>
      <c r="O1796" s="4" t="s">
        <v>24</v>
      </c>
    </row>
    <row r="1797" spans="1:15" x14ac:dyDescent="0.25">
      <c r="A1797" s="4" t="s">
        <v>15</v>
      </c>
      <c r="B1797" s="4" t="str">
        <f>"FES1162751627"</f>
        <v>FES1162751627</v>
      </c>
      <c r="C1797" s="4" t="s">
        <v>1668</v>
      </c>
      <c r="D1797" s="4">
        <v>1</v>
      </c>
      <c r="E1797" s="4" t="str">
        <f>"2170740642"</f>
        <v>2170740642</v>
      </c>
      <c r="F1797" s="4" t="s">
        <v>17</v>
      </c>
      <c r="G1797" s="4" t="s">
        <v>18</v>
      </c>
      <c r="H1797" s="4" t="s">
        <v>18</v>
      </c>
      <c r="I1797" s="4" t="s">
        <v>292</v>
      </c>
      <c r="J1797" s="4" t="s">
        <v>891</v>
      </c>
      <c r="K1797" s="4" t="s">
        <v>43</v>
      </c>
      <c r="L1797" s="4"/>
      <c r="M1797" s="4" t="s">
        <v>44</v>
      </c>
      <c r="N1797" s="4" t="s">
        <v>1762</v>
      </c>
      <c r="O1797" s="4" t="s">
        <v>24</v>
      </c>
    </row>
    <row r="1798" spans="1:15" x14ac:dyDescent="0.25">
      <c r="A1798" s="4" t="s">
        <v>15</v>
      </c>
      <c r="B1798" s="4" t="str">
        <f>"FES1162751690"</f>
        <v>FES1162751690</v>
      </c>
      <c r="C1798" s="4" t="s">
        <v>1668</v>
      </c>
      <c r="D1798" s="4">
        <v>1</v>
      </c>
      <c r="E1798" s="4" t="str">
        <f>"21707471700"</f>
        <v>21707471700</v>
      </c>
      <c r="F1798" s="4" t="s">
        <v>17</v>
      </c>
      <c r="G1798" s="4" t="s">
        <v>18</v>
      </c>
      <c r="H1798" s="4" t="s">
        <v>25</v>
      </c>
      <c r="I1798" s="4" t="s">
        <v>281</v>
      </c>
      <c r="J1798" s="4" t="s">
        <v>624</v>
      </c>
      <c r="K1798" s="4" t="s">
        <v>43</v>
      </c>
      <c r="L1798" s="4"/>
      <c r="M1798" s="4" t="s">
        <v>44</v>
      </c>
      <c r="N1798" s="4" t="s">
        <v>1762</v>
      </c>
      <c r="O1798" s="4" t="s">
        <v>24</v>
      </c>
    </row>
    <row r="1799" spans="1:15" x14ac:dyDescent="0.25">
      <c r="A1799" s="4" t="s">
        <v>15</v>
      </c>
      <c r="B1799" s="4" t="str">
        <f>"FES1162751545"</f>
        <v>FES1162751545</v>
      </c>
      <c r="C1799" s="4" t="s">
        <v>1668</v>
      </c>
      <c r="D1799" s="4">
        <v>1</v>
      </c>
      <c r="E1799" s="4" t="str">
        <f>"2170740090"</f>
        <v>2170740090</v>
      </c>
      <c r="F1799" s="4" t="s">
        <v>17</v>
      </c>
      <c r="G1799" s="4" t="s">
        <v>18</v>
      </c>
      <c r="H1799" s="4" t="s">
        <v>18</v>
      </c>
      <c r="I1799" s="4" t="s">
        <v>97</v>
      </c>
      <c r="J1799" s="4" t="s">
        <v>588</v>
      </c>
      <c r="K1799" s="4" t="s">
        <v>43</v>
      </c>
      <c r="L1799" s="4"/>
      <c r="M1799" s="4" t="s">
        <v>44</v>
      </c>
      <c r="N1799" s="4" t="s">
        <v>1762</v>
      </c>
      <c r="O1799" s="4" t="s">
        <v>24</v>
      </c>
    </row>
    <row r="1800" spans="1:15" x14ac:dyDescent="0.25">
      <c r="A1800" s="4" t="s">
        <v>15</v>
      </c>
      <c r="B1800" s="4" t="str">
        <f>"FES1162751629"</f>
        <v>FES1162751629</v>
      </c>
      <c r="C1800" s="4" t="s">
        <v>1668</v>
      </c>
      <c r="D1800" s="4">
        <v>1</v>
      </c>
      <c r="E1800" s="4" t="str">
        <f>"2170740688"</f>
        <v>2170740688</v>
      </c>
      <c r="F1800" s="4" t="s">
        <v>17</v>
      </c>
      <c r="G1800" s="4" t="s">
        <v>18</v>
      </c>
      <c r="H1800" s="4" t="s">
        <v>18</v>
      </c>
      <c r="I1800" s="4" t="s">
        <v>147</v>
      </c>
      <c r="J1800" s="4" t="s">
        <v>299</v>
      </c>
      <c r="K1800" s="4" t="s">
        <v>43</v>
      </c>
      <c r="L1800" s="4"/>
      <c r="M1800" s="4" t="s">
        <v>44</v>
      </c>
      <c r="N1800" s="4" t="s">
        <v>1762</v>
      </c>
      <c r="O1800" s="4" t="s">
        <v>24</v>
      </c>
    </row>
    <row r="1801" spans="1:15" x14ac:dyDescent="0.25">
      <c r="A1801" s="4" t="s">
        <v>15</v>
      </c>
      <c r="B1801" s="4" t="str">
        <f>"FES1162751493"</f>
        <v>FES1162751493</v>
      </c>
      <c r="C1801" s="4" t="s">
        <v>1668</v>
      </c>
      <c r="D1801" s="4">
        <v>1</v>
      </c>
      <c r="E1801" s="4" t="str">
        <f>"2170741612"</f>
        <v>2170741612</v>
      </c>
      <c r="F1801" s="4" t="s">
        <v>17</v>
      </c>
      <c r="G1801" s="4" t="s">
        <v>18</v>
      </c>
      <c r="H1801" s="4" t="s">
        <v>48</v>
      </c>
      <c r="I1801" s="4" t="s">
        <v>108</v>
      </c>
      <c r="J1801" s="4" t="s">
        <v>109</v>
      </c>
      <c r="K1801" s="4" t="s">
        <v>43</v>
      </c>
      <c r="L1801" s="4"/>
      <c r="M1801" s="4" t="s">
        <v>44</v>
      </c>
      <c r="N1801" s="4" t="s">
        <v>1762</v>
      </c>
      <c r="O1801" s="4" t="s">
        <v>24</v>
      </c>
    </row>
    <row r="1802" spans="1:15" x14ac:dyDescent="0.25">
      <c r="A1802" s="4" t="s">
        <v>15</v>
      </c>
      <c r="B1802" s="4" t="str">
        <f>"FES1162751710"</f>
        <v>FES1162751710</v>
      </c>
      <c r="C1802" s="4" t="s">
        <v>1668</v>
      </c>
      <c r="D1802" s="4">
        <v>1</v>
      </c>
      <c r="E1802" s="4" t="str">
        <f>"2170741181"</f>
        <v>2170741181</v>
      </c>
      <c r="F1802" s="4" t="s">
        <v>17</v>
      </c>
      <c r="G1802" s="4" t="s">
        <v>18</v>
      </c>
      <c r="H1802" s="4" t="s">
        <v>25</v>
      </c>
      <c r="I1802" s="4" t="s">
        <v>26</v>
      </c>
      <c r="J1802" s="4" t="s">
        <v>773</v>
      </c>
      <c r="K1802" s="4" t="s">
        <v>43</v>
      </c>
      <c r="L1802" s="4"/>
      <c r="M1802" s="4" t="s">
        <v>44</v>
      </c>
      <c r="N1802" s="4" t="s">
        <v>1762</v>
      </c>
      <c r="O1802" s="4" t="s">
        <v>24</v>
      </c>
    </row>
    <row r="1803" spans="1:15" x14ac:dyDescent="0.25">
      <c r="A1803" s="4" t="s">
        <v>15</v>
      </c>
      <c r="B1803" s="4" t="str">
        <f>"FES1162751448"</f>
        <v>FES1162751448</v>
      </c>
      <c r="C1803" s="4" t="s">
        <v>1668</v>
      </c>
      <c r="D1803" s="4">
        <v>1</v>
      </c>
      <c r="E1803" s="4" t="str">
        <f>"2170741576"</f>
        <v>2170741576</v>
      </c>
      <c r="F1803" s="4" t="s">
        <v>17</v>
      </c>
      <c r="G1803" s="4" t="s">
        <v>18</v>
      </c>
      <c r="H1803" s="4" t="s">
        <v>25</v>
      </c>
      <c r="I1803" s="4" t="s">
        <v>26</v>
      </c>
      <c r="J1803" s="4" t="s">
        <v>286</v>
      </c>
      <c r="K1803" s="4" t="s">
        <v>43</v>
      </c>
      <c r="L1803" s="4"/>
      <c r="M1803" s="4" t="s">
        <v>44</v>
      </c>
      <c r="N1803" s="4" t="s">
        <v>1762</v>
      </c>
      <c r="O1803" s="4" t="s">
        <v>24</v>
      </c>
    </row>
    <row r="1804" spans="1:15" x14ac:dyDescent="0.25">
      <c r="A1804" s="4" t="s">
        <v>15</v>
      </c>
      <c r="B1804" s="4" t="str">
        <f>"FES1162751534"</f>
        <v>FES1162751534</v>
      </c>
      <c r="C1804" s="4" t="s">
        <v>1668</v>
      </c>
      <c r="D1804" s="4">
        <v>1</v>
      </c>
      <c r="E1804" s="4" t="str">
        <f>"2170739855"</f>
        <v>2170739855</v>
      </c>
      <c r="F1804" s="4" t="s">
        <v>17</v>
      </c>
      <c r="G1804" s="4" t="s">
        <v>18</v>
      </c>
      <c r="H1804" s="4" t="s">
        <v>25</v>
      </c>
      <c r="I1804" s="4" t="s">
        <v>26</v>
      </c>
      <c r="J1804" s="4" t="s">
        <v>1087</v>
      </c>
      <c r="K1804" s="4" t="s">
        <v>43</v>
      </c>
      <c r="L1804" s="4"/>
      <c r="M1804" s="4" t="s">
        <v>44</v>
      </c>
      <c r="N1804" s="4" t="s">
        <v>1762</v>
      </c>
      <c r="O1804" s="4" t="s">
        <v>24</v>
      </c>
    </row>
    <row r="1805" spans="1:15" x14ac:dyDescent="0.25">
      <c r="A1805" s="4" t="s">
        <v>15</v>
      </c>
      <c r="B1805" s="4" t="str">
        <f>"FES1162751594"</f>
        <v>FES1162751594</v>
      </c>
      <c r="C1805" s="4" t="s">
        <v>1668</v>
      </c>
      <c r="D1805" s="4">
        <v>1</v>
      </c>
      <c r="E1805" s="4" t="str">
        <f>"2170740384"</f>
        <v>2170740384</v>
      </c>
      <c r="F1805" s="4" t="s">
        <v>17</v>
      </c>
      <c r="G1805" s="4" t="s">
        <v>18</v>
      </c>
      <c r="H1805" s="4" t="s">
        <v>52</v>
      </c>
      <c r="I1805" s="4" t="s">
        <v>53</v>
      </c>
      <c r="J1805" s="4" t="s">
        <v>592</v>
      </c>
      <c r="K1805" s="4" t="s">
        <v>43</v>
      </c>
      <c r="L1805" s="4"/>
      <c r="M1805" s="4" t="s">
        <v>44</v>
      </c>
      <c r="N1805" s="4" t="s">
        <v>1762</v>
      </c>
      <c r="O1805" s="4" t="s">
        <v>24</v>
      </c>
    </row>
    <row r="1806" spans="1:15" x14ac:dyDescent="0.25">
      <c r="A1806" s="4" t="s">
        <v>15</v>
      </c>
      <c r="B1806" s="4" t="str">
        <f>"FES1162751430"</f>
        <v>FES1162751430</v>
      </c>
      <c r="C1806" s="4" t="s">
        <v>1668</v>
      </c>
      <c r="D1806" s="4">
        <v>1</v>
      </c>
      <c r="E1806" s="4" t="str">
        <f>"2170741469"</f>
        <v>2170741469</v>
      </c>
      <c r="F1806" s="4" t="s">
        <v>17</v>
      </c>
      <c r="G1806" s="4" t="s">
        <v>18</v>
      </c>
      <c r="H1806" s="4" t="s">
        <v>52</v>
      </c>
      <c r="I1806" s="4" t="s">
        <v>53</v>
      </c>
      <c r="J1806" s="4" t="s">
        <v>280</v>
      </c>
      <c r="K1806" s="4" t="s">
        <v>43</v>
      </c>
      <c r="L1806" s="4"/>
      <c r="M1806" s="4" t="s">
        <v>44</v>
      </c>
      <c r="N1806" s="4" t="s">
        <v>1762</v>
      </c>
      <c r="O1806" s="4" t="s">
        <v>24</v>
      </c>
    </row>
    <row r="1807" spans="1:15" x14ac:dyDescent="0.25">
      <c r="A1807" s="4" t="s">
        <v>15</v>
      </c>
      <c r="B1807" s="4" t="str">
        <f>"FES1162751397"</f>
        <v>FES1162751397</v>
      </c>
      <c r="C1807" s="4" t="s">
        <v>1668</v>
      </c>
      <c r="D1807" s="4">
        <v>1</v>
      </c>
      <c r="E1807" s="4" t="str">
        <f>"21707411369"</f>
        <v>21707411369</v>
      </c>
      <c r="F1807" s="4" t="s">
        <v>17</v>
      </c>
      <c r="G1807" s="4" t="s">
        <v>18</v>
      </c>
      <c r="H1807" s="4" t="s">
        <v>18</v>
      </c>
      <c r="I1807" s="4" t="s">
        <v>309</v>
      </c>
      <c r="J1807" s="4" t="s">
        <v>380</v>
      </c>
      <c r="K1807" s="4" t="s">
        <v>43</v>
      </c>
      <c r="L1807" s="4"/>
      <c r="M1807" s="4" t="s">
        <v>44</v>
      </c>
      <c r="N1807" s="4" t="s">
        <v>1762</v>
      </c>
      <c r="O1807" s="4" t="s">
        <v>24</v>
      </c>
    </row>
    <row r="1808" spans="1:15" x14ac:dyDescent="0.25">
      <c r="A1808" s="4" t="s">
        <v>15</v>
      </c>
      <c r="B1808" s="4" t="str">
        <f>"FES1162751401"</f>
        <v>FES1162751401</v>
      </c>
      <c r="C1808" s="4" t="s">
        <v>1668</v>
      </c>
      <c r="D1808" s="4">
        <v>1</v>
      </c>
      <c r="E1808" s="4" t="str">
        <f>"2170741471"</f>
        <v>2170741471</v>
      </c>
      <c r="F1808" s="4" t="s">
        <v>17</v>
      </c>
      <c r="G1808" s="4" t="s">
        <v>18</v>
      </c>
      <c r="H1808" s="4" t="s">
        <v>18</v>
      </c>
      <c r="I1808" s="4" t="s">
        <v>292</v>
      </c>
      <c r="J1808" s="4" t="s">
        <v>891</v>
      </c>
      <c r="K1808" s="4" t="s">
        <v>43</v>
      </c>
      <c r="L1808" s="4"/>
      <c r="M1808" s="4" t="s">
        <v>44</v>
      </c>
      <c r="N1808" s="4" t="s">
        <v>1762</v>
      </c>
      <c r="O1808" s="4" t="s">
        <v>24</v>
      </c>
    </row>
    <row r="1809" spans="1:15" x14ac:dyDescent="0.25">
      <c r="A1809" s="4" t="s">
        <v>15</v>
      </c>
      <c r="B1809" s="4" t="str">
        <f>"FES1162751399"</f>
        <v>FES1162751399</v>
      </c>
      <c r="C1809" s="4" t="s">
        <v>1668</v>
      </c>
      <c r="D1809" s="4">
        <v>1</v>
      </c>
      <c r="E1809" s="4" t="str">
        <f>"2170741257"</f>
        <v>2170741257</v>
      </c>
      <c r="F1809" s="4" t="s">
        <v>17</v>
      </c>
      <c r="G1809" s="4" t="s">
        <v>18</v>
      </c>
      <c r="H1809" s="4" t="s">
        <v>18</v>
      </c>
      <c r="I1809" s="4" t="s">
        <v>309</v>
      </c>
      <c r="J1809" s="4" t="s">
        <v>380</v>
      </c>
      <c r="K1809" s="4" t="s">
        <v>43</v>
      </c>
      <c r="L1809" s="4"/>
      <c r="M1809" s="4" t="s">
        <v>44</v>
      </c>
      <c r="N1809" s="4" t="s">
        <v>1762</v>
      </c>
      <c r="O1809" s="4" t="s">
        <v>24</v>
      </c>
    </row>
    <row r="1810" spans="1:15" x14ac:dyDescent="0.25">
      <c r="A1810" s="4" t="s">
        <v>15</v>
      </c>
      <c r="B1810" s="4" t="str">
        <f>"FES1162751647"</f>
        <v>FES1162751647</v>
      </c>
      <c r="C1810" s="4" t="s">
        <v>1668</v>
      </c>
      <c r="D1810" s="4">
        <v>1</v>
      </c>
      <c r="E1810" s="4" t="str">
        <f>"2170741644"</f>
        <v>2170741644</v>
      </c>
      <c r="F1810" s="4" t="s">
        <v>17</v>
      </c>
      <c r="G1810" s="4" t="s">
        <v>18</v>
      </c>
      <c r="H1810" s="4" t="s">
        <v>18</v>
      </c>
      <c r="I1810" s="4" t="s">
        <v>58</v>
      </c>
      <c r="J1810" s="4" t="s">
        <v>817</v>
      </c>
      <c r="K1810" s="4" t="s">
        <v>43</v>
      </c>
      <c r="L1810" s="4"/>
      <c r="M1810" s="4" t="s">
        <v>44</v>
      </c>
      <c r="N1810" s="4" t="s">
        <v>1762</v>
      </c>
      <c r="O1810" s="4" t="s">
        <v>24</v>
      </c>
    </row>
    <row r="1811" spans="1:15" x14ac:dyDescent="0.25">
      <c r="A1811" s="4" t="s">
        <v>15</v>
      </c>
      <c r="B1811" s="4" t="str">
        <f>"FES1162751565"</f>
        <v>FES1162751565</v>
      </c>
      <c r="C1811" s="4" t="s">
        <v>1668</v>
      </c>
      <c r="D1811" s="4">
        <v>1</v>
      </c>
      <c r="E1811" s="4" t="str">
        <f>"2170740170"</f>
        <v>2170740170</v>
      </c>
      <c r="F1811" s="4" t="s">
        <v>17</v>
      </c>
      <c r="G1811" s="4" t="s">
        <v>18</v>
      </c>
      <c r="H1811" s="4" t="s">
        <v>18</v>
      </c>
      <c r="I1811" s="4" t="s">
        <v>147</v>
      </c>
      <c r="J1811" s="4" t="s">
        <v>410</v>
      </c>
      <c r="K1811" s="4" t="s">
        <v>43</v>
      </c>
      <c r="L1811" s="4"/>
      <c r="M1811" s="4" t="s">
        <v>44</v>
      </c>
      <c r="N1811" s="4" t="s">
        <v>1762</v>
      </c>
      <c r="O1811" s="4" t="s">
        <v>24</v>
      </c>
    </row>
    <row r="1812" spans="1:15" x14ac:dyDescent="0.25">
      <c r="A1812" s="4" t="s">
        <v>15</v>
      </c>
      <c r="B1812" s="4" t="str">
        <f>"FES1162751547"</f>
        <v>FES1162751547</v>
      </c>
      <c r="C1812" s="4" t="s">
        <v>1668</v>
      </c>
      <c r="D1812" s="4">
        <v>1</v>
      </c>
      <c r="E1812" s="4" t="str">
        <f>"2170740098"</f>
        <v>2170740098</v>
      </c>
      <c r="F1812" s="4" t="s">
        <v>17</v>
      </c>
      <c r="G1812" s="4" t="s">
        <v>18</v>
      </c>
      <c r="H1812" s="4" t="s">
        <v>18</v>
      </c>
      <c r="I1812" s="4" t="s">
        <v>97</v>
      </c>
      <c r="J1812" s="4" t="s">
        <v>313</v>
      </c>
      <c r="K1812" s="4" t="s">
        <v>43</v>
      </c>
      <c r="L1812" s="4"/>
      <c r="M1812" s="4" t="s">
        <v>44</v>
      </c>
      <c r="N1812" s="4" t="s">
        <v>1762</v>
      </c>
      <c r="O1812" s="4" t="s">
        <v>24</v>
      </c>
    </row>
    <row r="1813" spans="1:15" x14ac:dyDescent="0.25">
      <c r="A1813" s="4" t="s">
        <v>15</v>
      </c>
      <c r="B1813" s="4" t="str">
        <f>"FES1162751588"</f>
        <v>FES1162751588</v>
      </c>
      <c r="C1813" s="4" t="s">
        <v>1668</v>
      </c>
      <c r="D1813" s="4">
        <v>1</v>
      </c>
      <c r="E1813" s="4" t="str">
        <f>"2170740334"</f>
        <v>2170740334</v>
      </c>
      <c r="F1813" s="4" t="s">
        <v>17</v>
      </c>
      <c r="G1813" s="4" t="s">
        <v>18</v>
      </c>
      <c r="H1813" s="4" t="s">
        <v>18</v>
      </c>
      <c r="I1813" s="4" t="s">
        <v>147</v>
      </c>
      <c r="J1813" s="4" t="s">
        <v>352</v>
      </c>
      <c r="K1813" s="4" t="s">
        <v>43</v>
      </c>
      <c r="L1813" s="4"/>
      <c r="M1813" s="4" t="s">
        <v>44</v>
      </c>
      <c r="N1813" s="4" t="s">
        <v>1762</v>
      </c>
      <c r="O1813" s="4" t="s">
        <v>24</v>
      </c>
    </row>
    <row r="1814" spans="1:15" x14ac:dyDescent="0.25">
      <c r="A1814" s="4" t="s">
        <v>15</v>
      </c>
      <c r="B1814" s="4" t="str">
        <f>"FES1162751604"</f>
        <v>FES1162751604</v>
      </c>
      <c r="C1814" s="4" t="s">
        <v>1668</v>
      </c>
      <c r="D1814" s="4">
        <v>1</v>
      </c>
      <c r="E1814" s="4" t="str">
        <f>"2170740468"</f>
        <v>2170740468</v>
      </c>
      <c r="F1814" s="4" t="s">
        <v>17</v>
      </c>
      <c r="G1814" s="4" t="s">
        <v>18</v>
      </c>
      <c r="H1814" s="4" t="s">
        <v>18</v>
      </c>
      <c r="I1814" s="4" t="s">
        <v>97</v>
      </c>
      <c r="J1814" s="4" t="s">
        <v>859</v>
      </c>
      <c r="K1814" s="4" t="s">
        <v>43</v>
      </c>
      <c r="L1814" s="4"/>
      <c r="M1814" s="4" t="s">
        <v>44</v>
      </c>
      <c r="N1814" s="4" t="s">
        <v>1762</v>
      </c>
      <c r="O1814" s="4" t="s">
        <v>24</v>
      </c>
    </row>
    <row r="1815" spans="1:15" x14ac:dyDescent="0.25">
      <c r="A1815" s="4" t="s">
        <v>15</v>
      </c>
      <c r="B1815" s="4" t="str">
        <f>"FES1162751584"</f>
        <v>FES1162751584</v>
      </c>
      <c r="C1815" s="4" t="s">
        <v>1668</v>
      </c>
      <c r="D1815" s="4">
        <v>1</v>
      </c>
      <c r="E1815" s="4" t="str">
        <f>"2170740280"</f>
        <v>2170740280</v>
      </c>
      <c r="F1815" s="4" t="s">
        <v>17</v>
      </c>
      <c r="G1815" s="4" t="s">
        <v>18</v>
      </c>
      <c r="H1815" s="4" t="s">
        <v>18</v>
      </c>
      <c r="I1815" s="4" t="s">
        <v>309</v>
      </c>
      <c r="J1815" s="4" t="s">
        <v>310</v>
      </c>
      <c r="K1815" s="4" t="s">
        <v>43</v>
      </c>
      <c r="L1815" s="4"/>
      <c r="M1815" s="4" t="s">
        <v>44</v>
      </c>
      <c r="N1815" s="4" t="s">
        <v>1762</v>
      </c>
      <c r="O1815" s="4" t="s">
        <v>24</v>
      </c>
    </row>
    <row r="1816" spans="1:15" x14ac:dyDescent="0.25">
      <c r="A1816" s="4" t="s">
        <v>15</v>
      </c>
      <c r="B1816" s="4" t="str">
        <f>"FES1162751437"</f>
        <v>FES1162751437</v>
      </c>
      <c r="C1816" s="4" t="s">
        <v>1668</v>
      </c>
      <c r="D1816" s="4">
        <v>1</v>
      </c>
      <c r="E1816" s="4" t="str">
        <f>"2170741564"</f>
        <v>2170741564</v>
      </c>
      <c r="F1816" s="4" t="s">
        <v>17</v>
      </c>
      <c r="G1816" s="4" t="s">
        <v>18</v>
      </c>
      <c r="H1816" s="4" t="s">
        <v>18</v>
      </c>
      <c r="I1816" s="4" t="s">
        <v>147</v>
      </c>
      <c r="J1816" s="4" t="s">
        <v>148</v>
      </c>
      <c r="K1816" s="4" t="s">
        <v>43</v>
      </c>
      <c r="L1816" s="4"/>
      <c r="M1816" s="4" t="s">
        <v>44</v>
      </c>
      <c r="N1816" s="4" t="s">
        <v>1762</v>
      </c>
      <c r="O1816" s="4" t="s">
        <v>24</v>
      </c>
    </row>
    <row r="1817" spans="1:15" x14ac:dyDescent="0.25">
      <c r="A1817" s="4" t="s">
        <v>15</v>
      </c>
      <c r="B1817" s="4" t="str">
        <f>"FES1162751539"</f>
        <v>FES1162751539</v>
      </c>
      <c r="C1817" s="4" t="s">
        <v>1668</v>
      </c>
      <c r="D1817" s="4">
        <v>1</v>
      </c>
      <c r="E1817" s="4" t="str">
        <f>"2170740045"</f>
        <v>2170740045</v>
      </c>
      <c r="F1817" s="4" t="s">
        <v>17</v>
      </c>
      <c r="G1817" s="4" t="s">
        <v>18</v>
      </c>
      <c r="H1817" s="4" t="s">
        <v>18</v>
      </c>
      <c r="I1817" s="4" t="s">
        <v>97</v>
      </c>
      <c r="J1817" s="4" t="s">
        <v>313</v>
      </c>
      <c r="K1817" s="4" t="s">
        <v>43</v>
      </c>
      <c r="L1817" s="4"/>
      <c r="M1817" s="4" t="s">
        <v>44</v>
      </c>
      <c r="N1817" s="4" t="s">
        <v>1762</v>
      </c>
      <c r="O1817" s="4" t="s">
        <v>24</v>
      </c>
    </row>
    <row r="1818" spans="1:15" x14ac:dyDescent="0.25">
      <c r="A1818" s="4" t="s">
        <v>15</v>
      </c>
      <c r="B1818" s="4" t="str">
        <f>"FES1162751568"</f>
        <v>FES1162751568</v>
      </c>
      <c r="C1818" s="4" t="s">
        <v>1668</v>
      </c>
      <c r="D1818" s="4">
        <v>1</v>
      </c>
      <c r="E1818" s="4" t="str">
        <f>"2170740179"</f>
        <v>2170740179</v>
      </c>
      <c r="F1818" s="4" t="s">
        <v>17</v>
      </c>
      <c r="G1818" s="4" t="s">
        <v>18</v>
      </c>
      <c r="H1818" s="4" t="s">
        <v>18</v>
      </c>
      <c r="I1818" s="4" t="s">
        <v>29</v>
      </c>
      <c r="J1818" s="4" t="s">
        <v>302</v>
      </c>
      <c r="K1818" s="4" t="s">
        <v>43</v>
      </c>
      <c r="L1818" s="4"/>
      <c r="M1818" s="4" t="s">
        <v>44</v>
      </c>
      <c r="N1818" s="4" t="s">
        <v>1762</v>
      </c>
      <c r="O1818" s="4" t="s">
        <v>24</v>
      </c>
    </row>
    <row r="1819" spans="1:15" x14ac:dyDescent="0.25">
      <c r="A1819" s="4" t="s">
        <v>15</v>
      </c>
      <c r="B1819" s="4" t="str">
        <f>"FES1162751583"</f>
        <v>FES1162751583</v>
      </c>
      <c r="C1819" s="4" t="s">
        <v>1668</v>
      </c>
      <c r="D1819" s="4">
        <v>1</v>
      </c>
      <c r="E1819" s="4" t="str">
        <f>"2170740279"</f>
        <v>2170740279</v>
      </c>
      <c r="F1819" s="4" t="s">
        <v>17</v>
      </c>
      <c r="G1819" s="4" t="s">
        <v>18</v>
      </c>
      <c r="H1819" s="4" t="s">
        <v>18</v>
      </c>
      <c r="I1819" s="4" t="s">
        <v>292</v>
      </c>
      <c r="J1819" s="4" t="s">
        <v>293</v>
      </c>
      <c r="K1819" s="4" t="s">
        <v>43</v>
      </c>
      <c r="L1819" s="4"/>
      <c r="M1819" s="4" t="s">
        <v>44</v>
      </c>
      <c r="N1819" s="4" t="s">
        <v>1762</v>
      </c>
      <c r="O1819" s="4" t="s">
        <v>24</v>
      </c>
    </row>
    <row r="1820" spans="1:15" x14ac:dyDescent="0.25">
      <c r="A1820" s="4" t="s">
        <v>15</v>
      </c>
      <c r="B1820" s="4" t="str">
        <f>"FES1162751618"</f>
        <v>FES1162751618</v>
      </c>
      <c r="C1820" s="4" t="s">
        <v>1668</v>
      </c>
      <c r="D1820" s="4">
        <v>1</v>
      </c>
      <c r="E1820" s="4" t="str">
        <f>"2170740540"</f>
        <v>2170740540</v>
      </c>
      <c r="F1820" s="4" t="s">
        <v>17</v>
      </c>
      <c r="G1820" s="4" t="s">
        <v>18</v>
      </c>
      <c r="H1820" s="4" t="s">
        <v>48</v>
      </c>
      <c r="I1820" s="4" t="s">
        <v>49</v>
      </c>
      <c r="J1820" s="4" t="s">
        <v>1072</v>
      </c>
      <c r="K1820" s="4" t="s">
        <v>43</v>
      </c>
      <c r="L1820" s="4"/>
      <c r="M1820" s="4" t="s">
        <v>44</v>
      </c>
      <c r="N1820" s="4" t="s">
        <v>1762</v>
      </c>
      <c r="O1820" s="4" t="s">
        <v>24</v>
      </c>
    </row>
    <row r="1821" spans="1:15" x14ac:dyDescent="0.25">
      <c r="A1821" s="4" t="s">
        <v>15</v>
      </c>
      <c r="B1821" s="4" t="str">
        <f>"FES1162751649"</f>
        <v>FES1162751649</v>
      </c>
      <c r="C1821" s="4" t="s">
        <v>1668</v>
      </c>
      <c r="D1821" s="4">
        <v>1</v>
      </c>
      <c r="E1821" s="4" t="str">
        <f>"2170741646"</f>
        <v>2170741646</v>
      </c>
      <c r="F1821" s="4" t="s">
        <v>17</v>
      </c>
      <c r="G1821" s="4" t="s">
        <v>18</v>
      </c>
      <c r="H1821" s="4" t="s">
        <v>48</v>
      </c>
      <c r="I1821" s="4" t="s">
        <v>49</v>
      </c>
      <c r="J1821" s="4" t="s">
        <v>886</v>
      </c>
      <c r="K1821" s="4" t="s">
        <v>43</v>
      </c>
      <c r="L1821" s="4"/>
      <c r="M1821" s="4" t="s">
        <v>44</v>
      </c>
      <c r="N1821" s="4" t="s">
        <v>1762</v>
      </c>
      <c r="O1821" s="4" t="s">
        <v>24</v>
      </c>
    </row>
    <row r="1822" spans="1:15" x14ac:dyDescent="0.25">
      <c r="A1822" s="4" t="s">
        <v>15</v>
      </c>
      <c r="B1822" s="4" t="str">
        <f>"FES1162751445"</f>
        <v>FES1162751445</v>
      </c>
      <c r="C1822" s="4" t="s">
        <v>1668</v>
      </c>
      <c r="D1822" s="4">
        <v>1</v>
      </c>
      <c r="E1822" s="4" t="str">
        <f>"2170741572"</f>
        <v>2170741572</v>
      </c>
      <c r="F1822" s="4" t="s">
        <v>17</v>
      </c>
      <c r="G1822" s="4" t="s">
        <v>18</v>
      </c>
      <c r="H1822" s="4" t="s">
        <v>18</v>
      </c>
      <c r="I1822" s="4" t="s">
        <v>29</v>
      </c>
      <c r="J1822" s="4" t="s">
        <v>302</v>
      </c>
      <c r="K1822" s="4" t="s">
        <v>43</v>
      </c>
      <c r="L1822" s="4"/>
      <c r="M1822" s="4" t="s">
        <v>44</v>
      </c>
      <c r="N1822" s="4" t="s">
        <v>1762</v>
      </c>
      <c r="O1822" s="4" t="s">
        <v>24</v>
      </c>
    </row>
    <row r="1823" spans="1:15" x14ac:dyDescent="0.25">
      <c r="A1823" s="4" t="s">
        <v>15</v>
      </c>
      <c r="B1823" s="4" t="str">
        <f>"FES1162751630"</f>
        <v>FES1162751630</v>
      </c>
      <c r="C1823" s="4" t="s">
        <v>1668</v>
      </c>
      <c r="D1823" s="4">
        <v>1</v>
      </c>
      <c r="E1823" s="4" t="str">
        <f>"2170740730"</f>
        <v>2170740730</v>
      </c>
      <c r="F1823" s="4" t="s">
        <v>17</v>
      </c>
      <c r="G1823" s="4" t="s">
        <v>18</v>
      </c>
      <c r="H1823" s="4" t="s">
        <v>18</v>
      </c>
      <c r="I1823" s="4" t="s">
        <v>29</v>
      </c>
      <c r="J1823" s="4" t="s">
        <v>1223</v>
      </c>
      <c r="K1823" s="4" t="s">
        <v>43</v>
      </c>
      <c r="L1823" s="4"/>
      <c r="M1823" s="4" t="s">
        <v>44</v>
      </c>
      <c r="N1823" s="4" t="s">
        <v>1762</v>
      </c>
      <c r="O1823" s="4" t="s">
        <v>24</v>
      </c>
    </row>
    <row r="1824" spans="1:15" x14ac:dyDescent="0.25">
      <c r="A1824" s="4" t="s">
        <v>15</v>
      </c>
      <c r="B1824" s="4" t="str">
        <f>"FES1162751458"</f>
        <v>FES1162751458</v>
      </c>
      <c r="C1824" s="4" t="s">
        <v>1668</v>
      </c>
      <c r="D1824" s="4">
        <v>1</v>
      </c>
      <c r="E1824" s="4" t="str">
        <f>"2170741596"</f>
        <v>2170741596</v>
      </c>
      <c r="F1824" s="4" t="s">
        <v>17</v>
      </c>
      <c r="G1824" s="4" t="s">
        <v>18</v>
      </c>
      <c r="H1824" s="4" t="s">
        <v>18</v>
      </c>
      <c r="I1824" s="4" t="s">
        <v>147</v>
      </c>
      <c r="J1824" s="4" t="s">
        <v>1736</v>
      </c>
      <c r="K1824" s="4" t="s">
        <v>43</v>
      </c>
      <c r="L1824" s="4"/>
      <c r="M1824" s="4" t="s">
        <v>44</v>
      </c>
      <c r="N1824" s="4" t="s">
        <v>1762</v>
      </c>
      <c r="O1824" s="4" t="s">
        <v>24</v>
      </c>
    </row>
    <row r="1825" spans="1:15" x14ac:dyDescent="0.25">
      <c r="A1825" s="4" t="s">
        <v>15</v>
      </c>
      <c r="B1825" s="4" t="str">
        <f>"FES1162751429"</f>
        <v>FES1162751429</v>
      </c>
      <c r="C1825" s="4" t="s">
        <v>1668</v>
      </c>
      <c r="D1825" s="4">
        <v>1</v>
      </c>
      <c r="E1825" s="4" t="str">
        <f>"2170741344"</f>
        <v>2170741344</v>
      </c>
      <c r="F1825" s="4" t="s">
        <v>17</v>
      </c>
      <c r="G1825" s="4" t="s">
        <v>18</v>
      </c>
      <c r="H1825" s="4" t="s">
        <v>48</v>
      </c>
      <c r="I1825" s="4" t="s">
        <v>366</v>
      </c>
      <c r="J1825" s="4" t="s">
        <v>367</v>
      </c>
      <c r="K1825" s="4" t="s">
        <v>43</v>
      </c>
      <c r="L1825" s="4"/>
      <c r="M1825" s="4" t="s">
        <v>44</v>
      </c>
      <c r="N1825" s="4" t="s">
        <v>1762</v>
      </c>
      <c r="O1825" s="4" t="s">
        <v>24</v>
      </c>
    </row>
    <row r="1826" spans="1:15" x14ac:dyDescent="0.25">
      <c r="A1826" s="4" t="s">
        <v>15</v>
      </c>
      <c r="B1826" s="4" t="str">
        <f>"FES1162751484"</f>
        <v>FES1162751484</v>
      </c>
      <c r="C1826" s="4" t="s">
        <v>1668</v>
      </c>
      <c r="D1826" s="4">
        <v>1</v>
      </c>
      <c r="E1826" s="4" t="str">
        <f>"2170741595"</f>
        <v>2170741595</v>
      </c>
      <c r="F1826" s="4" t="s">
        <v>17</v>
      </c>
      <c r="G1826" s="4" t="s">
        <v>18</v>
      </c>
      <c r="H1826" s="4" t="s">
        <v>48</v>
      </c>
      <c r="I1826" s="4" t="s">
        <v>49</v>
      </c>
      <c r="J1826" s="4" t="s">
        <v>1737</v>
      </c>
      <c r="K1826" s="4" t="s">
        <v>1729</v>
      </c>
      <c r="L1826" s="5">
        <v>0.35416666666666669</v>
      </c>
      <c r="M1826" s="4" t="s">
        <v>1738</v>
      </c>
      <c r="N1826" s="6" t="s">
        <v>23</v>
      </c>
      <c r="O1826" s="4" t="s">
        <v>24</v>
      </c>
    </row>
    <row r="1827" spans="1:15" x14ac:dyDescent="0.25">
      <c r="A1827" s="4" t="s">
        <v>15</v>
      </c>
      <c r="B1827" s="4" t="str">
        <f>"FES1162751419"</f>
        <v>FES1162751419</v>
      </c>
      <c r="C1827" s="4" t="s">
        <v>1668</v>
      </c>
      <c r="D1827" s="4">
        <v>1</v>
      </c>
      <c r="E1827" s="4" t="str">
        <f>"2170740528"</f>
        <v>2170740528</v>
      </c>
      <c r="F1827" s="4" t="s">
        <v>17</v>
      </c>
      <c r="G1827" s="4" t="s">
        <v>18</v>
      </c>
      <c r="H1827" s="4" t="s">
        <v>48</v>
      </c>
      <c r="I1827" s="4" t="s">
        <v>49</v>
      </c>
      <c r="J1827" s="4" t="s">
        <v>100</v>
      </c>
      <c r="K1827" s="4" t="s">
        <v>43</v>
      </c>
      <c r="L1827" s="4"/>
      <c r="M1827" s="4" t="s">
        <v>44</v>
      </c>
      <c r="N1827" s="4" t="s">
        <v>1762</v>
      </c>
      <c r="O1827" s="4" t="s">
        <v>24</v>
      </c>
    </row>
    <row r="1828" spans="1:15" x14ac:dyDescent="0.25">
      <c r="A1828" s="4" t="s">
        <v>15</v>
      </c>
      <c r="B1828" s="4" t="str">
        <f>"FES1162751465"</f>
        <v>FES1162751465</v>
      </c>
      <c r="C1828" s="4" t="s">
        <v>1668</v>
      </c>
      <c r="D1828" s="4">
        <v>1</v>
      </c>
      <c r="E1828" s="4" t="str">
        <f>"2170739855"</f>
        <v>2170739855</v>
      </c>
      <c r="F1828" s="4" t="s">
        <v>17</v>
      </c>
      <c r="G1828" s="4" t="s">
        <v>18</v>
      </c>
      <c r="H1828" s="4" t="s">
        <v>25</v>
      </c>
      <c r="I1828" s="4" t="s">
        <v>26</v>
      </c>
      <c r="J1828" s="4" t="s">
        <v>1087</v>
      </c>
      <c r="K1828" s="4" t="s">
        <v>43</v>
      </c>
      <c r="L1828" s="4"/>
      <c r="M1828" s="4" t="s">
        <v>44</v>
      </c>
      <c r="N1828" s="4" t="s">
        <v>1762</v>
      </c>
      <c r="O1828" s="4" t="s">
        <v>24</v>
      </c>
    </row>
    <row r="1829" spans="1:15" x14ac:dyDescent="0.25">
      <c r="A1829" s="4" t="s">
        <v>15</v>
      </c>
      <c r="B1829" s="4" t="str">
        <f>"FES1162751442"</f>
        <v>FES1162751442</v>
      </c>
      <c r="C1829" s="4" t="s">
        <v>1668</v>
      </c>
      <c r="D1829" s="4">
        <v>1</v>
      </c>
      <c r="E1829" s="4" t="str">
        <f>"2170741569"</f>
        <v>2170741569</v>
      </c>
      <c r="F1829" s="4" t="s">
        <v>17</v>
      </c>
      <c r="G1829" s="4" t="s">
        <v>18</v>
      </c>
      <c r="H1829" s="4" t="s">
        <v>25</v>
      </c>
      <c r="I1829" s="4" t="s">
        <v>26</v>
      </c>
      <c r="J1829" s="4" t="s">
        <v>773</v>
      </c>
      <c r="K1829" s="4" t="s">
        <v>43</v>
      </c>
      <c r="L1829" s="4"/>
      <c r="M1829" s="4" t="s">
        <v>44</v>
      </c>
      <c r="N1829" s="4" t="s">
        <v>1762</v>
      </c>
      <c r="O1829" s="4" t="s">
        <v>24</v>
      </c>
    </row>
    <row r="1830" spans="1:15" x14ac:dyDescent="0.25">
      <c r="A1830" s="4" t="s">
        <v>15</v>
      </c>
      <c r="B1830" s="4" t="str">
        <f>"FES1162751492"</f>
        <v>FES1162751492</v>
      </c>
      <c r="C1830" s="4" t="s">
        <v>1668</v>
      </c>
      <c r="D1830" s="4">
        <v>1</v>
      </c>
      <c r="E1830" s="4" t="str">
        <f>"2170741611"</f>
        <v>2170741611</v>
      </c>
      <c r="F1830" s="4" t="s">
        <v>17</v>
      </c>
      <c r="G1830" s="4" t="s">
        <v>18</v>
      </c>
      <c r="H1830" s="4" t="s">
        <v>48</v>
      </c>
      <c r="I1830" s="4" t="s">
        <v>108</v>
      </c>
      <c r="J1830" s="4" t="s">
        <v>109</v>
      </c>
      <c r="K1830" s="4" t="s">
        <v>43</v>
      </c>
      <c r="L1830" s="4"/>
      <c r="M1830" s="4" t="s">
        <v>44</v>
      </c>
      <c r="N1830" s="4" t="s">
        <v>1762</v>
      </c>
      <c r="O1830" s="4" t="s">
        <v>24</v>
      </c>
    </row>
    <row r="1831" spans="1:15" x14ac:dyDescent="0.25">
      <c r="A1831" s="4" t="s">
        <v>15</v>
      </c>
      <c r="B1831" s="4" t="str">
        <f>"FES1162751615"</f>
        <v>FES1162751615</v>
      </c>
      <c r="C1831" s="4" t="s">
        <v>1668</v>
      </c>
      <c r="D1831" s="4">
        <v>1</v>
      </c>
      <c r="E1831" s="4" t="str">
        <f>"2170740528"</f>
        <v>2170740528</v>
      </c>
      <c r="F1831" s="4" t="s">
        <v>17</v>
      </c>
      <c r="G1831" s="4" t="s">
        <v>18</v>
      </c>
      <c r="H1831" s="4" t="s">
        <v>48</v>
      </c>
      <c r="I1831" s="4" t="s">
        <v>49</v>
      </c>
      <c r="J1831" s="4" t="s">
        <v>100</v>
      </c>
      <c r="K1831" s="4" t="s">
        <v>43</v>
      </c>
      <c r="L1831" s="4"/>
      <c r="M1831" s="4" t="s">
        <v>44</v>
      </c>
      <c r="N1831" s="4" t="s">
        <v>1762</v>
      </c>
      <c r="O1831" s="4" t="s">
        <v>24</v>
      </c>
    </row>
    <row r="1832" spans="1:15" x14ac:dyDescent="0.25">
      <c r="A1832" s="4" t="s">
        <v>15</v>
      </c>
      <c r="B1832" s="4" t="str">
        <f>"FES1162751468"</f>
        <v>FES1162751468</v>
      </c>
      <c r="C1832" s="4" t="s">
        <v>1668</v>
      </c>
      <c r="D1832" s="4">
        <v>1</v>
      </c>
      <c r="E1832" s="4" t="str">
        <f>"2170740916"</f>
        <v>2170740916</v>
      </c>
      <c r="F1832" s="4" t="s">
        <v>17</v>
      </c>
      <c r="G1832" s="4" t="s">
        <v>18</v>
      </c>
      <c r="H1832" s="4" t="s">
        <v>48</v>
      </c>
      <c r="I1832" s="4" t="s">
        <v>49</v>
      </c>
      <c r="J1832" s="4" t="s">
        <v>142</v>
      </c>
      <c r="K1832" s="4" t="s">
        <v>1729</v>
      </c>
      <c r="L1832" s="5">
        <v>0.36458333333333331</v>
      </c>
      <c r="M1832" s="4" t="s">
        <v>143</v>
      </c>
      <c r="N1832" s="6" t="s">
        <v>23</v>
      </c>
      <c r="O1832" s="4" t="s">
        <v>24</v>
      </c>
    </row>
    <row r="1833" spans="1:15" x14ac:dyDescent="0.25">
      <c r="A1833" s="4" t="s">
        <v>15</v>
      </c>
      <c r="B1833" s="4" t="str">
        <f>"FES1162751433"</f>
        <v>FES1162751433</v>
      </c>
      <c r="C1833" s="4" t="s">
        <v>1668</v>
      </c>
      <c r="D1833" s="4">
        <v>1</v>
      </c>
      <c r="E1833" s="4" t="str">
        <f>"2170741541"</f>
        <v>2170741541</v>
      </c>
      <c r="F1833" s="4" t="s">
        <v>17</v>
      </c>
      <c r="G1833" s="4" t="s">
        <v>18</v>
      </c>
      <c r="H1833" s="4" t="s">
        <v>48</v>
      </c>
      <c r="I1833" s="4" t="s">
        <v>110</v>
      </c>
      <c r="J1833" s="4" t="s">
        <v>276</v>
      </c>
      <c r="K1833" s="4" t="s">
        <v>43</v>
      </c>
      <c r="L1833" s="4"/>
      <c r="M1833" s="4" t="s">
        <v>44</v>
      </c>
      <c r="N1833" s="4" t="s">
        <v>1762</v>
      </c>
      <c r="O1833" s="4" t="s">
        <v>24</v>
      </c>
    </row>
    <row r="1834" spans="1:15" x14ac:dyDescent="0.25">
      <c r="A1834" s="4" t="s">
        <v>15</v>
      </c>
      <c r="B1834" s="4" t="str">
        <f>"FES1162751641"</f>
        <v>FES1162751641</v>
      </c>
      <c r="C1834" s="4" t="s">
        <v>1668</v>
      </c>
      <c r="D1834" s="4">
        <v>1</v>
      </c>
      <c r="E1834" s="4" t="str">
        <f>"2170741373"</f>
        <v>2170741373</v>
      </c>
      <c r="F1834" s="4" t="s">
        <v>17</v>
      </c>
      <c r="G1834" s="4" t="s">
        <v>18</v>
      </c>
      <c r="H1834" s="4" t="s">
        <v>48</v>
      </c>
      <c r="I1834" s="4" t="s">
        <v>49</v>
      </c>
      <c r="J1834" s="4" t="s">
        <v>100</v>
      </c>
      <c r="K1834" s="4" t="s">
        <v>43</v>
      </c>
      <c r="L1834" s="4"/>
      <c r="M1834" s="4" t="s">
        <v>44</v>
      </c>
      <c r="N1834" s="4" t="s">
        <v>1762</v>
      </c>
      <c r="O1834" s="4" t="s">
        <v>24</v>
      </c>
    </row>
    <row r="1835" spans="1:15" x14ac:dyDescent="0.25">
      <c r="A1835" s="4" t="s">
        <v>15</v>
      </c>
      <c r="B1835" s="4" t="str">
        <f>"FES1162751600"</f>
        <v>FES1162751600</v>
      </c>
      <c r="C1835" s="4" t="s">
        <v>1668</v>
      </c>
      <c r="D1835" s="4">
        <v>1</v>
      </c>
      <c r="E1835" s="4" t="str">
        <f>"2170740432"</f>
        <v>2170740432</v>
      </c>
      <c r="F1835" s="4" t="s">
        <v>17</v>
      </c>
      <c r="G1835" s="4" t="s">
        <v>18</v>
      </c>
      <c r="H1835" s="4" t="s">
        <v>48</v>
      </c>
      <c r="I1835" s="4" t="s">
        <v>49</v>
      </c>
      <c r="J1835" s="4" t="s">
        <v>322</v>
      </c>
      <c r="K1835" s="4" t="s">
        <v>1729</v>
      </c>
      <c r="L1835" s="5">
        <v>0.31180555555555556</v>
      </c>
      <c r="M1835" s="4" t="s">
        <v>583</v>
      </c>
      <c r="N1835" s="6" t="s">
        <v>23</v>
      </c>
      <c r="O1835" s="4" t="s">
        <v>24</v>
      </c>
    </row>
    <row r="1836" spans="1:15" x14ac:dyDescent="0.25">
      <c r="A1836" s="4" t="s">
        <v>15</v>
      </c>
      <c r="B1836" s="4" t="str">
        <f>"FES1162751481"</f>
        <v>FES1162751481</v>
      </c>
      <c r="C1836" s="4" t="s">
        <v>1668</v>
      </c>
      <c r="D1836" s="4">
        <v>1</v>
      </c>
      <c r="E1836" s="4" t="str">
        <f>"2170741610"</f>
        <v>2170741610</v>
      </c>
      <c r="F1836" s="4" t="s">
        <v>17</v>
      </c>
      <c r="G1836" s="4" t="s">
        <v>18</v>
      </c>
      <c r="H1836" s="4" t="s">
        <v>25</v>
      </c>
      <c r="I1836" s="4" t="s">
        <v>26</v>
      </c>
      <c r="J1836" s="4" t="s">
        <v>413</v>
      </c>
      <c r="K1836" s="4" t="s">
        <v>43</v>
      </c>
      <c r="L1836" s="4"/>
      <c r="M1836" s="4" t="s">
        <v>44</v>
      </c>
      <c r="N1836" s="4" t="s">
        <v>1762</v>
      </c>
      <c r="O1836" s="4" t="s">
        <v>24</v>
      </c>
    </row>
    <row r="1837" spans="1:15" x14ac:dyDescent="0.25">
      <c r="A1837" s="4" t="s">
        <v>15</v>
      </c>
      <c r="B1837" s="4" t="str">
        <f>"FES1162751643"</f>
        <v>FES1162751643</v>
      </c>
      <c r="C1837" s="4" t="s">
        <v>1668</v>
      </c>
      <c r="D1837" s="4">
        <v>1</v>
      </c>
      <c r="E1837" s="4" t="str">
        <f>"2170741540"</f>
        <v>2170741540</v>
      </c>
      <c r="F1837" s="4" t="s">
        <v>17</v>
      </c>
      <c r="G1837" s="4" t="s">
        <v>18</v>
      </c>
      <c r="H1837" s="4" t="s">
        <v>48</v>
      </c>
      <c r="I1837" s="4" t="s">
        <v>73</v>
      </c>
      <c r="J1837" s="4" t="s">
        <v>779</v>
      </c>
      <c r="K1837" s="4" t="s">
        <v>43</v>
      </c>
      <c r="L1837" s="4"/>
      <c r="M1837" s="4" t="s">
        <v>44</v>
      </c>
      <c r="N1837" s="4" t="s">
        <v>1762</v>
      </c>
      <c r="O1837" s="4" t="s">
        <v>24</v>
      </c>
    </row>
    <row r="1838" spans="1:15" x14ac:dyDescent="0.25">
      <c r="A1838" s="4" t="s">
        <v>15</v>
      </c>
      <c r="B1838" s="4" t="str">
        <f>"FES1162751660"</f>
        <v>FES1162751660</v>
      </c>
      <c r="C1838" s="4" t="s">
        <v>1668</v>
      </c>
      <c r="D1838" s="4">
        <v>1</v>
      </c>
      <c r="E1838" s="4" t="str">
        <f>"2170741663"</f>
        <v>2170741663</v>
      </c>
      <c r="F1838" s="4" t="s">
        <v>17</v>
      </c>
      <c r="G1838" s="4" t="s">
        <v>18</v>
      </c>
      <c r="H1838" s="4" t="s">
        <v>48</v>
      </c>
      <c r="I1838" s="4" t="s">
        <v>49</v>
      </c>
      <c r="J1838" s="4" t="s">
        <v>602</v>
      </c>
      <c r="K1838" s="4" t="s">
        <v>43</v>
      </c>
      <c r="L1838" s="4"/>
      <c r="M1838" s="4" t="s">
        <v>44</v>
      </c>
      <c r="N1838" s="4" t="s">
        <v>1762</v>
      </c>
      <c r="O1838" s="4" t="s">
        <v>24</v>
      </c>
    </row>
    <row r="1839" spans="1:15" x14ac:dyDescent="0.25">
      <c r="A1839" s="4" t="s">
        <v>15</v>
      </c>
      <c r="B1839" s="4" t="str">
        <f>"FES1162751417"</f>
        <v>FES1162751417</v>
      </c>
      <c r="C1839" s="4" t="s">
        <v>1668</v>
      </c>
      <c r="D1839" s="4">
        <v>1</v>
      </c>
      <c r="E1839" s="4" t="str">
        <f>"2170740447"</f>
        <v>2170740447</v>
      </c>
      <c r="F1839" s="4" t="s">
        <v>17</v>
      </c>
      <c r="G1839" s="4" t="s">
        <v>18</v>
      </c>
      <c r="H1839" s="4" t="s">
        <v>48</v>
      </c>
      <c r="I1839" s="4" t="s">
        <v>49</v>
      </c>
      <c r="J1839" s="4" t="s">
        <v>142</v>
      </c>
      <c r="K1839" s="4" t="s">
        <v>1729</v>
      </c>
      <c r="L1839" s="5">
        <v>0.36458333333333331</v>
      </c>
      <c r="M1839" s="4" t="s">
        <v>143</v>
      </c>
      <c r="N1839" s="6" t="s">
        <v>23</v>
      </c>
      <c r="O1839" s="4" t="s">
        <v>24</v>
      </c>
    </row>
    <row r="1840" spans="1:15" x14ac:dyDescent="0.25">
      <c r="A1840" s="4" t="s">
        <v>15</v>
      </c>
      <c r="B1840" s="4" t="str">
        <f>"FES1162751635"</f>
        <v>FES1162751635</v>
      </c>
      <c r="C1840" s="4" t="s">
        <v>1668</v>
      </c>
      <c r="D1840" s="4">
        <v>1</v>
      </c>
      <c r="E1840" s="4" t="str">
        <f>"2170741097"</f>
        <v>2170741097</v>
      </c>
      <c r="F1840" s="4" t="s">
        <v>17</v>
      </c>
      <c r="G1840" s="4" t="s">
        <v>18</v>
      </c>
      <c r="H1840" s="4" t="s">
        <v>48</v>
      </c>
      <c r="I1840" s="4" t="s">
        <v>73</v>
      </c>
      <c r="J1840" s="4" t="s">
        <v>160</v>
      </c>
      <c r="K1840" s="4" t="s">
        <v>43</v>
      </c>
      <c r="L1840" s="4"/>
      <c r="M1840" s="4" t="s">
        <v>44</v>
      </c>
      <c r="N1840" s="4" t="s">
        <v>1762</v>
      </c>
      <c r="O1840" s="4" t="s">
        <v>24</v>
      </c>
    </row>
    <row r="1841" spans="1:15" x14ac:dyDescent="0.25">
      <c r="A1841" s="4" t="s">
        <v>15</v>
      </c>
      <c r="B1841" s="4" t="str">
        <f>"FES1162751580"</f>
        <v>FES1162751580</v>
      </c>
      <c r="C1841" s="4" t="s">
        <v>1668</v>
      </c>
      <c r="D1841" s="4">
        <v>1</v>
      </c>
      <c r="E1841" s="4" t="str">
        <f>"2170740244"</f>
        <v>2170740244</v>
      </c>
      <c r="F1841" s="4" t="s">
        <v>17</v>
      </c>
      <c r="G1841" s="4" t="s">
        <v>18</v>
      </c>
      <c r="H1841" s="4" t="s">
        <v>25</v>
      </c>
      <c r="I1841" s="4" t="s">
        <v>281</v>
      </c>
      <c r="J1841" s="4" t="s">
        <v>624</v>
      </c>
      <c r="K1841" s="4" t="s">
        <v>43</v>
      </c>
      <c r="L1841" s="4"/>
      <c r="M1841" s="4" t="s">
        <v>44</v>
      </c>
      <c r="N1841" s="4" t="s">
        <v>1762</v>
      </c>
      <c r="O1841" s="4" t="s">
        <v>24</v>
      </c>
    </row>
    <row r="1842" spans="1:15" x14ac:dyDescent="0.25">
      <c r="A1842" s="4" t="s">
        <v>15</v>
      </c>
      <c r="B1842" s="4" t="str">
        <f>"FES1162751414"</f>
        <v>FES1162751414</v>
      </c>
      <c r="C1842" s="4" t="s">
        <v>1668</v>
      </c>
      <c r="D1842" s="4">
        <v>1</v>
      </c>
      <c r="E1842" s="4" t="str">
        <f>"2170740213"</f>
        <v>2170740213</v>
      </c>
      <c r="F1842" s="4" t="s">
        <v>17</v>
      </c>
      <c r="G1842" s="4" t="s">
        <v>18</v>
      </c>
      <c r="H1842" s="4" t="s">
        <v>25</v>
      </c>
      <c r="I1842" s="4" t="s">
        <v>26</v>
      </c>
      <c r="J1842" s="4" t="s">
        <v>770</v>
      </c>
      <c r="K1842" s="4" t="s">
        <v>43</v>
      </c>
      <c r="L1842" s="4"/>
      <c r="M1842" s="4" t="s">
        <v>44</v>
      </c>
      <c r="N1842" s="4" t="s">
        <v>1762</v>
      </c>
      <c r="O1842" s="4" t="s">
        <v>24</v>
      </c>
    </row>
    <row r="1843" spans="1:15" x14ac:dyDescent="0.25">
      <c r="A1843" s="4" t="s">
        <v>15</v>
      </c>
      <c r="B1843" s="4" t="str">
        <f>"FES1162751535"</f>
        <v>FES1162751535</v>
      </c>
      <c r="C1843" s="4" t="s">
        <v>1668</v>
      </c>
      <c r="D1843" s="4">
        <v>2</v>
      </c>
      <c r="E1843" s="4" t="str">
        <f>"2170739863"</f>
        <v>2170739863</v>
      </c>
      <c r="F1843" s="4" t="s">
        <v>17</v>
      </c>
      <c r="G1843" s="4" t="s">
        <v>18</v>
      </c>
      <c r="H1843" s="4" t="s">
        <v>25</v>
      </c>
      <c r="I1843" s="4" t="s">
        <v>26</v>
      </c>
      <c r="J1843" s="4" t="s">
        <v>279</v>
      </c>
      <c r="K1843" s="4" t="s">
        <v>43</v>
      </c>
      <c r="L1843" s="4"/>
      <c r="M1843" s="4" t="s">
        <v>44</v>
      </c>
      <c r="N1843" s="4" t="s">
        <v>1762</v>
      </c>
      <c r="O1843" s="4" t="s">
        <v>24</v>
      </c>
    </row>
    <row r="1844" spans="1:15" x14ac:dyDescent="0.25">
      <c r="A1844" s="4" t="s">
        <v>15</v>
      </c>
      <c r="B1844" s="4" t="str">
        <f>"FES1162751612"</f>
        <v>FES1162751612</v>
      </c>
      <c r="C1844" s="4" t="s">
        <v>1668</v>
      </c>
      <c r="D1844" s="4">
        <v>1</v>
      </c>
      <c r="E1844" s="4" t="str">
        <f>"2170740507"</f>
        <v>2170740507</v>
      </c>
      <c r="F1844" s="4" t="s">
        <v>17</v>
      </c>
      <c r="G1844" s="4" t="s">
        <v>18</v>
      </c>
      <c r="H1844" s="4" t="s">
        <v>48</v>
      </c>
      <c r="I1844" s="4" t="s">
        <v>49</v>
      </c>
      <c r="J1844" s="4" t="s">
        <v>322</v>
      </c>
      <c r="K1844" s="4" t="s">
        <v>1729</v>
      </c>
      <c r="L1844" s="5">
        <v>0.31180555555555556</v>
      </c>
      <c r="M1844" s="4" t="s">
        <v>583</v>
      </c>
      <c r="N1844" s="6" t="s">
        <v>23</v>
      </c>
      <c r="O1844" s="4" t="s">
        <v>24</v>
      </c>
    </row>
    <row r="1845" spans="1:15" x14ac:dyDescent="0.25">
      <c r="A1845" s="4" t="s">
        <v>15</v>
      </c>
      <c r="B1845" s="4" t="str">
        <f>"FES1162751591"</f>
        <v>FES1162751591</v>
      </c>
      <c r="C1845" s="4" t="s">
        <v>1668</v>
      </c>
      <c r="D1845" s="4">
        <v>1</v>
      </c>
      <c r="E1845" s="4" t="str">
        <f>"2170740359"</f>
        <v>2170740359</v>
      </c>
      <c r="F1845" s="4" t="s">
        <v>17</v>
      </c>
      <c r="G1845" s="4" t="s">
        <v>18</v>
      </c>
      <c r="H1845" s="4" t="s">
        <v>18</v>
      </c>
      <c r="I1845" s="4" t="s">
        <v>292</v>
      </c>
      <c r="J1845" s="4" t="s">
        <v>293</v>
      </c>
      <c r="K1845" s="4" t="s">
        <v>43</v>
      </c>
      <c r="L1845" s="4"/>
      <c r="M1845" s="4" t="s">
        <v>44</v>
      </c>
      <c r="N1845" s="4" t="s">
        <v>1762</v>
      </c>
      <c r="O1845" s="4" t="s">
        <v>24</v>
      </c>
    </row>
    <row r="1846" spans="1:15" x14ac:dyDescent="0.25">
      <c r="A1846" s="4" t="s">
        <v>15</v>
      </c>
      <c r="B1846" s="4" t="str">
        <f>"FES1162751402"</f>
        <v>FES1162751402</v>
      </c>
      <c r="C1846" s="4" t="s">
        <v>1668</v>
      </c>
      <c r="D1846" s="4">
        <v>1</v>
      </c>
      <c r="E1846" s="4" t="str">
        <f>"2170741553"</f>
        <v>2170741553</v>
      </c>
      <c r="F1846" s="4" t="s">
        <v>17</v>
      </c>
      <c r="G1846" s="4" t="s">
        <v>18</v>
      </c>
      <c r="H1846" s="4" t="s">
        <v>48</v>
      </c>
      <c r="I1846" s="4" t="s">
        <v>108</v>
      </c>
      <c r="J1846" s="4" t="s">
        <v>109</v>
      </c>
      <c r="K1846" s="4" t="s">
        <v>43</v>
      </c>
      <c r="L1846" s="4"/>
      <c r="M1846" s="4" t="s">
        <v>44</v>
      </c>
      <c r="N1846" s="4" t="s">
        <v>1762</v>
      </c>
      <c r="O1846" s="4" t="s">
        <v>24</v>
      </c>
    </row>
    <row r="1847" spans="1:15" x14ac:dyDescent="0.25">
      <c r="A1847" s="4" t="s">
        <v>15</v>
      </c>
      <c r="B1847" s="4" t="str">
        <f>"FES1162751403"</f>
        <v>FES1162751403</v>
      </c>
      <c r="C1847" s="4" t="s">
        <v>1668</v>
      </c>
      <c r="D1847" s="4">
        <v>1</v>
      </c>
      <c r="E1847" s="4" t="str">
        <f>"2170741557"</f>
        <v>2170741557</v>
      </c>
      <c r="F1847" s="4" t="s">
        <v>17</v>
      </c>
      <c r="G1847" s="4" t="s">
        <v>18</v>
      </c>
      <c r="H1847" s="4" t="s">
        <v>48</v>
      </c>
      <c r="I1847" s="4" t="s">
        <v>110</v>
      </c>
      <c r="J1847" s="4" t="s">
        <v>111</v>
      </c>
      <c r="K1847" s="4" t="s">
        <v>43</v>
      </c>
      <c r="L1847" s="4"/>
      <c r="M1847" s="4" t="s">
        <v>44</v>
      </c>
      <c r="N1847" s="4" t="s">
        <v>1762</v>
      </c>
      <c r="O1847" s="4" t="s">
        <v>24</v>
      </c>
    </row>
    <row r="1848" spans="1:15" x14ac:dyDescent="0.25">
      <c r="A1848" s="4" t="s">
        <v>15</v>
      </c>
      <c r="B1848" s="4" t="str">
        <f>"FES1162751644"</f>
        <v>FES1162751644</v>
      </c>
      <c r="C1848" s="4" t="s">
        <v>1668</v>
      </c>
      <c r="D1848" s="4">
        <v>1</v>
      </c>
      <c r="E1848" s="4" t="str">
        <f>"2170741557"</f>
        <v>2170741557</v>
      </c>
      <c r="F1848" s="4" t="s">
        <v>17</v>
      </c>
      <c r="G1848" s="4" t="s">
        <v>18</v>
      </c>
      <c r="H1848" s="4" t="s">
        <v>48</v>
      </c>
      <c r="I1848" s="4" t="s">
        <v>110</v>
      </c>
      <c r="J1848" s="4" t="s">
        <v>111</v>
      </c>
      <c r="K1848" s="4" t="s">
        <v>43</v>
      </c>
      <c r="L1848" s="4"/>
      <c r="M1848" s="4" t="s">
        <v>44</v>
      </c>
      <c r="N1848" s="4" t="s">
        <v>1762</v>
      </c>
      <c r="O1848" s="4" t="s">
        <v>24</v>
      </c>
    </row>
    <row r="1849" spans="1:15" x14ac:dyDescent="0.25">
      <c r="A1849" s="4" t="s">
        <v>15</v>
      </c>
      <c r="B1849" s="4" t="str">
        <f>"FES1162751398"</f>
        <v>FES1162751398</v>
      </c>
      <c r="C1849" s="4" t="s">
        <v>1668</v>
      </c>
      <c r="D1849" s="4">
        <v>1</v>
      </c>
      <c r="E1849" s="4" t="str">
        <f>"2170741259"</f>
        <v>2170741259</v>
      </c>
      <c r="F1849" s="4" t="s">
        <v>17</v>
      </c>
      <c r="G1849" s="4" t="s">
        <v>18</v>
      </c>
      <c r="H1849" s="4" t="s">
        <v>18</v>
      </c>
      <c r="I1849" s="4" t="s">
        <v>309</v>
      </c>
      <c r="J1849" s="4" t="s">
        <v>380</v>
      </c>
      <c r="K1849" s="4" t="s">
        <v>43</v>
      </c>
      <c r="L1849" s="4"/>
      <c r="M1849" s="4" t="s">
        <v>44</v>
      </c>
      <c r="N1849" s="4" t="s">
        <v>1762</v>
      </c>
      <c r="O1849" s="4" t="s">
        <v>24</v>
      </c>
    </row>
    <row r="1850" spans="1:15" x14ac:dyDescent="0.25">
      <c r="A1850" s="4" t="s">
        <v>15</v>
      </c>
      <c r="B1850" s="4" t="str">
        <f>"FES1162751620"</f>
        <v>FES1162751620</v>
      </c>
      <c r="C1850" s="4" t="s">
        <v>1668</v>
      </c>
      <c r="D1850" s="4">
        <v>1</v>
      </c>
      <c r="E1850" s="4" t="str">
        <f>"2170740553"</f>
        <v>2170740553</v>
      </c>
      <c r="F1850" s="4" t="s">
        <v>17</v>
      </c>
      <c r="G1850" s="4" t="s">
        <v>18</v>
      </c>
      <c r="H1850" s="4" t="s">
        <v>52</v>
      </c>
      <c r="I1850" s="4" t="s">
        <v>53</v>
      </c>
      <c r="J1850" s="4" t="s">
        <v>1739</v>
      </c>
      <c r="K1850" s="4" t="s">
        <v>43</v>
      </c>
      <c r="L1850" s="4"/>
      <c r="M1850" s="4" t="s">
        <v>44</v>
      </c>
      <c r="N1850" s="4" t="s">
        <v>1762</v>
      </c>
      <c r="O1850" s="4" t="s">
        <v>24</v>
      </c>
    </row>
    <row r="1851" spans="1:15" x14ac:dyDescent="0.25">
      <c r="A1851" s="4" t="s">
        <v>15</v>
      </c>
      <c r="B1851" s="4" t="str">
        <f>"FES1162751636"</f>
        <v>FES1162751636</v>
      </c>
      <c r="C1851" s="4" t="s">
        <v>1668</v>
      </c>
      <c r="D1851" s="4">
        <v>1</v>
      </c>
      <c r="E1851" s="4" t="str">
        <f>"2170741206"</f>
        <v>2170741206</v>
      </c>
      <c r="F1851" s="4" t="s">
        <v>17</v>
      </c>
      <c r="G1851" s="4" t="s">
        <v>18</v>
      </c>
      <c r="H1851" s="4" t="s">
        <v>25</v>
      </c>
      <c r="I1851" s="4" t="s">
        <v>26</v>
      </c>
      <c r="J1851" s="4" t="s">
        <v>279</v>
      </c>
      <c r="K1851" s="4" t="s">
        <v>43</v>
      </c>
      <c r="L1851" s="4"/>
      <c r="M1851" s="4" t="s">
        <v>44</v>
      </c>
      <c r="N1851" s="4" t="s">
        <v>1762</v>
      </c>
      <c r="O1851" s="4" t="s">
        <v>24</v>
      </c>
    </row>
    <row r="1852" spans="1:15" x14ac:dyDescent="0.25">
      <c r="A1852" s="4" t="s">
        <v>15</v>
      </c>
      <c r="B1852" s="4" t="str">
        <f>"FES1162751400"</f>
        <v>FES1162751400</v>
      </c>
      <c r="C1852" s="4" t="s">
        <v>1668</v>
      </c>
      <c r="D1852" s="4">
        <v>1</v>
      </c>
      <c r="E1852" s="4" t="str">
        <f>"2170741379"</f>
        <v>2170741379</v>
      </c>
      <c r="F1852" s="4" t="s">
        <v>17</v>
      </c>
      <c r="G1852" s="4" t="s">
        <v>18</v>
      </c>
      <c r="H1852" s="4" t="s">
        <v>18</v>
      </c>
      <c r="I1852" s="4" t="s">
        <v>29</v>
      </c>
      <c r="J1852" s="4" t="s">
        <v>136</v>
      </c>
      <c r="K1852" s="4" t="s">
        <v>43</v>
      </c>
      <c r="L1852" s="4"/>
      <c r="M1852" s="4" t="s">
        <v>44</v>
      </c>
      <c r="N1852" s="4" t="s">
        <v>1762</v>
      </c>
      <c r="O1852" s="4" t="s">
        <v>24</v>
      </c>
    </row>
    <row r="1853" spans="1:15" x14ac:dyDescent="0.25">
      <c r="A1853" s="4" t="s">
        <v>15</v>
      </c>
      <c r="B1853" s="4" t="str">
        <f>"FES1162751619"</f>
        <v>FES1162751619</v>
      </c>
      <c r="C1853" s="4" t="s">
        <v>1668</v>
      </c>
      <c r="D1853" s="4">
        <v>1</v>
      </c>
      <c r="E1853" s="4" t="str">
        <f>"2170740546"</f>
        <v>2170740546</v>
      </c>
      <c r="F1853" s="4" t="s">
        <v>17</v>
      </c>
      <c r="G1853" s="4" t="s">
        <v>18</v>
      </c>
      <c r="H1853" s="4" t="s">
        <v>25</v>
      </c>
      <c r="I1853" s="4" t="s">
        <v>92</v>
      </c>
      <c r="J1853" s="4" t="s">
        <v>93</v>
      </c>
      <c r="K1853" s="4" t="s">
        <v>1729</v>
      </c>
      <c r="L1853" s="5">
        <v>0.36388888888888887</v>
      </c>
      <c r="M1853" s="4" t="s">
        <v>793</v>
      </c>
      <c r="N1853" s="6" t="s">
        <v>23</v>
      </c>
      <c r="O1853" s="4" t="s">
        <v>24</v>
      </c>
    </row>
    <row r="1854" spans="1:15" x14ac:dyDescent="0.25">
      <c r="A1854" s="4" t="s">
        <v>15</v>
      </c>
      <c r="B1854" s="4" t="str">
        <f>"FES1162751473"</f>
        <v>FES1162751473</v>
      </c>
      <c r="C1854" s="4" t="s">
        <v>1668</v>
      </c>
      <c r="D1854" s="4">
        <v>1</v>
      </c>
      <c r="E1854" s="4" t="str">
        <f>"2170741579"</f>
        <v>2170741579</v>
      </c>
      <c r="F1854" s="4" t="s">
        <v>17</v>
      </c>
      <c r="G1854" s="4" t="s">
        <v>18</v>
      </c>
      <c r="H1854" s="4" t="s">
        <v>48</v>
      </c>
      <c r="I1854" s="4" t="s">
        <v>73</v>
      </c>
      <c r="J1854" s="4" t="s">
        <v>104</v>
      </c>
      <c r="K1854" s="4" t="s">
        <v>43</v>
      </c>
      <c r="L1854" s="4"/>
      <c r="M1854" s="4" t="s">
        <v>44</v>
      </c>
      <c r="N1854" s="4" t="s">
        <v>1762</v>
      </c>
      <c r="O1854" s="4" t="s">
        <v>24</v>
      </c>
    </row>
    <row r="1855" spans="1:15" x14ac:dyDescent="0.25">
      <c r="A1855" s="4" t="s">
        <v>15</v>
      </c>
      <c r="B1855" s="4" t="str">
        <f>"FES1162751467"</f>
        <v>FES1162751467</v>
      </c>
      <c r="C1855" s="4" t="s">
        <v>1668</v>
      </c>
      <c r="D1855" s="4">
        <v>1</v>
      </c>
      <c r="E1855" s="4" t="str">
        <f>"2170740822"</f>
        <v>2170740822</v>
      </c>
      <c r="F1855" s="4" t="s">
        <v>17</v>
      </c>
      <c r="G1855" s="4" t="s">
        <v>18</v>
      </c>
      <c r="H1855" s="4" t="s">
        <v>25</v>
      </c>
      <c r="I1855" s="4" t="s">
        <v>26</v>
      </c>
      <c r="J1855" s="4" t="s">
        <v>286</v>
      </c>
      <c r="K1855" s="4" t="s">
        <v>43</v>
      </c>
      <c r="L1855" s="4"/>
      <c r="M1855" s="4" t="s">
        <v>44</v>
      </c>
      <c r="N1855" s="4" t="s">
        <v>1762</v>
      </c>
      <c r="O1855" s="4" t="s">
        <v>24</v>
      </c>
    </row>
    <row r="1856" spans="1:15" x14ac:dyDescent="0.25">
      <c r="A1856" s="4" t="s">
        <v>15</v>
      </c>
      <c r="B1856" s="4" t="str">
        <f>"FES1162751611"</f>
        <v>FES1162751611</v>
      </c>
      <c r="C1856" s="4" t="s">
        <v>1668</v>
      </c>
      <c r="D1856" s="4">
        <v>1</v>
      </c>
      <c r="E1856" s="4" t="str">
        <f>"2170740503"</f>
        <v>2170740503</v>
      </c>
      <c r="F1856" s="4" t="s">
        <v>17</v>
      </c>
      <c r="G1856" s="4" t="s">
        <v>18</v>
      </c>
      <c r="H1856" s="4" t="s">
        <v>48</v>
      </c>
      <c r="I1856" s="4" t="s">
        <v>49</v>
      </c>
      <c r="J1856" s="4" t="s">
        <v>1068</v>
      </c>
      <c r="K1856" s="4" t="s">
        <v>43</v>
      </c>
      <c r="L1856" s="4"/>
      <c r="M1856" s="4" t="s">
        <v>44</v>
      </c>
      <c r="N1856" s="4" t="s">
        <v>1762</v>
      </c>
      <c r="O1856" s="4" t="s">
        <v>24</v>
      </c>
    </row>
    <row r="1857" spans="1:15" x14ac:dyDescent="0.25">
      <c r="A1857" s="4" t="s">
        <v>15</v>
      </c>
      <c r="B1857" s="4" t="str">
        <f>"FES1162751574"</f>
        <v>FES1162751574</v>
      </c>
      <c r="C1857" s="4" t="s">
        <v>1668</v>
      </c>
      <c r="D1857" s="4">
        <v>1</v>
      </c>
      <c r="E1857" s="4" t="str">
        <f>"2170740211"</f>
        <v>2170740211</v>
      </c>
      <c r="F1857" s="4" t="s">
        <v>17</v>
      </c>
      <c r="G1857" s="4" t="s">
        <v>18</v>
      </c>
      <c r="H1857" s="4" t="s">
        <v>52</v>
      </c>
      <c r="I1857" s="4" t="s">
        <v>53</v>
      </c>
      <c r="J1857" s="4" t="s">
        <v>280</v>
      </c>
      <c r="K1857" s="4" t="s">
        <v>43</v>
      </c>
      <c r="L1857" s="4"/>
      <c r="M1857" s="4" t="s">
        <v>44</v>
      </c>
      <c r="N1857" s="4" t="s">
        <v>1762</v>
      </c>
      <c r="O1857" s="4" t="s">
        <v>24</v>
      </c>
    </row>
    <row r="1858" spans="1:15" x14ac:dyDescent="0.25">
      <c r="A1858" s="4" t="s">
        <v>15</v>
      </c>
      <c r="B1858" s="4" t="str">
        <f>"FES1162751427"</f>
        <v>FES1162751427</v>
      </c>
      <c r="C1858" s="4" t="s">
        <v>1668</v>
      </c>
      <c r="D1858" s="4">
        <v>1</v>
      </c>
      <c r="E1858" s="4" t="str">
        <f>"2170741282"</f>
        <v>2170741282</v>
      </c>
      <c r="F1858" s="4" t="s">
        <v>17</v>
      </c>
      <c r="G1858" s="4" t="s">
        <v>18</v>
      </c>
      <c r="H1858" s="4" t="s">
        <v>52</v>
      </c>
      <c r="I1858" s="4" t="s">
        <v>53</v>
      </c>
      <c r="J1858" s="4" t="s">
        <v>280</v>
      </c>
      <c r="K1858" s="4" t="s">
        <v>43</v>
      </c>
      <c r="L1858" s="4"/>
      <c r="M1858" s="4" t="s">
        <v>44</v>
      </c>
      <c r="N1858" s="4" t="s">
        <v>1762</v>
      </c>
      <c r="O1858" s="4" t="s">
        <v>24</v>
      </c>
    </row>
    <row r="1859" spans="1:15" x14ac:dyDescent="0.25">
      <c r="A1859" s="4" t="s">
        <v>15</v>
      </c>
      <c r="B1859" s="4" t="str">
        <f>"FES1162751573"</f>
        <v>FES1162751573</v>
      </c>
      <c r="C1859" s="4" t="s">
        <v>1668</v>
      </c>
      <c r="D1859" s="4">
        <v>1</v>
      </c>
      <c r="E1859" s="4" t="str">
        <f>"2170740209"</f>
        <v>2170740209</v>
      </c>
      <c r="F1859" s="4" t="s">
        <v>17</v>
      </c>
      <c r="G1859" s="4" t="s">
        <v>18</v>
      </c>
      <c r="H1859" s="4" t="s">
        <v>25</v>
      </c>
      <c r="I1859" s="4" t="s">
        <v>26</v>
      </c>
      <c r="J1859" s="4" t="s">
        <v>283</v>
      </c>
      <c r="K1859" s="4" t="s">
        <v>43</v>
      </c>
      <c r="L1859" s="4"/>
      <c r="M1859" s="4" t="s">
        <v>44</v>
      </c>
      <c r="N1859" s="4" t="s">
        <v>1762</v>
      </c>
      <c r="O1859" s="4" t="s">
        <v>24</v>
      </c>
    </row>
    <row r="1860" spans="1:15" x14ac:dyDescent="0.25">
      <c r="A1860" s="4" t="s">
        <v>15</v>
      </c>
      <c r="B1860" s="4" t="str">
        <f>"FES1162751489"</f>
        <v>FES1162751489</v>
      </c>
      <c r="C1860" s="4" t="s">
        <v>1668</v>
      </c>
      <c r="D1860" s="4">
        <v>1</v>
      </c>
      <c r="E1860" s="4" t="str">
        <f>"2170741209"</f>
        <v>2170741209</v>
      </c>
      <c r="F1860" s="4" t="s">
        <v>17</v>
      </c>
      <c r="G1860" s="4" t="s">
        <v>18</v>
      </c>
      <c r="H1860" s="4" t="s">
        <v>25</v>
      </c>
      <c r="I1860" s="4" t="s">
        <v>92</v>
      </c>
      <c r="J1860" s="4" t="s">
        <v>344</v>
      </c>
      <c r="K1860" s="4" t="s">
        <v>43</v>
      </c>
      <c r="L1860" s="4"/>
      <c r="M1860" s="4" t="s">
        <v>44</v>
      </c>
      <c r="N1860" s="4" t="s">
        <v>1762</v>
      </c>
      <c r="O1860" s="4" t="s">
        <v>24</v>
      </c>
    </row>
    <row r="1861" spans="1:15" x14ac:dyDescent="0.25">
      <c r="A1861" s="4" t="s">
        <v>15</v>
      </c>
      <c r="B1861" s="4" t="str">
        <f>"FES1162751606"</f>
        <v>FES1162751606</v>
      </c>
      <c r="C1861" s="4" t="s">
        <v>1668</v>
      </c>
      <c r="D1861" s="4">
        <v>1</v>
      </c>
      <c r="E1861" s="4" t="str">
        <f>"2170740473"</f>
        <v>2170740473</v>
      </c>
      <c r="F1861" s="4" t="s">
        <v>17</v>
      </c>
      <c r="G1861" s="4" t="s">
        <v>18</v>
      </c>
      <c r="H1861" s="4" t="s">
        <v>25</v>
      </c>
      <c r="I1861" s="4" t="s">
        <v>26</v>
      </c>
      <c r="J1861" s="4" t="s">
        <v>1038</v>
      </c>
      <c r="K1861" s="4" t="s">
        <v>1729</v>
      </c>
      <c r="L1861" s="5">
        <v>0.36180555555555555</v>
      </c>
      <c r="M1861" s="4" t="s">
        <v>1740</v>
      </c>
      <c r="N1861" s="6" t="s">
        <v>23</v>
      </c>
      <c r="O1861" s="4" t="s">
        <v>24</v>
      </c>
    </row>
    <row r="1862" spans="1:15" x14ac:dyDescent="0.25">
      <c r="A1862" s="4" t="s">
        <v>15</v>
      </c>
      <c r="B1862" s="4" t="str">
        <f>"FES116275"</f>
        <v>FES116275</v>
      </c>
      <c r="C1862" s="4" t="s">
        <v>1668</v>
      </c>
      <c r="D1862" s="4">
        <v>1</v>
      </c>
      <c r="E1862" s="4" t="str">
        <f>"2170741570"</f>
        <v>2170741570</v>
      </c>
      <c r="F1862" s="4" t="s">
        <v>17</v>
      </c>
      <c r="G1862" s="4" t="s">
        <v>18</v>
      </c>
      <c r="H1862" s="4" t="s">
        <v>48</v>
      </c>
      <c r="I1862" s="4" t="s">
        <v>73</v>
      </c>
      <c r="J1862" s="4" t="s">
        <v>104</v>
      </c>
      <c r="K1862" s="4" t="s">
        <v>43</v>
      </c>
      <c r="L1862" s="4"/>
      <c r="M1862" s="4" t="s">
        <v>44</v>
      </c>
      <c r="N1862" s="4" t="s">
        <v>1762</v>
      </c>
      <c r="O1862" s="4" t="s">
        <v>24</v>
      </c>
    </row>
    <row r="1863" spans="1:15" x14ac:dyDescent="0.25">
      <c r="A1863" s="4" t="s">
        <v>15</v>
      </c>
      <c r="B1863" s="4" t="str">
        <f>"FES1162751656"</f>
        <v>FES1162751656</v>
      </c>
      <c r="C1863" s="4" t="s">
        <v>1668</v>
      </c>
      <c r="D1863" s="4">
        <v>1</v>
      </c>
      <c r="E1863" s="4" t="str">
        <f>"2170741651"</f>
        <v>2170741651</v>
      </c>
      <c r="F1863" s="4" t="s">
        <v>17</v>
      </c>
      <c r="G1863" s="4" t="s">
        <v>18</v>
      </c>
      <c r="H1863" s="4" t="s">
        <v>25</v>
      </c>
      <c r="I1863" s="4" t="s">
        <v>26</v>
      </c>
      <c r="J1863" s="4" t="s">
        <v>202</v>
      </c>
      <c r="K1863" s="4" t="s">
        <v>43</v>
      </c>
      <c r="L1863" s="4"/>
      <c r="M1863" s="4" t="s">
        <v>44</v>
      </c>
      <c r="N1863" s="4" t="s">
        <v>1762</v>
      </c>
      <c r="O1863" s="4" t="s">
        <v>24</v>
      </c>
    </row>
    <row r="1864" spans="1:15" x14ac:dyDescent="0.25">
      <c r="A1864" s="4" t="s">
        <v>15</v>
      </c>
      <c r="B1864" s="4" t="str">
        <f>"FES1162751551"</f>
        <v>FES1162751551</v>
      </c>
      <c r="C1864" s="4" t="s">
        <v>1668</v>
      </c>
      <c r="D1864" s="4">
        <v>1</v>
      </c>
      <c r="E1864" s="4" t="str">
        <f>"2170740109"</f>
        <v>2170740109</v>
      </c>
      <c r="F1864" s="4" t="s">
        <v>17</v>
      </c>
      <c r="G1864" s="4" t="s">
        <v>18</v>
      </c>
      <c r="H1864" s="4" t="s">
        <v>52</v>
      </c>
      <c r="I1864" s="4" t="s">
        <v>53</v>
      </c>
      <c r="J1864" s="4" t="s">
        <v>1070</v>
      </c>
      <c r="K1864" s="4" t="s">
        <v>43</v>
      </c>
      <c r="L1864" s="4"/>
      <c r="M1864" s="4" t="s">
        <v>44</v>
      </c>
      <c r="N1864" s="4" t="s">
        <v>1762</v>
      </c>
      <c r="O1864" s="4" t="s">
        <v>24</v>
      </c>
    </row>
    <row r="1865" spans="1:15" x14ac:dyDescent="0.25">
      <c r="A1865" s="4" t="s">
        <v>15</v>
      </c>
      <c r="B1865" s="4" t="str">
        <f>"FES1162751548"</f>
        <v>FES1162751548</v>
      </c>
      <c r="C1865" s="4" t="s">
        <v>1668</v>
      </c>
      <c r="D1865" s="4">
        <v>1</v>
      </c>
      <c r="E1865" s="4" t="str">
        <f>"2170740101"</f>
        <v>2170740101</v>
      </c>
      <c r="F1865" s="4" t="s">
        <v>17</v>
      </c>
      <c r="G1865" s="4" t="s">
        <v>18</v>
      </c>
      <c r="H1865" s="4" t="s">
        <v>25</v>
      </c>
      <c r="I1865" s="4" t="s">
        <v>394</v>
      </c>
      <c r="J1865" s="4" t="s">
        <v>395</v>
      </c>
      <c r="K1865" s="4" t="s">
        <v>43</v>
      </c>
      <c r="L1865" s="4"/>
      <c r="M1865" s="4" t="s">
        <v>44</v>
      </c>
      <c r="N1865" s="4" t="s">
        <v>1762</v>
      </c>
      <c r="O1865" s="4" t="s">
        <v>24</v>
      </c>
    </row>
    <row r="1866" spans="1:15" x14ac:dyDescent="0.25">
      <c r="A1866" s="4" t="s">
        <v>15</v>
      </c>
      <c r="B1866" s="4" t="str">
        <f>"FES1162751633"</f>
        <v>FES1162751633</v>
      </c>
      <c r="C1866" s="4" t="s">
        <v>1668</v>
      </c>
      <c r="D1866" s="4">
        <v>1</v>
      </c>
      <c r="E1866" s="4" t="str">
        <f>"2170740945"</f>
        <v>2170740945</v>
      </c>
      <c r="F1866" s="4" t="s">
        <v>17</v>
      </c>
      <c r="G1866" s="4" t="s">
        <v>18</v>
      </c>
      <c r="H1866" s="4" t="s">
        <v>85</v>
      </c>
      <c r="I1866" s="4" t="s">
        <v>86</v>
      </c>
      <c r="J1866" s="4" t="s">
        <v>87</v>
      </c>
      <c r="K1866" s="4" t="s">
        <v>43</v>
      </c>
      <c r="L1866" s="4"/>
      <c r="M1866" s="4" t="s">
        <v>44</v>
      </c>
      <c r="N1866" s="4" t="s">
        <v>1762</v>
      </c>
      <c r="O1866" s="4" t="s">
        <v>24</v>
      </c>
    </row>
    <row r="1867" spans="1:15" x14ac:dyDescent="0.25">
      <c r="A1867" s="4" t="s">
        <v>15</v>
      </c>
      <c r="B1867" s="4" t="str">
        <f>"FES1162751585"</f>
        <v>FES1162751585</v>
      </c>
      <c r="C1867" s="4" t="s">
        <v>1668</v>
      </c>
      <c r="D1867" s="4">
        <v>1</v>
      </c>
      <c r="E1867" s="4" t="str">
        <f>"2170740298"</f>
        <v>2170740298</v>
      </c>
      <c r="F1867" s="4" t="s">
        <v>17</v>
      </c>
      <c r="G1867" s="4" t="s">
        <v>18</v>
      </c>
      <c r="H1867" s="4" t="s">
        <v>40</v>
      </c>
      <c r="I1867" s="4" t="s">
        <v>41</v>
      </c>
      <c r="J1867" s="4" t="s">
        <v>42</v>
      </c>
      <c r="K1867" s="4" t="s">
        <v>43</v>
      </c>
      <c r="L1867" s="4"/>
      <c r="M1867" s="4" t="s">
        <v>44</v>
      </c>
      <c r="N1867" s="4" t="s">
        <v>1762</v>
      </c>
      <c r="O1867" s="4" t="s">
        <v>24</v>
      </c>
    </row>
    <row r="1868" spans="1:15" x14ac:dyDescent="0.25">
      <c r="A1868" s="4" t="s">
        <v>15</v>
      </c>
      <c r="B1868" s="4" t="str">
        <f>"FES1162751632"</f>
        <v>FES1162751632</v>
      </c>
      <c r="C1868" s="4" t="s">
        <v>1668</v>
      </c>
      <c r="D1868" s="4">
        <v>1</v>
      </c>
      <c r="E1868" s="4" t="str">
        <f>"2170740917"</f>
        <v>2170740917</v>
      </c>
      <c r="F1868" s="4" t="s">
        <v>17</v>
      </c>
      <c r="G1868" s="4" t="s">
        <v>18</v>
      </c>
      <c r="H1868" s="4" t="s">
        <v>40</v>
      </c>
      <c r="I1868" s="4" t="s">
        <v>41</v>
      </c>
      <c r="J1868" s="4" t="s">
        <v>42</v>
      </c>
      <c r="K1868" s="4" t="s">
        <v>43</v>
      </c>
      <c r="L1868" s="4"/>
      <c r="M1868" s="4" t="s">
        <v>44</v>
      </c>
      <c r="N1868" s="4" t="s">
        <v>1762</v>
      </c>
      <c r="O1868" s="4" t="s">
        <v>24</v>
      </c>
    </row>
    <row r="1869" spans="1:15" x14ac:dyDescent="0.25">
      <c r="A1869" s="4" t="s">
        <v>15</v>
      </c>
      <c r="B1869" s="4" t="str">
        <f>"FES1162751552"</f>
        <v>FES1162751552</v>
      </c>
      <c r="C1869" s="4" t="s">
        <v>1668</v>
      </c>
      <c r="D1869" s="4">
        <v>1</v>
      </c>
      <c r="E1869" s="4" t="str">
        <f>"2170740120"</f>
        <v>2170740120</v>
      </c>
      <c r="F1869" s="4" t="s">
        <v>17</v>
      </c>
      <c r="G1869" s="4" t="s">
        <v>18</v>
      </c>
      <c r="H1869" s="4" t="s">
        <v>40</v>
      </c>
      <c r="I1869" s="4" t="s">
        <v>41</v>
      </c>
      <c r="J1869" s="4" t="s">
        <v>359</v>
      </c>
      <c r="K1869" s="4" t="s">
        <v>43</v>
      </c>
      <c r="L1869" s="4"/>
      <c r="M1869" s="4" t="s">
        <v>44</v>
      </c>
      <c r="N1869" s="4" t="s">
        <v>1762</v>
      </c>
      <c r="O1869" s="4" t="s">
        <v>24</v>
      </c>
    </row>
    <row r="1870" spans="1:15" x14ac:dyDescent="0.25">
      <c r="A1870" s="4" t="s">
        <v>15</v>
      </c>
      <c r="B1870" s="4" t="str">
        <f>"FES1162751658"</f>
        <v>FES1162751658</v>
      </c>
      <c r="C1870" s="4" t="s">
        <v>1668</v>
      </c>
      <c r="D1870" s="4">
        <v>1</v>
      </c>
      <c r="E1870" s="4" t="str">
        <f>"2170741653"</f>
        <v>2170741653</v>
      </c>
      <c r="F1870" s="4" t="s">
        <v>17</v>
      </c>
      <c r="G1870" s="4" t="s">
        <v>18</v>
      </c>
      <c r="H1870" s="4" t="s">
        <v>18</v>
      </c>
      <c r="I1870" s="4" t="s">
        <v>19</v>
      </c>
      <c r="J1870" s="4" t="s">
        <v>20</v>
      </c>
      <c r="K1870" s="4" t="s">
        <v>43</v>
      </c>
      <c r="L1870" s="4"/>
      <c r="M1870" s="4" t="s">
        <v>44</v>
      </c>
      <c r="N1870" s="4" t="s">
        <v>1762</v>
      </c>
      <c r="O1870" s="4" t="s">
        <v>24</v>
      </c>
    </row>
    <row r="1871" spans="1:15" x14ac:dyDescent="0.25">
      <c r="A1871" s="4" t="s">
        <v>15</v>
      </c>
      <c r="B1871" s="4" t="str">
        <f>"FES1162751405"</f>
        <v>FES1162751405</v>
      </c>
      <c r="C1871" s="4" t="s">
        <v>1668</v>
      </c>
      <c r="D1871" s="4">
        <v>1</v>
      </c>
      <c r="E1871" s="4" t="str">
        <f>"2170739361"</f>
        <v>2170739361</v>
      </c>
      <c r="F1871" s="4" t="s">
        <v>17</v>
      </c>
      <c r="G1871" s="4" t="s">
        <v>18</v>
      </c>
      <c r="H1871" s="4" t="s">
        <v>32</v>
      </c>
      <c r="I1871" s="4" t="s">
        <v>33</v>
      </c>
      <c r="J1871" s="4" t="s">
        <v>315</v>
      </c>
      <c r="K1871" s="4" t="s">
        <v>43</v>
      </c>
      <c r="L1871" s="4"/>
      <c r="M1871" s="4" t="s">
        <v>44</v>
      </c>
      <c r="N1871" s="4" t="s">
        <v>1762</v>
      </c>
      <c r="O1871" s="4" t="s">
        <v>24</v>
      </c>
    </row>
    <row r="1872" spans="1:15" x14ac:dyDescent="0.25">
      <c r="A1872" s="4" t="s">
        <v>15</v>
      </c>
      <c r="B1872" s="4" t="str">
        <f>"FES1162751424"</f>
        <v>FES1162751424</v>
      </c>
      <c r="C1872" s="4" t="s">
        <v>1668</v>
      </c>
      <c r="D1872" s="4">
        <v>1</v>
      </c>
      <c r="E1872" s="4" t="str">
        <f>"2170741244"</f>
        <v>2170741244</v>
      </c>
      <c r="F1872" s="4" t="s">
        <v>17</v>
      </c>
      <c r="G1872" s="4" t="s">
        <v>18</v>
      </c>
      <c r="H1872" s="4" t="s">
        <v>18</v>
      </c>
      <c r="I1872" s="4" t="s">
        <v>29</v>
      </c>
      <c r="J1872" s="4" t="s">
        <v>30</v>
      </c>
      <c r="K1872" s="4" t="s">
        <v>43</v>
      </c>
      <c r="L1872" s="4"/>
      <c r="M1872" s="4" t="s">
        <v>44</v>
      </c>
      <c r="N1872" s="4" t="s">
        <v>1762</v>
      </c>
      <c r="O1872" s="4" t="s">
        <v>24</v>
      </c>
    </row>
    <row r="1873" spans="1:15" x14ac:dyDescent="0.25">
      <c r="A1873" s="4" t="s">
        <v>15</v>
      </c>
      <c r="B1873" s="4" t="str">
        <f>"FES1162751420"</f>
        <v>FES1162751420</v>
      </c>
      <c r="C1873" s="4" t="s">
        <v>1668</v>
      </c>
      <c r="D1873" s="4">
        <v>1</v>
      </c>
      <c r="E1873" s="4" t="str">
        <f>"2170740584"</f>
        <v>2170740584</v>
      </c>
      <c r="F1873" s="4" t="s">
        <v>17</v>
      </c>
      <c r="G1873" s="4" t="s">
        <v>18</v>
      </c>
      <c r="H1873" s="4" t="s">
        <v>32</v>
      </c>
      <c r="I1873" s="4" t="s">
        <v>106</v>
      </c>
      <c r="J1873" s="4" t="s">
        <v>107</v>
      </c>
      <c r="K1873" s="4" t="s">
        <v>43</v>
      </c>
      <c r="L1873" s="4"/>
      <c r="M1873" s="4" t="s">
        <v>44</v>
      </c>
      <c r="N1873" s="4" t="s">
        <v>1762</v>
      </c>
      <c r="O1873" s="4" t="s">
        <v>24</v>
      </c>
    </row>
    <row r="1874" spans="1:15" x14ac:dyDescent="0.25">
      <c r="A1874" s="4" t="s">
        <v>15</v>
      </c>
      <c r="B1874" s="4" t="str">
        <f>"FES1162751455"</f>
        <v>FES1162751455</v>
      </c>
      <c r="C1874" s="4" t="s">
        <v>1668</v>
      </c>
      <c r="D1874" s="4">
        <v>1</v>
      </c>
      <c r="E1874" s="4" t="str">
        <f>"21707493972"</f>
        <v>21707493972</v>
      </c>
      <c r="F1874" s="4" t="s">
        <v>17</v>
      </c>
      <c r="G1874" s="4" t="s">
        <v>18</v>
      </c>
      <c r="H1874" s="4" t="s">
        <v>32</v>
      </c>
      <c r="I1874" s="4" t="s">
        <v>33</v>
      </c>
      <c r="J1874" s="4" t="s">
        <v>885</v>
      </c>
      <c r="K1874" s="4" t="s">
        <v>43</v>
      </c>
      <c r="L1874" s="4"/>
      <c r="M1874" s="4" t="s">
        <v>44</v>
      </c>
      <c r="N1874" s="4" t="s">
        <v>1762</v>
      </c>
      <c r="O1874" s="4" t="s">
        <v>24</v>
      </c>
    </row>
    <row r="1875" spans="1:15" x14ac:dyDescent="0.25">
      <c r="A1875" s="4" t="s">
        <v>15</v>
      </c>
      <c r="B1875" s="4" t="str">
        <f>"FES1162751432"</f>
        <v>FES1162751432</v>
      </c>
      <c r="C1875" s="4" t="s">
        <v>1668</v>
      </c>
      <c r="D1875" s="4">
        <v>1</v>
      </c>
      <c r="E1875" s="4" t="str">
        <f>"2170741512"</f>
        <v>2170741512</v>
      </c>
      <c r="F1875" s="4" t="s">
        <v>17</v>
      </c>
      <c r="G1875" s="4" t="s">
        <v>18</v>
      </c>
      <c r="H1875" s="4" t="s">
        <v>18</v>
      </c>
      <c r="I1875" s="4" t="s">
        <v>29</v>
      </c>
      <c r="J1875" s="4" t="s">
        <v>1095</v>
      </c>
      <c r="K1875" s="4" t="s">
        <v>43</v>
      </c>
      <c r="L1875" s="4"/>
      <c r="M1875" s="4" t="s">
        <v>44</v>
      </c>
      <c r="N1875" s="4" t="s">
        <v>1762</v>
      </c>
      <c r="O1875" s="4" t="s">
        <v>24</v>
      </c>
    </row>
    <row r="1876" spans="1:15" x14ac:dyDescent="0.25">
      <c r="A1876" s="4" t="s">
        <v>15</v>
      </c>
      <c r="B1876" s="4" t="str">
        <f>"FES1162751544"</f>
        <v>FES1162751544</v>
      </c>
      <c r="C1876" s="4" t="s">
        <v>1668</v>
      </c>
      <c r="D1876" s="4">
        <v>1</v>
      </c>
      <c r="E1876" s="4" t="str">
        <f>"2170740076"</f>
        <v>2170740076</v>
      </c>
      <c r="F1876" s="4" t="s">
        <v>17</v>
      </c>
      <c r="G1876" s="4" t="s">
        <v>18</v>
      </c>
      <c r="H1876" s="4" t="s">
        <v>18</v>
      </c>
      <c r="I1876" s="4" t="s">
        <v>19</v>
      </c>
      <c r="J1876" s="4" t="s">
        <v>635</v>
      </c>
      <c r="K1876" s="4" t="s">
        <v>43</v>
      </c>
      <c r="L1876" s="4"/>
      <c r="M1876" s="4" t="s">
        <v>44</v>
      </c>
      <c r="N1876" s="4" t="s">
        <v>1762</v>
      </c>
      <c r="O1876" s="4" t="s">
        <v>24</v>
      </c>
    </row>
    <row r="1877" spans="1:15" x14ac:dyDescent="0.25">
      <c r="A1877" s="4" t="s">
        <v>15</v>
      </c>
      <c r="B1877" s="4" t="str">
        <f>"FES1162751454"</f>
        <v>FES1162751454</v>
      </c>
      <c r="C1877" s="4" t="s">
        <v>1668</v>
      </c>
      <c r="D1877" s="4">
        <v>1</v>
      </c>
      <c r="E1877" s="4" t="str">
        <f>"21707415912"</f>
        <v>21707415912</v>
      </c>
      <c r="F1877" s="4" t="s">
        <v>17</v>
      </c>
      <c r="G1877" s="4" t="s">
        <v>18</v>
      </c>
      <c r="H1877" s="4" t="s">
        <v>32</v>
      </c>
      <c r="I1877" s="4" t="s">
        <v>33</v>
      </c>
      <c r="J1877" s="4" t="s">
        <v>1061</v>
      </c>
      <c r="K1877" s="4" t="s">
        <v>43</v>
      </c>
      <c r="L1877" s="4"/>
      <c r="M1877" s="4" t="s">
        <v>44</v>
      </c>
      <c r="N1877" s="4" t="s">
        <v>1762</v>
      </c>
      <c r="O1877" s="4" t="s">
        <v>24</v>
      </c>
    </row>
    <row r="1878" spans="1:15" x14ac:dyDescent="0.25">
      <c r="A1878" s="4" t="s">
        <v>15</v>
      </c>
      <c r="B1878" s="4" t="str">
        <f>"FES1162751642"</f>
        <v>FES1162751642</v>
      </c>
      <c r="C1878" s="4" t="s">
        <v>1668</v>
      </c>
      <c r="D1878" s="4">
        <v>1</v>
      </c>
      <c r="E1878" s="4" t="str">
        <f>"2170741446"</f>
        <v>2170741446</v>
      </c>
      <c r="F1878" s="4" t="s">
        <v>17</v>
      </c>
      <c r="G1878" s="4" t="s">
        <v>18</v>
      </c>
      <c r="H1878" s="4" t="s">
        <v>40</v>
      </c>
      <c r="I1878" s="4" t="s">
        <v>41</v>
      </c>
      <c r="J1878" s="4" t="s">
        <v>221</v>
      </c>
      <c r="K1878" s="4" t="s">
        <v>43</v>
      </c>
      <c r="L1878" s="4"/>
      <c r="M1878" s="4" t="s">
        <v>44</v>
      </c>
      <c r="N1878" s="4" t="s">
        <v>1762</v>
      </c>
      <c r="O1878" s="4" t="s">
        <v>24</v>
      </c>
    </row>
    <row r="1879" spans="1:15" x14ac:dyDescent="0.25">
      <c r="A1879" s="4" t="s">
        <v>15</v>
      </c>
      <c r="B1879" s="4" t="str">
        <f>"FES1162751626"</f>
        <v>FES1162751626</v>
      </c>
      <c r="C1879" s="4" t="s">
        <v>1668</v>
      </c>
      <c r="D1879" s="4">
        <v>1</v>
      </c>
      <c r="E1879" s="4" t="str">
        <f>"2170740639"</f>
        <v>2170740639</v>
      </c>
      <c r="F1879" s="4" t="s">
        <v>17</v>
      </c>
      <c r="G1879" s="4" t="s">
        <v>18</v>
      </c>
      <c r="H1879" s="4" t="s">
        <v>178</v>
      </c>
      <c r="I1879" s="4" t="s">
        <v>179</v>
      </c>
      <c r="J1879" s="4" t="s">
        <v>107</v>
      </c>
      <c r="K1879" s="4" t="s">
        <v>43</v>
      </c>
      <c r="L1879" s="4"/>
      <c r="M1879" s="4" t="s">
        <v>44</v>
      </c>
      <c r="N1879" s="4" t="s">
        <v>1762</v>
      </c>
      <c r="O1879" s="4" t="s">
        <v>24</v>
      </c>
    </row>
    <row r="1880" spans="1:15" x14ac:dyDescent="0.25">
      <c r="A1880" s="4" t="s">
        <v>15</v>
      </c>
      <c r="B1880" s="4" t="str">
        <f>"FES1162751637"</f>
        <v>FES1162751637</v>
      </c>
      <c r="C1880" s="4" t="s">
        <v>1668</v>
      </c>
      <c r="D1880" s="4">
        <v>1</v>
      </c>
      <c r="E1880" s="4" t="str">
        <f>"2170741233"</f>
        <v>2170741233</v>
      </c>
      <c r="F1880" s="4" t="s">
        <v>17</v>
      </c>
      <c r="G1880" s="4" t="s">
        <v>18</v>
      </c>
      <c r="H1880" s="4" t="s">
        <v>85</v>
      </c>
      <c r="I1880" s="4" t="s">
        <v>207</v>
      </c>
      <c r="J1880" s="4" t="s">
        <v>616</v>
      </c>
      <c r="K1880" s="4" t="s">
        <v>43</v>
      </c>
      <c r="L1880" s="4"/>
      <c r="M1880" s="4" t="s">
        <v>44</v>
      </c>
      <c r="N1880" s="4" t="s">
        <v>1762</v>
      </c>
      <c r="O1880" s="4" t="s">
        <v>24</v>
      </c>
    </row>
    <row r="1881" spans="1:15" x14ac:dyDescent="0.25">
      <c r="A1881" s="4" t="s">
        <v>15</v>
      </c>
      <c r="B1881" s="4" t="str">
        <f>"FES1162751595"</f>
        <v>FES1162751595</v>
      </c>
      <c r="C1881" s="4" t="s">
        <v>1668</v>
      </c>
      <c r="D1881" s="4">
        <v>1</v>
      </c>
      <c r="E1881" s="4" t="str">
        <f>"2170740404"</f>
        <v>2170740404</v>
      </c>
      <c r="F1881" s="4" t="s">
        <v>17</v>
      </c>
      <c r="G1881" s="4" t="s">
        <v>18</v>
      </c>
      <c r="H1881" s="4" t="s">
        <v>85</v>
      </c>
      <c r="I1881" s="4" t="s">
        <v>207</v>
      </c>
      <c r="J1881" s="4" t="s">
        <v>855</v>
      </c>
      <c r="K1881" s="4" t="s">
        <v>43</v>
      </c>
      <c r="L1881" s="4"/>
      <c r="M1881" s="4" t="s">
        <v>44</v>
      </c>
      <c r="N1881" s="4" t="s">
        <v>1762</v>
      </c>
      <c r="O1881" s="4" t="s">
        <v>24</v>
      </c>
    </row>
    <row r="1882" spans="1:15" x14ac:dyDescent="0.25">
      <c r="A1882" s="4" t="s">
        <v>15</v>
      </c>
      <c r="B1882" s="4" t="str">
        <f>"FES1162751634"</f>
        <v>FES1162751634</v>
      </c>
      <c r="C1882" s="4" t="s">
        <v>1668</v>
      </c>
      <c r="D1882" s="4">
        <v>1</v>
      </c>
      <c r="E1882" s="4" t="str">
        <f>"2170741094"</f>
        <v>2170741094</v>
      </c>
      <c r="F1882" s="4" t="s">
        <v>17</v>
      </c>
      <c r="G1882" s="4" t="s">
        <v>18</v>
      </c>
      <c r="H1882" s="4" t="s">
        <v>40</v>
      </c>
      <c r="I1882" s="4" t="s">
        <v>41</v>
      </c>
      <c r="J1882" s="4" t="s">
        <v>221</v>
      </c>
      <c r="K1882" s="4" t="s">
        <v>43</v>
      </c>
      <c r="L1882" s="4"/>
      <c r="M1882" s="4" t="s">
        <v>44</v>
      </c>
      <c r="N1882" s="4" t="s">
        <v>1762</v>
      </c>
      <c r="O1882" s="4" t="s">
        <v>24</v>
      </c>
    </row>
    <row r="1883" spans="1:15" x14ac:dyDescent="0.25">
      <c r="A1883" s="4" t="s">
        <v>15</v>
      </c>
      <c r="B1883" s="4" t="str">
        <f>"FES1162751569"</f>
        <v>FES1162751569</v>
      </c>
      <c r="C1883" s="4" t="s">
        <v>1668</v>
      </c>
      <c r="D1883" s="4">
        <v>1</v>
      </c>
      <c r="E1883" s="4" t="str">
        <f>"2170740187"</f>
        <v>2170740187</v>
      </c>
      <c r="F1883" s="4" t="s">
        <v>17</v>
      </c>
      <c r="G1883" s="4" t="s">
        <v>18</v>
      </c>
      <c r="H1883" s="4" t="s">
        <v>85</v>
      </c>
      <c r="I1883" s="4" t="s">
        <v>144</v>
      </c>
      <c r="J1883" s="4" t="s">
        <v>1741</v>
      </c>
      <c r="K1883" s="4" t="s">
        <v>1729</v>
      </c>
      <c r="L1883" s="5">
        <v>0.31111111111111112</v>
      </c>
      <c r="M1883" s="4" t="s">
        <v>1742</v>
      </c>
      <c r="N1883" s="6" t="s">
        <v>23</v>
      </c>
      <c r="O1883" s="4" t="s">
        <v>24</v>
      </c>
    </row>
    <row r="1884" spans="1:15" x14ac:dyDescent="0.25">
      <c r="A1884" s="4" t="s">
        <v>15</v>
      </c>
      <c r="B1884" s="4" t="str">
        <f>"FES1162751509"</f>
        <v>FES1162751509</v>
      </c>
      <c r="C1884" s="4" t="s">
        <v>1668</v>
      </c>
      <c r="D1884" s="4">
        <v>1</v>
      </c>
      <c r="E1884" s="4" t="str">
        <f>"2170741629"</f>
        <v>2170741629</v>
      </c>
      <c r="F1884" s="4" t="s">
        <v>17</v>
      </c>
      <c r="G1884" s="4" t="s">
        <v>18</v>
      </c>
      <c r="H1884" s="4" t="s">
        <v>85</v>
      </c>
      <c r="I1884" s="4" t="s">
        <v>144</v>
      </c>
      <c r="J1884" s="4" t="s">
        <v>210</v>
      </c>
      <c r="K1884" s="4" t="s">
        <v>1729</v>
      </c>
      <c r="L1884" s="5">
        <v>0.36527777777777781</v>
      </c>
      <c r="M1884" s="4" t="s">
        <v>1717</v>
      </c>
      <c r="N1884" s="6" t="s">
        <v>23</v>
      </c>
      <c r="O1884" s="4" t="s">
        <v>24</v>
      </c>
    </row>
    <row r="1885" spans="1:15" x14ac:dyDescent="0.25">
      <c r="A1885" s="4" t="s">
        <v>15</v>
      </c>
      <c r="B1885" s="4" t="str">
        <f>"FES1162751648"</f>
        <v>FES1162751648</v>
      </c>
      <c r="C1885" s="4" t="s">
        <v>1668</v>
      </c>
      <c r="D1885" s="4">
        <v>1</v>
      </c>
      <c r="E1885" s="4" t="str">
        <f>"21707416465"</f>
        <v>21707416465</v>
      </c>
      <c r="F1885" s="4" t="s">
        <v>17</v>
      </c>
      <c r="G1885" s="4" t="s">
        <v>18</v>
      </c>
      <c r="H1885" s="4" t="s">
        <v>85</v>
      </c>
      <c r="I1885" s="4" t="s">
        <v>144</v>
      </c>
      <c r="J1885" s="4" t="s">
        <v>1743</v>
      </c>
      <c r="K1885" s="4" t="s">
        <v>1729</v>
      </c>
      <c r="L1885" s="5">
        <v>0.31041666666666667</v>
      </c>
      <c r="M1885" s="4" t="s">
        <v>1744</v>
      </c>
      <c r="N1885" s="6" t="s">
        <v>23</v>
      </c>
      <c r="O1885" s="4" t="s">
        <v>24</v>
      </c>
    </row>
    <row r="1886" spans="1:15" x14ac:dyDescent="0.25">
      <c r="A1886" s="4" t="s">
        <v>15</v>
      </c>
      <c r="B1886" s="4" t="str">
        <f>"FES1162751589"</f>
        <v>FES1162751589</v>
      </c>
      <c r="C1886" s="4" t="s">
        <v>1668</v>
      </c>
      <c r="D1886" s="4">
        <v>1</v>
      </c>
      <c r="E1886" s="4" t="str">
        <f>"2170740337"</f>
        <v>2170740337</v>
      </c>
      <c r="F1886" s="4" t="s">
        <v>17</v>
      </c>
      <c r="G1886" s="4" t="s">
        <v>18</v>
      </c>
      <c r="H1886" s="4" t="s">
        <v>85</v>
      </c>
      <c r="I1886" s="4" t="s">
        <v>144</v>
      </c>
      <c r="J1886" s="4" t="s">
        <v>564</v>
      </c>
      <c r="K1886" s="4" t="s">
        <v>43</v>
      </c>
      <c r="L1886" s="4"/>
      <c r="M1886" s="4" t="s">
        <v>44</v>
      </c>
      <c r="N1886" s="4" t="s">
        <v>1762</v>
      </c>
      <c r="O1886" s="4" t="s">
        <v>24</v>
      </c>
    </row>
    <row r="1887" spans="1:15" x14ac:dyDescent="0.25">
      <c r="A1887" s="4" t="s">
        <v>15</v>
      </c>
      <c r="B1887" s="4" t="str">
        <f>"FES1162751550"</f>
        <v>FES1162751550</v>
      </c>
      <c r="C1887" s="4" t="s">
        <v>1668</v>
      </c>
      <c r="D1887" s="4">
        <v>1</v>
      </c>
      <c r="E1887" s="4" t="str">
        <f>"2170740108"</f>
        <v>2170740108</v>
      </c>
      <c r="F1887" s="4" t="s">
        <v>17</v>
      </c>
      <c r="G1887" s="4" t="s">
        <v>18</v>
      </c>
      <c r="H1887" s="4" t="s">
        <v>85</v>
      </c>
      <c r="I1887" s="4" t="s">
        <v>144</v>
      </c>
      <c r="J1887" s="4" t="s">
        <v>210</v>
      </c>
      <c r="K1887" s="4" t="s">
        <v>1729</v>
      </c>
      <c r="L1887" s="5">
        <v>0.36527777777777781</v>
      </c>
      <c r="M1887" s="4" t="s">
        <v>1717</v>
      </c>
      <c r="N1887" s="6" t="s">
        <v>23</v>
      </c>
      <c r="O1887" s="4" t="s">
        <v>24</v>
      </c>
    </row>
    <row r="1888" spans="1:15" x14ac:dyDescent="0.25">
      <c r="A1888" s="4" t="s">
        <v>15</v>
      </c>
      <c r="B1888" s="4" t="str">
        <f>"FES1162751531"</f>
        <v>FES1162751531</v>
      </c>
      <c r="C1888" s="4" t="s">
        <v>1668</v>
      </c>
      <c r="D1888" s="4">
        <v>1</v>
      </c>
      <c r="E1888" s="4" t="str">
        <f>"2170739608"</f>
        <v>2170739608</v>
      </c>
      <c r="F1888" s="4" t="s">
        <v>17</v>
      </c>
      <c r="G1888" s="4" t="s">
        <v>18</v>
      </c>
      <c r="H1888" s="4" t="s">
        <v>85</v>
      </c>
      <c r="I1888" s="4" t="s">
        <v>356</v>
      </c>
      <c r="J1888" s="4" t="s">
        <v>357</v>
      </c>
      <c r="K1888" s="4" t="s">
        <v>43</v>
      </c>
      <c r="L1888" s="4"/>
      <c r="M1888" s="4" t="s">
        <v>44</v>
      </c>
      <c r="N1888" s="4" t="s">
        <v>1762</v>
      </c>
      <c r="O1888" s="4" t="s">
        <v>24</v>
      </c>
    </row>
    <row r="1889" spans="1:15" x14ac:dyDescent="0.25">
      <c r="A1889" s="4" t="s">
        <v>15</v>
      </c>
      <c r="B1889" s="4" t="str">
        <f>"FES1162751555"</f>
        <v>FES1162751555</v>
      </c>
      <c r="C1889" s="4" t="s">
        <v>1668</v>
      </c>
      <c r="D1889" s="4">
        <v>1</v>
      </c>
      <c r="E1889" s="4" t="str">
        <f>"2170740143"</f>
        <v>2170740143</v>
      </c>
      <c r="F1889" s="4" t="s">
        <v>17</v>
      </c>
      <c r="G1889" s="4" t="s">
        <v>18</v>
      </c>
      <c r="H1889" s="4" t="s">
        <v>85</v>
      </c>
      <c r="I1889" s="4" t="s">
        <v>144</v>
      </c>
      <c r="J1889" s="4" t="s">
        <v>360</v>
      </c>
      <c r="K1889" s="4" t="s">
        <v>43</v>
      </c>
      <c r="L1889" s="4"/>
      <c r="M1889" s="4" t="s">
        <v>44</v>
      </c>
      <c r="N1889" s="4" t="s">
        <v>1762</v>
      </c>
      <c r="O1889" s="4" t="s">
        <v>24</v>
      </c>
    </row>
    <row r="1890" spans="1:15" x14ac:dyDescent="0.25">
      <c r="A1890" s="4" t="s">
        <v>15</v>
      </c>
      <c r="B1890" s="4" t="str">
        <f>"FES1162751553"</f>
        <v>FES1162751553</v>
      </c>
      <c r="C1890" s="4" t="s">
        <v>1668</v>
      </c>
      <c r="D1890" s="4">
        <v>1</v>
      </c>
      <c r="E1890" s="4" t="str">
        <f>"2170741029"</f>
        <v>2170741029</v>
      </c>
      <c r="F1890" s="4" t="s">
        <v>17</v>
      </c>
      <c r="G1890" s="4" t="s">
        <v>18</v>
      </c>
      <c r="H1890" s="4" t="s">
        <v>85</v>
      </c>
      <c r="I1890" s="4" t="s">
        <v>144</v>
      </c>
      <c r="J1890" s="4" t="s">
        <v>357</v>
      </c>
      <c r="K1890" s="4" t="s">
        <v>43</v>
      </c>
      <c r="L1890" s="4"/>
      <c r="M1890" s="4" t="s">
        <v>44</v>
      </c>
      <c r="N1890" s="4" t="s">
        <v>1762</v>
      </c>
      <c r="O1890" s="4" t="s">
        <v>24</v>
      </c>
    </row>
    <row r="1891" spans="1:15" x14ac:dyDescent="0.25">
      <c r="A1891" s="4" t="s">
        <v>15</v>
      </c>
      <c r="B1891" s="4" t="str">
        <f>"FES1162751558"</f>
        <v>FES1162751558</v>
      </c>
      <c r="C1891" s="4" t="s">
        <v>1668</v>
      </c>
      <c r="D1891" s="4">
        <v>1</v>
      </c>
      <c r="E1891" s="4" t="str">
        <f>"2170740152"</f>
        <v>2170740152</v>
      </c>
      <c r="F1891" s="4" t="s">
        <v>17</v>
      </c>
      <c r="G1891" s="4" t="s">
        <v>18</v>
      </c>
      <c r="H1891" s="4" t="s">
        <v>40</v>
      </c>
      <c r="I1891" s="4" t="s">
        <v>41</v>
      </c>
      <c r="J1891" s="4" t="s">
        <v>42</v>
      </c>
      <c r="K1891" s="4" t="s">
        <v>43</v>
      </c>
      <c r="L1891" s="4"/>
      <c r="M1891" s="4" t="s">
        <v>44</v>
      </c>
      <c r="N1891" s="4" t="s">
        <v>1762</v>
      </c>
      <c r="O1891" s="4" t="s">
        <v>24</v>
      </c>
    </row>
    <row r="1892" spans="1:15" x14ac:dyDescent="0.25">
      <c r="A1892" s="4" t="s">
        <v>15</v>
      </c>
      <c r="B1892" s="4" t="str">
        <f>"FES1162751520"</f>
        <v>FES1162751520</v>
      </c>
      <c r="C1892" s="4" t="s">
        <v>1668</v>
      </c>
      <c r="D1892" s="4">
        <v>1</v>
      </c>
      <c r="E1892" s="4" t="str">
        <f>"2170733781"</f>
        <v>2170733781</v>
      </c>
      <c r="F1892" s="4" t="s">
        <v>17</v>
      </c>
      <c r="G1892" s="4" t="s">
        <v>18</v>
      </c>
      <c r="H1892" s="4" t="s">
        <v>85</v>
      </c>
      <c r="I1892" s="4" t="s">
        <v>850</v>
      </c>
      <c r="J1892" s="4" t="s">
        <v>849</v>
      </c>
      <c r="K1892" s="4" t="s">
        <v>43</v>
      </c>
      <c r="L1892" s="4"/>
      <c r="M1892" s="4" t="s">
        <v>44</v>
      </c>
      <c r="N1892" s="4" t="s">
        <v>1762</v>
      </c>
      <c r="O1892" s="4" t="s">
        <v>24</v>
      </c>
    </row>
    <row r="1893" spans="1:15" x14ac:dyDescent="0.25">
      <c r="A1893" s="4" t="s">
        <v>15</v>
      </c>
      <c r="B1893" s="4" t="str">
        <f>"FES1162751554"</f>
        <v>FES1162751554</v>
      </c>
      <c r="C1893" s="4" t="s">
        <v>1668</v>
      </c>
      <c r="D1893" s="4">
        <v>1</v>
      </c>
      <c r="E1893" s="4" t="str">
        <f>"2170740136"</f>
        <v>2170740136</v>
      </c>
      <c r="F1893" s="4" t="s">
        <v>17</v>
      </c>
      <c r="G1893" s="4" t="s">
        <v>18</v>
      </c>
      <c r="H1893" s="4" t="s">
        <v>18</v>
      </c>
      <c r="I1893" s="4" t="s">
        <v>204</v>
      </c>
      <c r="J1893" s="4" t="s">
        <v>205</v>
      </c>
      <c r="K1893" s="4" t="s">
        <v>43</v>
      </c>
      <c r="L1893" s="4"/>
      <c r="M1893" s="4" t="s">
        <v>44</v>
      </c>
      <c r="N1893" s="4" t="s">
        <v>1762</v>
      </c>
      <c r="O1893" s="4" t="s">
        <v>24</v>
      </c>
    </row>
    <row r="1894" spans="1:15" x14ac:dyDescent="0.25">
      <c r="A1894" s="4" t="s">
        <v>15</v>
      </c>
      <c r="B1894" s="4" t="str">
        <f>"FES1162751446"</f>
        <v>FES1162751446</v>
      </c>
      <c r="C1894" s="4" t="s">
        <v>1668</v>
      </c>
      <c r="D1894" s="4">
        <v>1</v>
      </c>
      <c r="E1894" s="4" t="str">
        <f>"2170741573"</f>
        <v>2170741573</v>
      </c>
      <c r="F1894" s="4" t="s">
        <v>17</v>
      </c>
      <c r="G1894" s="4" t="s">
        <v>18</v>
      </c>
      <c r="H1894" s="4" t="s">
        <v>32</v>
      </c>
      <c r="I1894" s="4" t="s">
        <v>33</v>
      </c>
      <c r="J1894" s="4" t="s">
        <v>1745</v>
      </c>
      <c r="K1894" s="4" t="s">
        <v>43</v>
      </c>
      <c r="L1894" s="4"/>
      <c r="M1894" s="4" t="s">
        <v>44</v>
      </c>
      <c r="N1894" s="4" t="s">
        <v>1762</v>
      </c>
      <c r="O1894" s="4" t="s">
        <v>24</v>
      </c>
    </row>
    <row r="1895" spans="1:15" x14ac:dyDescent="0.25">
      <c r="A1895" s="4" t="s">
        <v>15</v>
      </c>
      <c r="B1895" s="4" t="str">
        <f>"FES1162751431"</f>
        <v>FES1162751431</v>
      </c>
      <c r="C1895" s="4" t="s">
        <v>1668</v>
      </c>
      <c r="D1895" s="4">
        <v>1</v>
      </c>
      <c r="E1895" s="4" t="str">
        <f>"2170741511"</f>
        <v>2170741511</v>
      </c>
      <c r="F1895" s="4" t="s">
        <v>17</v>
      </c>
      <c r="G1895" s="4" t="s">
        <v>18</v>
      </c>
      <c r="H1895" s="4" t="s">
        <v>18</v>
      </c>
      <c r="I1895" s="4" t="s">
        <v>219</v>
      </c>
      <c r="J1895" s="4" t="s">
        <v>1036</v>
      </c>
      <c r="K1895" s="4" t="s">
        <v>43</v>
      </c>
      <c r="L1895" s="4"/>
      <c r="M1895" s="4" t="s">
        <v>44</v>
      </c>
      <c r="N1895" s="4" t="s">
        <v>1762</v>
      </c>
      <c r="O1895" s="4" t="s">
        <v>24</v>
      </c>
    </row>
    <row r="1896" spans="1:15" x14ac:dyDescent="0.25">
      <c r="A1896" s="4" t="s">
        <v>15</v>
      </c>
      <c r="B1896" s="4" t="str">
        <f>"FES1162751526"</f>
        <v>FES1162751526</v>
      </c>
      <c r="C1896" s="4" t="s">
        <v>1668</v>
      </c>
      <c r="D1896" s="4">
        <v>1</v>
      </c>
      <c r="E1896" s="4" t="str">
        <f>"2170739439"</f>
        <v>2170739439</v>
      </c>
      <c r="F1896" s="4" t="s">
        <v>17</v>
      </c>
      <c r="G1896" s="4" t="s">
        <v>18</v>
      </c>
      <c r="H1896" s="4" t="s">
        <v>18</v>
      </c>
      <c r="I1896" s="4" t="s">
        <v>68</v>
      </c>
      <c r="J1896" s="4" t="s">
        <v>1238</v>
      </c>
      <c r="K1896" s="4" t="s">
        <v>43</v>
      </c>
      <c r="L1896" s="4"/>
      <c r="M1896" s="4" t="s">
        <v>44</v>
      </c>
      <c r="N1896" s="4" t="s">
        <v>1762</v>
      </c>
      <c r="O1896" s="4" t="s">
        <v>24</v>
      </c>
    </row>
    <row r="1897" spans="1:15" x14ac:dyDescent="0.25">
      <c r="A1897" s="4" t="s">
        <v>15</v>
      </c>
      <c r="B1897" s="4" t="str">
        <f>"FES1162751586"</f>
        <v>FES1162751586</v>
      </c>
      <c r="C1897" s="4" t="s">
        <v>1668</v>
      </c>
      <c r="D1897" s="4">
        <v>1</v>
      </c>
      <c r="E1897" s="4" t="str">
        <f>"2170740304"</f>
        <v>2170740304</v>
      </c>
      <c r="F1897" s="4" t="s">
        <v>17</v>
      </c>
      <c r="G1897" s="4" t="s">
        <v>18</v>
      </c>
      <c r="H1897" s="4" t="s">
        <v>18</v>
      </c>
      <c r="I1897" s="4" t="s">
        <v>19</v>
      </c>
      <c r="J1897" s="4" t="s">
        <v>20</v>
      </c>
      <c r="K1897" s="4" t="s">
        <v>43</v>
      </c>
      <c r="L1897" s="4"/>
      <c r="M1897" s="4" t="s">
        <v>44</v>
      </c>
      <c r="N1897" s="4" t="s">
        <v>1762</v>
      </c>
      <c r="O1897" s="4" t="s">
        <v>24</v>
      </c>
    </row>
    <row r="1898" spans="1:15" x14ac:dyDescent="0.25">
      <c r="A1898" s="4" t="s">
        <v>15</v>
      </c>
      <c r="B1898" s="4" t="str">
        <f>"FES1162751434"</f>
        <v>FES1162751434</v>
      </c>
      <c r="C1898" s="4" t="s">
        <v>1668</v>
      </c>
      <c r="D1898" s="4">
        <v>1</v>
      </c>
      <c r="E1898" s="4" t="str">
        <f>"2170741542"</f>
        <v>2170741542</v>
      </c>
      <c r="F1898" s="4" t="s">
        <v>17</v>
      </c>
      <c r="G1898" s="4" t="s">
        <v>18</v>
      </c>
      <c r="H1898" s="4" t="s">
        <v>36</v>
      </c>
      <c r="I1898" s="4" t="s">
        <v>37</v>
      </c>
      <c r="J1898" s="4" t="s">
        <v>1528</v>
      </c>
      <c r="K1898" s="4" t="s">
        <v>43</v>
      </c>
      <c r="L1898" s="4"/>
      <c r="M1898" s="4" t="s">
        <v>44</v>
      </c>
      <c r="N1898" s="4" t="s">
        <v>1762</v>
      </c>
      <c r="O1898" s="4" t="s">
        <v>24</v>
      </c>
    </row>
    <row r="1899" spans="1:15" x14ac:dyDescent="0.25">
      <c r="A1899" s="4" t="s">
        <v>15</v>
      </c>
      <c r="B1899" s="4" t="str">
        <f>"009935712364"</f>
        <v>009935712364</v>
      </c>
      <c r="C1899" s="4" t="s">
        <v>1668</v>
      </c>
      <c r="D1899" s="4">
        <v>1</v>
      </c>
      <c r="E1899" s="4" t="str">
        <f>"1162742513"</f>
        <v>1162742513</v>
      </c>
      <c r="F1899" s="4" t="s">
        <v>17</v>
      </c>
      <c r="G1899" s="4" t="s">
        <v>18</v>
      </c>
      <c r="H1899" s="4" t="s">
        <v>32</v>
      </c>
      <c r="I1899" s="4" t="s">
        <v>33</v>
      </c>
      <c r="J1899" s="4" t="s">
        <v>1746</v>
      </c>
      <c r="K1899" s="4" t="s">
        <v>43</v>
      </c>
      <c r="L1899" s="4"/>
      <c r="M1899" s="4" t="s">
        <v>44</v>
      </c>
      <c r="N1899" s="4" t="s">
        <v>1762</v>
      </c>
      <c r="O1899" s="4" t="s">
        <v>801</v>
      </c>
    </row>
    <row r="1900" spans="1:15" x14ac:dyDescent="0.25">
      <c r="A1900" s="4" t="s">
        <v>15</v>
      </c>
      <c r="B1900" s="4" t="str">
        <f>"FES1162751639"</f>
        <v>FES1162751639</v>
      </c>
      <c r="C1900" s="4" t="s">
        <v>1668</v>
      </c>
      <c r="D1900" s="4">
        <v>1</v>
      </c>
      <c r="E1900" s="4" t="str">
        <f>"2170741264"</f>
        <v>2170741264</v>
      </c>
      <c r="F1900" s="4" t="s">
        <v>17</v>
      </c>
      <c r="G1900" s="4" t="s">
        <v>18</v>
      </c>
      <c r="H1900" s="4" t="s">
        <v>18</v>
      </c>
      <c r="I1900" s="4" t="s">
        <v>29</v>
      </c>
      <c r="J1900" s="4" t="s">
        <v>788</v>
      </c>
      <c r="K1900" s="4" t="s">
        <v>43</v>
      </c>
      <c r="L1900" s="4"/>
      <c r="M1900" s="4" t="s">
        <v>44</v>
      </c>
      <c r="N1900" s="4" t="s">
        <v>1762</v>
      </c>
      <c r="O1900" s="4" t="s">
        <v>24</v>
      </c>
    </row>
    <row r="1901" spans="1:15" x14ac:dyDescent="0.25">
      <c r="A1901" s="4" t="s">
        <v>15</v>
      </c>
      <c r="B1901" s="4" t="str">
        <f>"FES1162751512"</f>
        <v>FES1162751512</v>
      </c>
      <c r="C1901" s="4" t="s">
        <v>1668</v>
      </c>
      <c r="D1901" s="4">
        <v>1</v>
      </c>
      <c r="E1901" s="4" t="str">
        <f>"2170741631"</f>
        <v>2170741631</v>
      </c>
      <c r="F1901" s="4" t="s">
        <v>17</v>
      </c>
      <c r="G1901" s="4" t="s">
        <v>18</v>
      </c>
      <c r="H1901" s="4" t="s">
        <v>32</v>
      </c>
      <c r="I1901" s="4" t="s">
        <v>33</v>
      </c>
      <c r="J1901" s="4" t="s">
        <v>891</v>
      </c>
      <c r="K1901" s="4" t="s">
        <v>43</v>
      </c>
      <c r="L1901" s="4"/>
      <c r="M1901" s="4" t="s">
        <v>44</v>
      </c>
      <c r="N1901" s="4" t="s">
        <v>1762</v>
      </c>
      <c r="O1901" s="4" t="s">
        <v>24</v>
      </c>
    </row>
    <row r="1902" spans="1:15" x14ac:dyDescent="0.25">
      <c r="A1902" s="4" t="s">
        <v>15</v>
      </c>
      <c r="B1902" s="4" t="str">
        <f>"FES1162751491"</f>
        <v>FES1162751491</v>
      </c>
      <c r="C1902" s="4" t="s">
        <v>1668</v>
      </c>
      <c r="D1902" s="4">
        <v>1</v>
      </c>
      <c r="E1902" s="4" t="str">
        <f>"2170741297"</f>
        <v>2170741297</v>
      </c>
      <c r="F1902" s="4" t="s">
        <v>17</v>
      </c>
      <c r="G1902" s="4" t="s">
        <v>18</v>
      </c>
      <c r="H1902" s="4" t="s">
        <v>32</v>
      </c>
      <c r="I1902" s="4" t="s">
        <v>33</v>
      </c>
      <c r="J1902" s="4" t="s">
        <v>317</v>
      </c>
      <c r="K1902" s="4" t="s">
        <v>43</v>
      </c>
      <c r="L1902" s="4"/>
      <c r="M1902" s="4" t="s">
        <v>44</v>
      </c>
      <c r="N1902" s="4" t="s">
        <v>1762</v>
      </c>
      <c r="O1902" s="4" t="s">
        <v>24</v>
      </c>
    </row>
    <row r="1903" spans="1:15" x14ac:dyDescent="0.25">
      <c r="A1903" s="4" t="s">
        <v>15</v>
      </c>
      <c r="B1903" s="4" t="str">
        <f>"FES1162751425"</f>
        <v>FES1162751425</v>
      </c>
      <c r="C1903" s="4" t="s">
        <v>1668</v>
      </c>
      <c r="D1903" s="4">
        <v>1</v>
      </c>
      <c r="E1903" s="4" t="str">
        <f>"2170741264"</f>
        <v>2170741264</v>
      </c>
      <c r="F1903" s="4" t="s">
        <v>17</v>
      </c>
      <c r="G1903" s="4" t="s">
        <v>18</v>
      </c>
      <c r="H1903" s="4" t="s">
        <v>18</v>
      </c>
      <c r="I1903" s="4" t="s">
        <v>29</v>
      </c>
      <c r="J1903" s="4" t="s">
        <v>788</v>
      </c>
      <c r="K1903" s="4" t="s">
        <v>43</v>
      </c>
      <c r="L1903" s="4"/>
      <c r="M1903" s="4" t="s">
        <v>44</v>
      </c>
      <c r="N1903" s="4" t="s">
        <v>1762</v>
      </c>
      <c r="O1903" s="4" t="s">
        <v>24</v>
      </c>
    </row>
    <row r="1904" spans="1:15" x14ac:dyDescent="0.25">
      <c r="A1904" s="4" t="s">
        <v>15</v>
      </c>
      <c r="B1904" s="4" t="str">
        <f>"FES1162751638"</f>
        <v>FES1162751638</v>
      </c>
      <c r="C1904" s="4" t="s">
        <v>1668</v>
      </c>
      <c r="D1904" s="4">
        <v>1</v>
      </c>
      <c r="E1904" s="4" t="str">
        <f>"2170741244"</f>
        <v>2170741244</v>
      </c>
      <c r="F1904" s="4" t="s">
        <v>17</v>
      </c>
      <c r="G1904" s="4" t="s">
        <v>18</v>
      </c>
      <c r="H1904" s="4" t="s">
        <v>18</v>
      </c>
      <c r="I1904" s="4" t="s">
        <v>29</v>
      </c>
      <c r="J1904" s="4" t="s">
        <v>30</v>
      </c>
      <c r="K1904" s="4" t="s">
        <v>43</v>
      </c>
      <c r="L1904" s="4"/>
      <c r="M1904" s="4" t="s">
        <v>44</v>
      </c>
      <c r="N1904" s="4" t="s">
        <v>1762</v>
      </c>
      <c r="O1904" s="4" t="s">
        <v>24</v>
      </c>
    </row>
    <row r="1905" spans="1:15" x14ac:dyDescent="0.25">
      <c r="A1905" s="4" t="s">
        <v>15</v>
      </c>
      <c r="B1905" s="4" t="str">
        <f>"FES1162751613"</f>
        <v>FES1162751613</v>
      </c>
      <c r="C1905" s="4" t="s">
        <v>1668</v>
      </c>
      <c r="D1905" s="4">
        <v>1</v>
      </c>
      <c r="E1905" s="4" t="str">
        <f>"2170740525"</f>
        <v>2170740525</v>
      </c>
      <c r="F1905" s="4" t="s">
        <v>17</v>
      </c>
      <c r="G1905" s="4" t="s">
        <v>18</v>
      </c>
      <c r="H1905" s="4" t="s">
        <v>18</v>
      </c>
      <c r="I1905" s="4" t="s">
        <v>147</v>
      </c>
      <c r="J1905" s="4" t="s">
        <v>1055</v>
      </c>
      <c r="K1905" s="4" t="s">
        <v>43</v>
      </c>
      <c r="L1905" s="4"/>
      <c r="M1905" s="4" t="s">
        <v>44</v>
      </c>
      <c r="N1905" s="4" t="s">
        <v>1762</v>
      </c>
      <c r="O1905" s="4" t="s">
        <v>24</v>
      </c>
    </row>
    <row r="1906" spans="1:15" x14ac:dyDescent="0.25">
      <c r="A1906" s="4" t="s">
        <v>15</v>
      </c>
      <c r="B1906" s="4" t="str">
        <f>"FES1162751546"</f>
        <v>FES1162751546</v>
      </c>
      <c r="C1906" s="4" t="s">
        <v>1668</v>
      </c>
      <c r="D1906" s="4">
        <v>1</v>
      </c>
      <c r="E1906" s="4" t="str">
        <f>"2170740096"</f>
        <v>2170740096</v>
      </c>
      <c r="F1906" s="4" t="s">
        <v>17</v>
      </c>
      <c r="G1906" s="4" t="s">
        <v>18</v>
      </c>
      <c r="H1906" s="4" t="s">
        <v>32</v>
      </c>
      <c r="I1906" s="4" t="s">
        <v>33</v>
      </c>
      <c r="J1906" s="4" t="s">
        <v>1747</v>
      </c>
      <c r="K1906" s="4" t="s">
        <v>43</v>
      </c>
      <c r="L1906" s="4"/>
      <c r="M1906" s="4" t="s">
        <v>44</v>
      </c>
      <c r="N1906" s="4" t="s">
        <v>1762</v>
      </c>
      <c r="O1906" s="4" t="s">
        <v>24</v>
      </c>
    </row>
    <row r="1907" spans="1:15" x14ac:dyDescent="0.25">
      <c r="A1907" s="4" t="s">
        <v>15</v>
      </c>
      <c r="B1907" s="4" t="str">
        <f>"FES1162751590"</f>
        <v>FES1162751590</v>
      </c>
      <c r="C1907" s="4" t="s">
        <v>1668</v>
      </c>
      <c r="D1907" s="4">
        <v>1</v>
      </c>
      <c r="E1907" s="4" t="str">
        <f>"2170740349"</f>
        <v>2170740349</v>
      </c>
      <c r="F1907" s="4" t="s">
        <v>17</v>
      </c>
      <c r="G1907" s="4" t="s">
        <v>18</v>
      </c>
      <c r="H1907" s="4" t="s">
        <v>18</v>
      </c>
      <c r="I1907" s="4" t="s">
        <v>29</v>
      </c>
      <c r="J1907" s="4" t="s">
        <v>30</v>
      </c>
      <c r="K1907" s="4" t="s">
        <v>43</v>
      </c>
      <c r="L1907" s="4"/>
      <c r="M1907" s="4" t="s">
        <v>44</v>
      </c>
      <c r="N1907" s="4" t="s">
        <v>1762</v>
      </c>
      <c r="O1907" s="4" t="s">
        <v>24</v>
      </c>
    </row>
    <row r="1908" spans="1:15" x14ac:dyDescent="0.25">
      <c r="A1908" s="4" t="s">
        <v>15</v>
      </c>
      <c r="B1908" s="4" t="str">
        <f>"FES1162751505"</f>
        <v>FES1162751505</v>
      </c>
      <c r="C1908" s="4" t="s">
        <v>1668</v>
      </c>
      <c r="D1908" s="4">
        <v>1</v>
      </c>
      <c r="E1908" s="4" t="str">
        <f>"2170741620"</f>
        <v>2170741620</v>
      </c>
      <c r="F1908" s="4" t="s">
        <v>17</v>
      </c>
      <c r="G1908" s="4" t="s">
        <v>18</v>
      </c>
      <c r="H1908" s="4" t="s">
        <v>18</v>
      </c>
      <c r="I1908" s="4" t="s">
        <v>97</v>
      </c>
      <c r="J1908" s="4" t="s">
        <v>266</v>
      </c>
      <c r="K1908" s="4" t="s">
        <v>43</v>
      </c>
      <c r="L1908" s="4"/>
      <c r="M1908" s="4" t="s">
        <v>44</v>
      </c>
      <c r="N1908" s="4" t="s">
        <v>1762</v>
      </c>
      <c r="O1908" s="4" t="s">
        <v>24</v>
      </c>
    </row>
    <row r="1909" spans="1:15" x14ac:dyDescent="0.25">
      <c r="A1909" s="4" t="s">
        <v>15</v>
      </c>
      <c r="B1909" s="4" t="str">
        <f>"FES1162751466"</f>
        <v>FES1162751466</v>
      </c>
      <c r="C1909" s="4" t="s">
        <v>1668</v>
      </c>
      <c r="D1909" s="4">
        <v>1</v>
      </c>
      <c r="E1909" s="4" t="str">
        <f>"2170740774"</f>
        <v>2170740774</v>
      </c>
      <c r="F1909" s="4" t="s">
        <v>17</v>
      </c>
      <c r="G1909" s="4" t="s">
        <v>18</v>
      </c>
      <c r="H1909" s="4" t="s">
        <v>18</v>
      </c>
      <c r="I1909" s="4" t="s">
        <v>58</v>
      </c>
      <c r="J1909" s="4" t="s">
        <v>1748</v>
      </c>
      <c r="K1909" s="4" t="s">
        <v>43</v>
      </c>
      <c r="L1909" s="4"/>
      <c r="M1909" s="4" t="s">
        <v>44</v>
      </c>
      <c r="N1909" s="4" t="s">
        <v>1762</v>
      </c>
      <c r="O1909" s="4" t="s">
        <v>24</v>
      </c>
    </row>
    <row r="1910" spans="1:15" x14ac:dyDescent="0.25">
      <c r="A1910" s="4" t="s">
        <v>15</v>
      </c>
      <c r="B1910" s="4" t="str">
        <f>"FES1162751712"</f>
        <v>FES1162751712</v>
      </c>
      <c r="C1910" s="4" t="s">
        <v>1668</v>
      </c>
      <c r="D1910" s="4">
        <v>1</v>
      </c>
      <c r="E1910" s="4" t="str">
        <f>"2170740168"</f>
        <v>2170740168</v>
      </c>
      <c r="F1910" s="4" t="s">
        <v>17</v>
      </c>
      <c r="G1910" s="4" t="s">
        <v>18</v>
      </c>
      <c r="H1910" s="4" t="s">
        <v>48</v>
      </c>
      <c r="I1910" s="4" t="s">
        <v>108</v>
      </c>
      <c r="J1910" s="4" t="s">
        <v>109</v>
      </c>
      <c r="K1910" s="4" t="s">
        <v>43</v>
      </c>
      <c r="L1910" s="4"/>
      <c r="M1910" s="4" t="s">
        <v>44</v>
      </c>
      <c r="N1910" s="4" t="s">
        <v>1762</v>
      </c>
      <c r="O1910" s="4" t="s">
        <v>24</v>
      </c>
    </row>
    <row r="1911" spans="1:15" x14ac:dyDescent="0.25">
      <c r="A1911" s="4" t="s">
        <v>15</v>
      </c>
      <c r="B1911" s="4" t="str">
        <f>"FES1162751475"</f>
        <v>FES1162751475</v>
      </c>
      <c r="C1911" s="4" t="s">
        <v>1668</v>
      </c>
      <c r="D1911" s="4">
        <v>1</v>
      </c>
      <c r="E1911" s="4" t="str">
        <f>"2170741551"</f>
        <v>2170741551</v>
      </c>
      <c r="F1911" s="4" t="s">
        <v>17</v>
      </c>
      <c r="G1911" s="4" t="s">
        <v>18</v>
      </c>
      <c r="H1911" s="4" t="s">
        <v>18</v>
      </c>
      <c r="I1911" s="4" t="s">
        <v>309</v>
      </c>
      <c r="J1911" s="4" t="s">
        <v>1040</v>
      </c>
      <c r="K1911" s="4" t="s">
        <v>43</v>
      </c>
      <c r="L1911" s="4"/>
      <c r="M1911" s="4" t="s">
        <v>44</v>
      </c>
      <c r="N1911" s="4" t="s">
        <v>1762</v>
      </c>
      <c r="O1911" s="4" t="s">
        <v>24</v>
      </c>
    </row>
    <row r="1912" spans="1:15" x14ac:dyDescent="0.25">
      <c r="A1912" s="4" t="s">
        <v>15</v>
      </c>
      <c r="B1912" s="4" t="str">
        <f>"FES1162751528"</f>
        <v>FES1162751528</v>
      </c>
      <c r="C1912" s="4" t="s">
        <v>1668</v>
      </c>
      <c r="D1912" s="4">
        <v>1</v>
      </c>
      <c r="E1912" s="4" t="str">
        <f>"2170739489"</f>
        <v>2170739489</v>
      </c>
      <c r="F1912" s="4" t="s">
        <v>17</v>
      </c>
      <c r="G1912" s="4" t="s">
        <v>18</v>
      </c>
      <c r="H1912" s="4" t="s">
        <v>18</v>
      </c>
      <c r="I1912" s="4" t="s">
        <v>97</v>
      </c>
      <c r="J1912" s="4" t="s">
        <v>1749</v>
      </c>
      <c r="K1912" s="4" t="s">
        <v>43</v>
      </c>
      <c r="L1912" s="4"/>
      <c r="M1912" s="4" t="s">
        <v>44</v>
      </c>
      <c r="N1912" s="4" t="s">
        <v>1762</v>
      </c>
      <c r="O1912" s="4" t="s">
        <v>24</v>
      </c>
    </row>
    <row r="1913" spans="1:15" x14ac:dyDescent="0.25">
      <c r="A1913" s="4" t="s">
        <v>15</v>
      </c>
      <c r="B1913" s="4" t="str">
        <f>"FES1162751689"</f>
        <v>FES1162751689</v>
      </c>
      <c r="C1913" s="4" t="s">
        <v>1668</v>
      </c>
      <c r="D1913" s="4">
        <v>1</v>
      </c>
      <c r="E1913" s="4" t="str">
        <f>"2170741699"</f>
        <v>2170741699</v>
      </c>
      <c r="F1913" s="4" t="s">
        <v>17</v>
      </c>
      <c r="G1913" s="4" t="s">
        <v>18</v>
      </c>
      <c r="H1913" s="4" t="s">
        <v>25</v>
      </c>
      <c r="I1913" s="4" t="s">
        <v>26</v>
      </c>
      <c r="J1913" s="4" t="s">
        <v>773</v>
      </c>
      <c r="K1913" s="4" t="s">
        <v>43</v>
      </c>
      <c r="L1913" s="4"/>
      <c r="M1913" s="4" t="s">
        <v>44</v>
      </c>
      <c r="N1913" s="4" t="s">
        <v>1762</v>
      </c>
      <c r="O1913" s="4" t="s">
        <v>24</v>
      </c>
    </row>
    <row r="1914" spans="1:15" x14ac:dyDescent="0.25">
      <c r="A1914" s="4" t="s">
        <v>15</v>
      </c>
      <c r="B1914" s="4" t="str">
        <f>"FES1162751498"</f>
        <v>FES1162751498</v>
      </c>
      <c r="C1914" s="4" t="s">
        <v>1668</v>
      </c>
      <c r="D1914" s="4">
        <v>1</v>
      </c>
      <c r="E1914" s="4" t="str">
        <f>"2170741617"</f>
        <v>2170741617</v>
      </c>
      <c r="F1914" s="4" t="s">
        <v>1162</v>
      </c>
      <c r="G1914" s="4" t="s">
        <v>18</v>
      </c>
      <c r="H1914" s="4" t="s">
        <v>48</v>
      </c>
      <c r="I1914" s="4" t="s">
        <v>108</v>
      </c>
      <c r="J1914" s="4" t="s">
        <v>109</v>
      </c>
      <c r="K1914" s="4" t="s">
        <v>43</v>
      </c>
      <c r="L1914" s="4"/>
      <c r="M1914" s="4" t="s">
        <v>44</v>
      </c>
      <c r="N1914" s="4" t="s">
        <v>1762</v>
      </c>
      <c r="O1914" s="4" t="s">
        <v>24</v>
      </c>
    </row>
    <row r="1915" spans="1:15" x14ac:dyDescent="0.25">
      <c r="A1915" s="4" t="s">
        <v>15</v>
      </c>
      <c r="B1915" s="4" t="str">
        <f>"FES1162751579"</f>
        <v>FES1162751579</v>
      </c>
      <c r="C1915" s="4" t="s">
        <v>1668</v>
      </c>
      <c r="D1915" s="4">
        <v>1</v>
      </c>
      <c r="E1915" s="4" t="str">
        <f>"2170740239"</f>
        <v>2170740239</v>
      </c>
      <c r="F1915" s="4" t="s">
        <v>17</v>
      </c>
      <c r="G1915" s="4" t="s">
        <v>18</v>
      </c>
      <c r="H1915" s="4" t="s">
        <v>48</v>
      </c>
      <c r="I1915" s="4" t="s">
        <v>49</v>
      </c>
      <c r="J1915" s="4" t="s">
        <v>867</v>
      </c>
      <c r="K1915" s="4" t="s">
        <v>43</v>
      </c>
      <c r="L1915" s="4"/>
      <c r="M1915" s="4" t="s">
        <v>44</v>
      </c>
      <c r="N1915" s="4" t="s">
        <v>1762</v>
      </c>
      <c r="O1915" s="4" t="s">
        <v>24</v>
      </c>
    </row>
    <row r="1916" spans="1:15" x14ac:dyDescent="0.25">
      <c r="A1916" s="4" t="s">
        <v>15</v>
      </c>
      <c r="B1916" s="4" t="str">
        <f>"FES1162751671"</f>
        <v>FES1162751671</v>
      </c>
      <c r="C1916" s="4" t="s">
        <v>1668</v>
      </c>
      <c r="D1916" s="4">
        <v>1</v>
      </c>
      <c r="E1916" s="4" t="str">
        <f>"2170741685"</f>
        <v>2170741685</v>
      </c>
      <c r="F1916" s="4" t="s">
        <v>1162</v>
      </c>
      <c r="G1916" s="4" t="s">
        <v>18</v>
      </c>
      <c r="H1916" s="4" t="s">
        <v>48</v>
      </c>
      <c r="I1916" s="4" t="s">
        <v>108</v>
      </c>
      <c r="J1916" s="4" t="s">
        <v>109</v>
      </c>
      <c r="K1916" s="4" t="s">
        <v>43</v>
      </c>
      <c r="L1916" s="4"/>
      <c r="M1916" s="4" t="s">
        <v>44</v>
      </c>
      <c r="N1916" s="4" t="s">
        <v>1762</v>
      </c>
      <c r="O1916" s="4" t="s">
        <v>166</v>
      </c>
    </row>
    <row r="1917" spans="1:15" x14ac:dyDescent="0.25">
      <c r="A1917" s="4" t="s">
        <v>15</v>
      </c>
      <c r="B1917" s="4" t="str">
        <f>"FES1162751438"</f>
        <v>FES1162751438</v>
      </c>
      <c r="C1917" s="4" t="s">
        <v>1668</v>
      </c>
      <c r="D1917" s="4">
        <v>1</v>
      </c>
      <c r="E1917" s="4" t="str">
        <f>"217070741565"</f>
        <v>217070741565</v>
      </c>
      <c r="F1917" s="4" t="s">
        <v>17</v>
      </c>
      <c r="G1917" s="4" t="s">
        <v>18</v>
      </c>
      <c r="H1917" s="4" t="s">
        <v>48</v>
      </c>
      <c r="I1917" s="4" t="s">
        <v>49</v>
      </c>
      <c r="J1917" s="4" t="s">
        <v>100</v>
      </c>
      <c r="K1917" s="4" t="s">
        <v>43</v>
      </c>
      <c r="L1917" s="4"/>
      <c r="M1917" s="4" t="s">
        <v>44</v>
      </c>
      <c r="N1917" s="4" t="s">
        <v>1762</v>
      </c>
      <c r="O1917" s="4" t="s">
        <v>24</v>
      </c>
    </row>
    <row r="1918" spans="1:15" x14ac:dyDescent="0.25">
      <c r="A1918" s="4" t="s">
        <v>15</v>
      </c>
      <c r="B1918" s="4" t="str">
        <f>"FES1162751410"</f>
        <v>FES1162751410</v>
      </c>
      <c r="C1918" s="4" t="s">
        <v>1668</v>
      </c>
      <c r="D1918" s="4">
        <v>1</v>
      </c>
      <c r="E1918" s="4" t="str">
        <f>"2170740129"</f>
        <v>2170740129</v>
      </c>
      <c r="F1918" s="4" t="s">
        <v>17</v>
      </c>
      <c r="G1918" s="4" t="s">
        <v>18</v>
      </c>
      <c r="H1918" s="4" t="s">
        <v>85</v>
      </c>
      <c r="I1918" s="4" t="s">
        <v>144</v>
      </c>
      <c r="J1918" s="4" t="s">
        <v>357</v>
      </c>
      <c r="K1918" s="4" t="s">
        <v>43</v>
      </c>
      <c r="L1918" s="4"/>
      <c r="M1918" s="4" t="s">
        <v>44</v>
      </c>
      <c r="N1918" s="4" t="s">
        <v>1762</v>
      </c>
      <c r="O1918" s="4" t="s">
        <v>24</v>
      </c>
    </row>
    <row r="1919" spans="1:15" x14ac:dyDescent="0.25">
      <c r="A1919" s="4" t="s">
        <v>15</v>
      </c>
      <c r="B1919" s="4" t="str">
        <f>"FES1162751564"</f>
        <v>FES1162751564</v>
      </c>
      <c r="C1919" s="4" t="s">
        <v>1668</v>
      </c>
      <c r="D1919" s="4">
        <v>1</v>
      </c>
      <c r="E1919" s="4" t="str">
        <f>"2170740169"</f>
        <v>2170740169</v>
      </c>
      <c r="F1919" s="4" t="s">
        <v>17</v>
      </c>
      <c r="G1919" s="4" t="s">
        <v>18</v>
      </c>
      <c r="H1919" s="4" t="s">
        <v>85</v>
      </c>
      <c r="I1919" s="4" t="s">
        <v>86</v>
      </c>
      <c r="J1919" s="4" t="s">
        <v>87</v>
      </c>
      <c r="K1919" s="4" t="s">
        <v>43</v>
      </c>
      <c r="L1919" s="4"/>
      <c r="M1919" s="4" t="s">
        <v>44</v>
      </c>
      <c r="N1919" s="4" t="s">
        <v>1762</v>
      </c>
      <c r="O1919" s="4" t="s">
        <v>24</v>
      </c>
    </row>
    <row r="1920" spans="1:15" x14ac:dyDescent="0.25">
      <c r="A1920" s="4" t="s">
        <v>15</v>
      </c>
      <c r="B1920" s="4" t="str">
        <f>"FES1162751471"</f>
        <v>FES1162751471</v>
      </c>
      <c r="C1920" s="4" t="s">
        <v>1668</v>
      </c>
      <c r="D1920" s="4">
        <v>1</v>
      </c>
      <c r="E1920" s="4" t="str">
        <f>"2170741530"</f>
        <v>2170741530</v>
      </c>
      <c r="F1920" s="4" t="s">
        <v>17</v>
      </c>
      <c r="G1920" s="4" t="s">
        <v>18</v>
      </c>
      <c r="H1920" s="4" t="s">
        <v>85</v>
      </c>
      <c r="I1920" s="4" t="s">
        <v>144</v>
      </c>
      <c r="J1920" s="4" t="s">
        <v>255</v>
      </c>
      <c r="K1920" s="4" t="s">
        <v>1729</v>
      </c>
      <c r="L1920" s="5">
        <v>0.34027777777777773</v>
      </c>
      <c r="M1920" s="4" t="s">
        <v>658</v>
      </c>
      <c r="N1920" s="6" t="s">
        <v>23</v>
      </c>
      <c r="O1920" s="4" t="s">
        <v>24</v>
      </c>
    </row>
    <row r="1921" spans="1:15" x14ac:dyDescent="0.25">
      <c r="A1921" s="4" t="s">
        <v>15</v>
      </c>
      <c r="B1921" s="4" t="str">
        <f>"FES1162751483"</f>
        <v>FES1162751483</v>
      </c>
      <c r="C1921" s="4" t="s">
        <v>1668</v>
      </c>
      <c r="D1921" s="4">
        <v>1</v>
      </c>
      <c r="E1921" s="4" t="str">
        <f>"2170741582"</f>
        <v>2170741582</v>
      </c>
      <c r="F1921" s="4" t="s">
        <v>17</v>
      </c>
      <c r="G1921" s="4" t="s">
        <v>18</v>
      </c>
      <c r="H1921" s="4" t="s">
        <v>85</v>
      </c>
      <c r="I1921" s="4" t="s">
        <v>144</v>
      </c>
      <c r="J1921" s="4" t="s">
        <v>1212</v>
      </c>
      <c r="K1921" s="4" t="s">
        <v>43</v>
      </c>
      <c r="L1921" s="4"/>
      <c r="M1921" s="4" t="s">
        <v>44</v>
      </c>
      <c r="N1921" s="4" t="s">
        <v>1762</v>
      </c>
      <c r="O1921" s="4" t="s">
        <v>24</v>
      </c>
    </row>
    <row r="1922" spans="1:15" x14ac:dyDescent="0.25">
      <c r="A1922" s="4" t="s">
        <v>15</v>
      </c>
      <c r="B1922" s="4" t="str">
        <f>"FES1162751472"</f>
        <v>FES1162751472</v>
      </c>
      <c r="C1922" s="4" t="s">
        <v>1668</v>
      </c>
      <c r="D1922" s="4">
        <v>1</v>
      </c>
      <c r="E1922" s="4" t="str">
        <f>"2170741578"</f>
        <v>2170741578</v>
      </c>
      <c r="F1922" s="4" t="s">
        <v>17</v>
      </c>
      <c r="G1922" s="4" t="s">
        <v>18</v>
      </c>
      <c r="H1922" s="4" t="s">
        <v>48</v>
      </c>
      <c r="I1922" s="4" t="s">
        <v>73</v>
      </c>
      <c r="J1922" s="4" t="s">
        <v>104</v>
      </c>
      <c r="K1922" s="4" t="s">
        <v>43</v>
      </c>
      <c r="L1922" s="4"/>
      <c r="M1922" s="4" t="s">
        <v>44</v>
      </c>
      <c r="N1922" s="4" t="s">
        <v>1762</v>
      </c>
      <c r="O1922" s="4" t="s">
        <v>24</v>
      </c>
    </row>
    <row r="1923" spans="1:15" x14ac:dyDescent="0.25">
      <c r="A1923" s="4" t="s">
        <v>15</v>
      </c>
      <c r="B1923" s="4" t="str">
        <f>"FES1162751404"</f>
        <v>FES1162751404</v>
      </c>
      <c r="C1923" s="4" t="s">
        <v>1668</v>
      </c>
      <c r="D1923" s="4">
        <v>1</v>
      </c>
      <c r="E1923" s="4" t="str">
        <f>"2170739013"</f>
        <v>2170739013</v>
      </c>
      <c r="F1923" s="4" t="s">
        <v>17</v>
      </c>
      <c r="G1923" s="4" t="s">
        <v>18</v>
      </c>
      <c r="H1923" s="4" t="s">
        <v>32</v>
      </c>
      <c r="I1923" s="4" t="s">
        <v>33</v>
      </c>
      <c r="J1923" s="4" t="s">
        <v>34</v>
      </c>
      <c r="K1923" s="4" t="s">
        <v>43</v>
      </c>
      <c r="L1923" s="4"/>
      <c r="M1923" s="4" t="s">
        <v>44</v>
      </c>
      <c r="N1923" s="4" t="s">
        <v>1762</v>
      </c>
      <c r="O1923" s="4" t="s">
        <v>24</v>
      </c>
    </row>
    <row r="1924" spans="1:15" x14ac:dyDescent="0.25">
      <c r="A1924" s="4" t="s">
        <v>15</v>
      </c>
      <c r="B1924" s="4" t="str">
        <f>"FES1162751477"</f>
        <v>FES1162751477</v>
      </c>
      <c r="C1924" s="4" t="s">
        <v>1668</v>
      </c>
      <c r="D1924" s="4">
        <v>1</v>
      </c>
      <c r="E1924" s="4" t="str">
        <f>"21704710585"</f>
        <v>21704710585</v>
      </c>
      <c r="F1924" s="4" t="s">
        <v>17</v>
      </c>
      <c r="G1924" s="4" t="s">
        <v>18</v>
      </c>
      <c r="H1924" s="4" t="s">
        <v>85</v>
      </c>
      <c r="I1924" s="4" t="s">
        <v>152</v>
      </c>
      <c r="J1924" s="4" t="s">
        <v>810</v>
      </c>
      <c r="K1924" s="4" t="s">
        <v>1729</v>
      </c>
      <c r="L1924" s="5">
        <v>0.33958333333333335</v>
      </c>
      <c r="M1924" s="4" t="s">
        <v>240</v>
      </c>
      <c r="N1924" s="6" t="s">
        <v>23</v>
      </c>
      <c r="O1924" s="4" t="s">
        <v>24</v>
      </c>
    </row>
    <row r="1925" spans="1:15" x14ac:dyDescent="0.25">
      <c r="A1925" s="4" t="s">
        <v>15</v>
      </c>
      <c r="B1925" s="4" t="str">
        <f>"FES1162751423"</f>
        <v>FES1162751423</v>
      </c>
      <c r="C1925" s="4" t="s">
        <v>1668</v>
      </c>
      <c r="D1925" s="4">
        <v>1</v>
      </c>
      <c r="E1925" s="4" t="str">
        <f>"2170741945"</f>
        <v>2170741945</v>
      </c>
      <c r="F1925" s="4" t="s">
        <v>17</v>
      </c>
      <c r="G1925" s="4" t="s">
        <v>18</v>
      </c>
      <c r="H1925" s="4" t="s">
        <v>85</v>
      </c>
      <c r="I1925" s="4" t="s">
        <v>86</v>
      </c>
      <c r="J1925" s="4" t="s">
        <v>87</v>
      </c>
      <c r="K1925" s="4" t="s">
        <v>43</v>
      </c>
      <c r="L1925" s="4"/>
      <c r="M1925" s="4" t="s">
        <v>44</v>
      </c>
      <c r="N1925" s="4" t="s">
        <v>1762</v>
      </c>
      <c r="O1925" s="4" t="s">
        <v>24</v>
      </c>
    </row>
    <row r="1926" spans="1:15" x14ac:dyDescent="0.25">
      <c r="A1926" s="4" t="s">
        <v>15</v>
      </c>
      <c r="B1926" s="4" t="str">
        <f>"FES1162751449"</f>
        <v>FES1162751449</v>
      </c>
      <c r="C1926" s="4" t="s">
        <v>1668</v>
      </c>
      <c r="D1926" s="4">
        <v>1</v>
      </c>
      <c r="E1926" s="4" t="str">
        <f>"217041577"</f>
        <v>217041577</v>
      </c>
      <c r="F1926" s="4" t="s">
        <v>17</v>
      </c>
      <c r="G1926" s="4" t="s">
        <v>18</v>
      </c>
      <c r="H1926" s="4" t="s">
        <v>85</v>
      </c>
      <c r="I1926" s="4" t="s">
        <v>144</v>
      </c>
      <c r="J1926" s="4" t="s">
        <v>1373</v>
      </c>
      <c r="K1926" s="4" t="s">
        <v>43</v>
      </c>
      <c r="L1926" s="4"/>
      <c r="M1926" s="4" t="s">
        <v>44</v>
      </c>
      <c r="N1926" s="4" t="s">
        <v>1762</v>
      </c>
      <c r="O1926" s="4" t="s">
        <v>24</v>
      </c>
    </row>
    <row r="1927" spans="1:15" x14ac:dyDescent="0.25">
      <c r="A1927" s="4" t="s">
        <v>15</v>
      </c>
      <c r="B1927" s="4" t="str">
        <f>"FES1162751470"</f>
        <v>FES1162751470</v>
      </c>
      <c r="C1927" s="4" t="s">
        <v>1668</v>
      </c>
      <c r="D1927" s="4">
        <v>1</v>
      </c>
      <c r="E1927" s="4" t="str">
        <f>"217041529"</f>
        <v>217041529</v>
      </c>
      <c r="F1927" s="4" t="s">
        <v>17</v>
      </c>
      <c r="G1927" s="4" t="s">
        <v>18</v>
      </c>
      <c r="H1927" s="4" t="s">
        <v>85</v>
      </c>
      <c r="I1927" s="4" t="s">
        <v>144</v>
      </c>
      <c r="J1927" s="4" t="s">
        <v>255</v>
      </c>
      <c r="K1927" s="4" t="s">
        <v>1729</v>
      </c>
      <c r="L1927" s="5">
        <v>0.34027777777777773</v>
      </c>
      <c r="M1927" s="4" t="s">
        <v>658</v>
      </c>
      <c r="N1927" s="6" t="s">
        <v>23</v>
      </c>
      <c r="O1927" s="4" t="s">
        <v>24</v>
      </c>
    </row>
    <row r="1928" spans="1:15" x14ac:dyDescent="0.25">
      <c r="A1928" s="4" t="s">
        <v>15</v>
      </c>
      <c r="B1928" s="4" t="str">
        <f>"FES1162751440"</f>
        <v>FES1162751440</v>
      </c>
      <c r="C1928" s="4" t="s">
        <v>1668</v>
      </c>
      <c r="D1928" s="4">
        <v>1</v>
      </c>
      <c r="E1928" s="4" t="str">
        <f>"217041567"</f>
        <v>217041567</v>
      </c>
      <c r="F1928" s="4" t="s">
        <v>17</v>
      </c>
      <c r="G1928" s="4" t="s">
        <v>18</v>
      </c>
      <c r="H1928" s="4" t="s">
        <v>40</v>
      </c>
      <c r="I1928" s="4" t="s">
        <v>41</v>
      </c>
      <c r="J1928" s="4" t="s">
        <v>99</v>
      </c>
      <c r="K1928" s="4" t="s">
        <v>1729</v>
      </c>
      <c r="L1928" s="5">
        <v>0.34861111111111115</v>
      </c>
      <c r="M1928" s="4" t="s">
        <v>1734</v>
      </c>
      <c r="N1928" s="6" t="s">
        <v>23</v>
      </c>
      <c r="O1928" s="4" t="s">
        <v>24</v>
      </c>
    </row>
    <row r="1929" spans="1:15" x14ac:dyDescent="0.25">
      <c r="A1929" s="4" t="s">
        <v>15</v>
      </c>
      <c r="B1929" s="4" t="str">
        <f>"FES1162751409"</f>
        <v>FES1162751409</v>
      </c>
      <c r="C1929" s="4" t="s">
        <v>1668</v>
      </c>
      <c r="D1929" s="4">
        <v>1</v>
      </c>
      <c r="E1929" s="4" t="str">
        <f>"21704108"</f>
        <v>21704108</v>
      </c>
      <c r="F1929" s="4" t="s">
        <v>17</v>
      </c>
      <c r="G1929" s="4" t="s">
        <v>18</v>
      </c>
      <c r="H1929" s="4" t="s">
        <v>85</v>
      </c>
      <c r="I1929" s="4" t="s">
        <v>144</v>
      </c>
      <c r="J1929" s="4" t="s">
        <v>210</v>
      </c>
      <c r="K1929" s="4" t="s">
        <v>1729</v>
      </c>
      <c r="L1929" s="5">
        <v>0.36527777777777781</v>
      </c>
      <c r="M1929" s="4" t="s">
        <v>1717</v>
      </c>
      <c r="N1929" s="6" t="s">
        <v>23</v>
      </c>
      <c r="O1929" s="4" t="s">
        <v>24</v>
      </c>
    </row>
    <row r="1930" spans="1:15" x14ac:dyDescent="0.25">
      <c r="A1930" s="4" t="s">
        <v>15</v>
      </c>
      <c r="B1930" s="4" t="str">
        <f>"FES1162751407"</f>
        <v>FES1162751407</v>
      </c>
      <c r="C1930" s="4" t="s">
        <v>1668</v>
      </c>
      <c r="D1930" s="4">
        <v>1</v>
      </c>
      <c r="E1930" s="4" t="str">
        <f>"2170739702"</f>
        <v>2170739702</v>
      </c>
      <c r="F1930" s="4" t="s">
        <v>17</v>
      </c>
      <c r="G1930" s="4" t="s">
        <v>18</v>
      </c>
      <c r="H1930" s="4" t="s">
        <v>36</v>
      </c>
      <c r="I1930" s="4" t="s">
        <v>842</v>
      </c>
      <c r="J1930" s="4" t="s">
        <v>1078</v>
      </c>
      <c r="K1930" s="4" t="s">
        <v>43</v>
      </c>
      <c r="L1930" s="4"/>
      <c r="M1930" s="4" t="s">
        <v>44</v>
      </c>
      <c r="N1930" s="4" t="s">
        <v>1762</v>
      </c>
      <c r="O1930" s="4" t="s">
        <v>24</v>
      </c>
    </row>
    <row r="1931" spans="1:15" x14ac:dyDescent="0.25">
      <c r="A1931" s="4" t="s">
        <v>15</v>
      </c>
      <c r="B1931" s="4" t="str">
        <f>"FES1162751566"</f>
        <v>FES1162751566</v>
      </c>
      <c r="C1931" s="4" t="s">
        <v>1668</v>
      </c>
      <c r="D1931" s="4">
        <v>1</v>
      </c>
      <c r="E1931" s="4" t="str">
        <f>"2170740174"</f>
        <v>2170740174</v>
      </c>
      <c r="F1931" s="4" t="s">
        <v>17</v>
      </c>
      <c r="G1931" s="4" t="s">
        <v>18</v>
      </c>
      <c r="H1931" s="4" t="s">
        <v>85</v>
      </c>
      <c r="I1931" s="4" t="s">
        <v>207</v>
      </c>
      <c r="J1931" s="4" t="s">
        <v>811</v>
      </c>
      <c r="K1931" s="4" t="s">
        <v>43</v>
      </c>
      <c r="L1931" s="4"/>
      <c r="M1931" s="4" t="s">
        <v>44</v>
      </c>
      <c r="N1931" s="4" t="s">
        <v>1762</v>
      </c>
      <c r="O1931" s="4" t="s">
        <v>24</v>
      </c>
    </row>
    <row r="1932" spans="1:15" x14ac:dyDescent="0.25">
      <c r="A1932" s="4" t="s">
        <v>15</v>
      </c>
      <c r="B1932" s="4" t="str">
        <f>"FES1162751543"</f>
        <v>FES1162751543</v>
      </c>
      <c r="C1932" s="4" t="s">
        <v>1668</v>
      </c>
      <c r="D1932" s="4">
        <v>1</v>
      </c>
      <c r="E1932" s="4" t="str">
        <f>"2170740072"</f>
        <v>2170740072</v>
      </c>
      <c r="F1932" s="4" t="s">
        <v>17</v>
      </c>
      <c r="G1932" s="4" t="s">
        <v>18</v>
      </c>
      <c r="H1932" s="4" t="s">
        <v>85</v>
      </c>
      <c r="I1932" s="4" t="s">
        <v>144</v>
      </c>
      <c r="J1932" s="4" t="s">
        <v>593</v>
      </c>
      <c r="K1932" s="4" t="s">
        <v>43</v>
      </c>
      <c r="L1932" s="4"/>
      <c r="M1932" s="4" t="s">
        <v>44</v>
      </c>
      <c r="N1932" s="4" t="s">
        <v>1762</v>
      </c>
      <c r="O1932" s="4" t="s">
        <v>24</v>
      </c>
    </row>
    <row r="1933" spans="1:15" x14ac:dyDescent="0.25">
      <c r="A1933" s="4" t="s">
        <v>15</v>
      </c>
      <c r="B1933" s="4" t="str">
        <f>"FES1162751540"</f>
        <v>FES1162751540</v>
      </c>
      <c r="C1933" s="4" t="s">
        <v>1668</v>
      </c>
      <c r="D1933" s="4">
        <v>1</v>
      </c>
      <c r="E1933" s="4" t="str">
        <f>"217040053"</f>
        <v>217040053</v>
      </c>
      <c r="F1933" s="4" t="s">
        <v>17</v>
      </c>
      <c r="G1933" s="4" t="s">
        <v>18</v>
      </c>
      <c r="H1933" s="4" t="s">
        <v>85</v>
      </c>
      <c r="I1933" s="4" t="s">
        <v>144</v>
      </c>
      <c r="J1933" s="4" t="s">
        <v>255</v>
      </c>
      <c r="K1933" s="4" t="s">
        <v>1729</v>
      </c>
      <c r="L1933" s="5">
        <v>0.34027777777777773</v>
      </c>
      <c r="M1933" s="4" t="s">
        <v>658</v>
      </c>
      <c r="N1933" s="6" t="s">
        <v>23</v>
      </c>
      <c r="O1933" s="4" t="s">
        <v>24</v>
      </c>
    </row>
    <row r="1934" spans="1:15" x14ac:dyDescent="0.25">
      <c r="A1934" s="4" t="s">
        <v>15</v>
      </c>
      <c r="B1934" s="4" t="str">
        <f>"FES1162751514"</f>
        <v>FES1162751514</v>
      </c>
      <c r="C1934" s="4" t="s">
        <v>1668</v>
      </c>
      <c r="D1934" s="4">
        <v>1</v>
      </c>
      <c r="E1934" s="4" t="str">
        <f>"217041634"</f>
        <v>217041634</v>
      </c>
      <c r="F1934" s="4" t="s">
        <v>17</v>
      </c>
      <c r="G1934" s="4" t="s">
        <v>18</v>
      </c>
      <c r="H1934" s="4" t="s">
        <v>85</v>
      </c>
      <c r="I1934" s="4" t="s">
        <v>152</v>
      </c>
      <c r="J1934" s="4" t="s">
        <v>371</v>
      </c>
      <c r="K1934" s="4" t="s">
        <v>43</v>
      </c>
      <c r="L1934" s="4"/>
      <c r="M1934" s="4" t="s">
        <v>44</v>
      </c>
      <c r="N1934" s="4" t="s">
        <v>1762</v>
      </c>
      <c r="O1934" s="4" t="s">
        <v>24</v>
      </c>
    </row>
    <row r="1935" spans="1:15" x14ac:dyDescent="0.25">
      <c r="A1935" s="4" t="s">
        <v>15</v>
      </c>
      <c r="B1935" s="4" t="str">
        <f>"FES1162751459"</f>
        <v>FES1162751459</v>
      </c>
      <c r="C1935" s="4" t="s">
        <v>1668</v>
      </c>
      <c r="D1935" s="4">
        <v>1</v>
      </c>
      <c r="E1935" s="4" t="str">
        <f>"2170740104"</f>
        <v>2170740104</v>
      </c>
      <c r="F1935" s="4" t="s">
        <v>17</v>
      </c>
      <c r="G1935" s="4" t="s">
        <v>18</v>
      </c>
      <c r="H1935" s="4" t="s">
        <v>85</v>
      </c>
      <c r="I1935" s="4" t="s">
        <v>86</v>
      </c>
      <c r="J1935" s="4" t="s">
        <v>87</v>
      </c>
      <c r="K1935" s="4" t="s">
        <v>43</v>
      </c>
      <c r="L1935" s="4"/>
      <c r="M1935" s="4" t="s">
        <v>44</v>
      </c>
      <c r="N1935" s="4" t="s">
        <v>1762</v>
      </c>
      <c r="O1935" s="4" t="s">
        <v>24</v>
      </c>
    </row>
    <row r="1936" spans="1:15" x14ac:dyDescent="0.25">
      <c r="A1936" s="4" t="s">
        <v>15</v>
      </c>
      <c r="B1936" s="4" t="str">
        <f>"FES1162751646"</f>
        <v>FES1162751646</v>
      </c>
      <c r="C1936" s="4" t="s">
        <v>1668</v>
      </c>
      <c r="D1936" s="4">
        <v>1</v>
      </c>
      <c r="E1936" s="4" t="str">
        <f>"21701369"</f>
        <v>21701369</v>
      </c>
      <c r="F1936" s="4" t="s">
        <v>17</v>
      </c>
      <c r="G1936" s="4" t="s">
        <v>18</v>
      </c>
      <c r="H1936" s="4" t="s">
        <v>18</v>
      </c>
      <c r="I1936" s="4" t="s">
        <v>89</v>
      </c>
      <c r="J1936" s="4" t="s">
        <v>90</v>
      </c>
      <c r="K1936" s="4" t="s">
        <v>43</v>
      </c>
      <c r="L1936" s="4"/>
      <c r="M1936" s="4" t="s">
        <v>44</v>
      </c>
      <c r="N1936" s="4" t="s">
        <v>1762</v>
      </c>
      <c r="O1936" s="4" t="s">
        <v>24</v>
      </c>
    </row>
    <row r="1937" spans="1:15" x14ac:dyDescent="0.25">
      <c r="A1937" s="4" t="s">
        <v>15</v>
      </c>
      <c r="B1937" s="4" t="str">
        <f>"FES1162751622"</f>
        <v>FES1162751622</v>
      </c>
      <c r="C1937" s="4" t="s">
        <v>1668</v>
      </c>
      <c r="D1937" s="4">
        <v>1</v>
      </c>
      <c r="E1937" s="4" t="str">
        <f>"2170740593"</f>
        <v>2170740593</v>
      </c>
      <c r="F1937" s="4" t="s">
        <v>17</v>
      </c>
      <c r="G1937" s="4" t="s">
        <v>18</v>
      </c>
      <c r="H1937" s="4" t="s">
        <v>40</v>
      </c>
      <c r="I1937" s="4" t="s">
        <v>41</v>
      </c>
      <c r="J1937" s="4" t="s">
        <v>99</v>
      </c>
      <c r="K1937" s="4" t="s">
        <v>43</v>
      </c>
      <c r="L1937" s="4"/>
      <c r="M1937" s="4" t="s">
        <v>44</v>
      </c>
      <c r="N1937" s="4" t="s">
        <v>1762</v>
      </c>
      <c r="O1937" s="4" t="s">
        <v>24</v>
      </c>
    </row>
    <row r="1938" spans="1:15" x14ac:dyDescent="0.25">
      <c r="A1938" s="4" t="s">
        <v>15</v>
      </c>
      <c r="B1938" s="4" t="str">
        <f>"FES1162751572"</f>
        <v>FES1162751572</v>
      </c>
      <c r="C1938" s="4" t="s">
        <v>1668</v>
      </c>
      <c r="D1938" s="4">
        <v>1</v>
      </c>
      <c r="E1938" s="4" t="str">
        <f>"2170740200"</f>
        <v>2170740200</v>
      </c>
      <c r="F1938" s="4" t="s">
        <v>17</v>
      </c>
      <c r="G1938" s="4" t="s">
        <v>18</v>
      </c>
      <c r="H1938" s="4" t="s">
        <v>18</v>
      </c>
      <c r="I1938" s="4" t="s">
        <v>97</v>
      </c>
      <c r="J1938" s="4" t="s">
        <v>806</v>
      </c>
      <c r="K1938" s="4" t="s">
        <v>43</v>
      </c>
      <c r="L1938" s="4"/>
      <c r="M1938" s="4" t="s">
        <v>44</v>
      </c>
      <c r="N1938" s="4" t="s">
        <v>1762</v>
      </c>
      <c r="O1938" s="4" t="s">
        <v>24</v>
      </c>
    </row>
    <row r="1939" spans="1:15" x14ac:dyDescent="0.25">
      <c r="A1939" s="4" t="s">
        <v>15</v>
      </c>
      <c r="B1939" s="4" t="str">
        <f>"FES1162751624"</f>
        <v>FES1162751624</v>
      </c>
      <c r="C1939" s="4" t="s">
        <v>1668</v>
      </c>
      <c r="D1939" s="4">
        <v>1</v>
      </c>
      <c r="E1939" s="4" t="str">
        <f>"217040608"</f>
        <v>217040608</v>
      </c>
      <c r="F1939" s="4" t="s">
        <v>17</v>
      </c>
      <c r="G1939" s="4" t="s">
        <v>18</v>
      </c>
      <c r="H1939" s="4" t="s">
        <v>85</v>
      </c>
      <c r="I1939" s="4" t="s">
        <v>850</v>
      </c>
      <c r="J1939" s="4" t="s">
        <v>849</v>
      </c>
      <c r="K1939" s="4" t="s">
        <v>43</v>
      </c>
      <c r="L1939" s="4"/>
      <c r="M1939" s="4" t="s">
        <v>44</v>
      </c>
      <c r="N1939" s="4" t="s">
        <v>1762</v>
      </c>
      <c r="O1939" s="4" t="s">
        <v>24</v>
      </c>
    </row>
    <row r="1940" spans="1:15" x14ac:dyDescent="0.25">
      <c r="A1940" s="4" t="s">
        <v>15</v>
      </c>
      <c r="B1940" s="4" t="str">
        <f>"FES1162751482"</f>
        <v>FES1162751482</v>
      </c>
      <c r="C1940" s="4" t="s">
        <v>1668</v>
      </c>
      <c r="D1940" s="4">
        <v>1</v>
      </c>
      <c r="E1940" s="4" t="str">
        <f>"2170741581"</f>
        <v>2170741581</v>
      </c>
      <c r="F1940" s="4" t="s">
        <v>17</v>
      </c>
      <c r="G1940" s="4" t="s">
        <v>18</v>
      </c>
      <c r="H1940" s="4" t="s">
        <v>18</v>
      </c>
      <c r="I1940" s="4" t="s">
        <v>19</v>
      </c>
      <c r="J1940" s="4" t="s">
        <v>270</v>
      </c>
      <c r="K1940" s="4" t="s">
        <v>43</v>
      </c>
      <c r="L1940" s="4"/>
      <c r="M1940" s="4" t="s">
        <v>44</v>
      </c>
      <c r="N1940" s="4" t="s">
        <v>1762</v>
      </c>
      <c r="O1940" s="4" t="s">
        <v>24</v>
      </c>
    </row>
    <row r="1941" spans="1:15" x14ac:dyDescent="0.25">
      <c r="A1941" s="4" t="s">
        <v>15</v>
      </c>
      <c r="B1941" s="4" t="str">
        <f>"FES1162751463"</f>
        <v>FES1162751463</v>
      </c>
      <c r="C1941" s="4" t="s">
        <v>1668</v>
      </c>
      <c r="D1941" s="4">
        <v>1</v>
      </c>
      <c r="E1941" s="4" t="str">
        <f>"2170738275"</f>
        <v>2170738275</v>
      </c>
      <c r="F1941" s="4" t="s">
        <v>17</v>
      </c>
      <c r="G1941" s="4" t="s">
        <v>18</v>
      </c>
      <c r="H1941" s="4" t="s">
        <v>18</v>
      </c>
      <c r="I1941" s="4" t="s">
        <v>68</v>
      </c>
      <c r="J1941" s="4" t="s">
        <v>1750</v>
      </c>
      <c r="K1941" s="4" t="s">
        <v>43</v>
      </c>
      <c r="L1941" s="4"/>
      <c r="M1941" s="4" t="s">
        <v>44</v>
      </c>
      <c r="N1941" s="4" t="s">
        <v>1762</v>
      </c>
      <c r="O1941" s="4" t="s">
        <v>24</v>
      </c>
    </row>
    <row r="1942" spans="1:15" x14ac:dyDescent="0.25">
      <c r="A1942" s="4" t="s">
        <v>15</v>
      </c>
      <c r="B1942" s="4" t="str">
        <f>"FES1162751707"</f>
        <v>FES1162751707</v>
      </c>
      <c r="C1942" s="4" t="s">
        <v>1668</v>
      </c>
      <c r="D1942" s="4">
        <v>1</v>
      </c>
      <c r="E1942" s="4" t="str">
        <f>"2170417240"</f>
        <v>2170417240</v>
      </c>
      <c r="F1942" s="4" t="s">
        <v>17</v>
      </c>
      <c r="G1942" s="4" t="s">
        <v>18</v>
      </c>
      <c r="H1942" s="4" t="s">
        <v>85</v>
      </c>
      <c r="I1942" s="4" t="s">
        <v>144</v>
      </c>
      <c r="J1942" s="4" t="s">
        <v>407</v>
      </c>
      <c r="K1942" s="4" t="s">
        <v>43</v>
      </c>
      <c r="L1942" s="4"/>
      <c r="M1942" s="4" t="s">
        <v>44</v>
      </c>
      <c r="N1942" s="4" t="s">
        <v>1762</v>
      </c>
      <c r="O1942" s="4" t="s">
        <v>24</v>
      </c>
    </row>
    <row r="1943" spans="1:15" x14ac:dyDescent="0.25">
      <c r="A1943" s="4" t="s">
        <v>15</v>
      </c>
      <c r="B1943" s="4" t="str">
        <f>"FES1162751659"</f>
        <v>FES1162751659</v>
      </c>
      <c r="C1943" s="4" t="s">
        <v>1668</v>
      </c>
      <c r="D1943" s="4">
        <v>1</v>
      </c>
      <c r="E1943" s="4" t="str">
        <f>"217041654"</f>
        <v>217041654</v>
      </c>
      <c r="F1943" s="4" t="s">
        <v>17</v>
      </c>
      <c r="G1943" s="4" t="s">
        <v>18</v>
      </c>
      <c r="H1943" s="4" t="s">
        <v>85</v>
      </c>
      <c r="I1943" s="4" t="s">
        <v>152</v>
      </c>
      <c r="J1943" s="4" t="s">
        <v>810</v>
      </c>
      <c r="K1943" s="4" t="s">
        <v>1729</v>
      </c>
      <c r="L1943" s="5">
        <v>0.33958333333333335</v>
      </c>
      <c r="M1943" s="4" t="s">
        <v>240</v>
      </c>
      <c r="N1943" s="6" t="s">
        <v>23</v>
      </c>
      <c r="O1943" s="4" t="s">
        <v>24</v>
      </c>
    </row>
    <row r="1944" spans="1:15" x14ac:dyDescent="0.25">
      <c r="A1944" s="4" t="s">
        <v>15</v>
      </c>
      <c r="B1944" s="4" t="str">
        <f>"FES1162751655"</f>
        <v>FES1162751655</v>
      </c>
      <c r="C1944" s="4" t="s">
        <v>1668</v>
      </c>
      <c r="D1944" s="4">
        <v>1</v>
      </c>
      <c r="E1944" s="4" t="str">
        <f>"21704618"</f>
        <v>21704618</v>
      </c>
      <c r="F1944" s="4" t="s">
        <v>17</v>
      </c>
      <c r="G1944" s="4" t="s">
        <v>18</v>
      </c>
      <c r="H1944" s="4" t="s">
        <v>85</v>
      </c>
      <c r="I1944" s="4" t="s">
        <v>207</v>
      </c>
      <c r="J1944" s="4" t="s">
        <v>245</v>
      </c>
      <c r="K1944" s="4" t="s">
        <v>1729</v>
      </c>
      <c r="L1944" s="5">
        <v>0.35347222222222219</v>
      </c>
      <c r="M1944" s="4" t="s">
        <v>909</v>
      </c>
      <c r="N1944" s="6" t="s">
        <v>23</v>
      </c>
      <c r="O1944" s="4" t="s">
        <v>24</v>
      </c>
    </row>
    <row r="1945" spans="1:15" x14ac:dyDescent="0.25">
      <c r="A1945" s="4" t="s">
        <v>15</v>
      </c>
      <c r="B1945" s="4" t="str">
        <f>"FES1162751692"</f>
        <v>FES1162751692</v>
      </c>
      <c r="C1945" s="4" t="s">
        <v>1668</v>
      </c>
      <c r="D1945" s="4">
        <v>1</v>
      </c>
      <c r="E1945" s="4" t="str">
        <f>"217041702"</f>
        <v>217041702</v>
      </c>
      <c r="F1945" s="4" t="s">
        <v>17</v>
      </c>
      <c r="G1945" s="4" t="s">
        <v>18</v>
      </c>
      <c r="H1945" s="4" t="s">
        <v>40</v>
      </c>
      <c r="I1945" s="4" t="s">
        <v>41</v>
      </c>
      <c r="J1945" s="4" t="s">
        <v>852</v>
      </c>
      <c r="K1945" s="4" t="s">
        <v>43</v>
      </c>
      <c r="L1945" s="4"/>
      <c r="M1945" s="4" t="s">
        <v>44</v>
      </c>
      <c r="N1945" s="4" t="s">
        <v>1762</v>
      </c>
      <c r="O1945" s="4" t="s">
        <v>24</v>
      </c>
    </row>
    <row r="1946" spans="1:15" x14ac:dyDescent="0.25">
      <c r="A1946" s="4" t="s">
        <v>15</v>
      </c>
      <c r="B1946" s="4" t="str">
        <f>"FES1162751709"</f>
        <v>FES1162751709</v>
      </c>
      <c r="C1946" s="4" t="s">
        <v>1668</v>
      </c>
      <c r="D1946" s="4">
        <v>1</v>
      </c>
      <c r="E1946" s="4" t="str">
        <f>"217041727"</f>
        <v>217041727</v>
      </c>
      <c r="F1946" s="4" t="s">
        <v>17</v>
      </c>
      <c r="G1946" s="4" t="s">
        <v>18</v>
      </c>
      <c r="H1946" s="4" t="s">
        <v>85</v>
      </c>
      <c r="I1946" s="4" t="s">
        <v>362</v>
      </c>
      <c r="J1946" s="4" t="s">
        <v>363</v>
      </c>
      <c r="K1946" s="4" t="s">
        <v>1729</v>
      </c>
      <c r="L1946" s="5">
        <v>0.3444444444444445</v>
      </c>
      <c r="M1946" s="4" t="s">
        <v>1751</v>
      </c>
      <c r="N1946" s="6" t="s">
        <v>23</v>
      </c>
      <c r="O1946" s="4" t="s">
        <v>24</v>
      </c>
    </row>
    <row r="1947" spans="1:15" x14ac:dyDescent="0.25">
      <c r="A1947" s="4" t="s">
        <v>15</v>
      </c>
      <c r="B1947" s="4" t="str">
        <f>"FES1162751702"</f>
        <v>FES1162751702</v>
      </c>
      <c r="C1947" s="4" t="s">
        <v>1668</v>
      </c>
      <c r="D1947" s="4">
        <v>1</v>
      </c>
      <c r="E1947" s="4" t="str">
        <f>"217041718"</f>
        <v>217041718</v>
      </c>
      <c r="F1947" s="4" t="s">
        <v>17</v>
      </c>
      <c r="G1947" s="4" t="s">
        <v>18</v>
      </c>
      <c r="H1947" s="4" t="s">
        <v>40</v>
      </c>
      <c r="I1947" s="4" t="s">
        <v>41</v>
      </c>
      <c r="J1947" s="4" t="s">
        <v>221</v>
      </c>
      <c r="K1947" s="4" t="s">
        <v>43</v>
      </c>
      <c r="L1947" s="4"/>
      <c r="M1947" s="4" t="s">
        <v>44</v>
      </c>
      <c r="N1947" s="4" t="s">
        <v>1762</v>
      </c>
      <c r="O1947" s="4" t="s">
        <v>24</v>
      </c>
    </row>
    <row r="1948" spans="1:15" x14ac:dyDescent="0.25">
      <c r="A1948" s="4" t="s">
        <v>15</v>
      </c>
      <c r="B1948" s="4" t="str">
        <f>"FES1162751654"</f>
        <v>FES1162751654</v>
      </c>
      <c r="C1948" s="4" t="s">
        <v>1668</v>
      </c>
      <c r="D1948" s="4">
        <v>1</v>
      </c>
      <c r="E1948" s="4" t="str">
        <f>"2170741657"</f>
        <v>2170741657</v>
      </c>
      <c r="F1948" s="4" t="s">
        <v>17</v>
      </c>
      <c r="G1948" s="4" t="s">
        <v>18</v>
      </c>
      <c r="H1948" s="4" t="s">
        <v>48</v>
      </c>
      <c r="I1948" s="4" t="s">
        <v>49</v>
      </c>
      <c r="J1948" s="4" t="s">
        <v>1496</v>
      </c>
      <c r="K1948" s="4" t="s">
        <v>1729</v>
      </c>
      <c r="L1948" s="5">
        <v>0.31736111111111115</v>
      </c>
      <c r="M1948" s="4" t="s">
        <v>1752</v>
      </c>
      <c r="N1948" s="6" t="s">
        <v>23</v>
      </c>
      <c r="O1948" s="4" t="s">
        <v>24</v>
      </c>
    </row>
    <row r="1949" spans="1:15" x14ac:dyDescent="0.25">
      <c r="A1949" s="4" t="s">
        <v>15</v>
      </c>
      <c r="B1949" s="4" t="str">
        <f>"FES1162751687"</f>
        <v>FES1162751687</v>
      </c>
      <c r="C1949" s="4" t="s">
        <v>1668</v>
      </c>
      <c r="D1949" s="4">
        <v>1</v>
      </c>
      <c r="E1949" s="4" t="str">
        <f>"2170741332"</f>
        <v>2170741332</v>
      </c>
      <c r="F1949" s="4" t="s">
        <v>17</v>
      </c>
      <c r="G1949" s="4" t="s">
        <v>18</v>
      </c>
      <c r="H1949" s="4" t="s">
        <v>48</v>
      </c>
      <c r="I1949" s="4" t="s">
        <v>49</v>
      </c>
      <c r="J1949" s="4" t="s">
        <v>263</v>
      </c>
      <c r="K1949" s="4" t="s">
        <v>1729</v>
      </c>
      <c r="L1949" s="5">
        <v>0.3430555555555555</v>
      </c>
      <c r="M1949" s="4" t="s">
        <v>264</v>
      </c>
      <c r="N1949" s="6" t="s">
        <v>23</v>
      </c>
      <c r="O1949" s="4" t="s">
        <v>24</v>
      </c>
    </row>
    <row r="1950" spans="1:15" x14ac:dyDescent="0.25">
      <c r="A1950" s="4" t="s">
        <v>15</v>
      </c>
      <c r="B1950" s="4" t="str">
        <f>"FES1162751682"</f>
        <v>FES1162751682</v>
      </c>
      <c r="C1950" s="4" t="s">
        <v>1668</v>
      </c>
      <c r="D1950" s="4">
        <v>1</v>
      </c>
      <c r="E1950" s="4" t="str">
        <f>"2170741351"</f>
        <v>2170741351</v>
      </c>
      <c r="F1950" s="4" t="s">
        <v>17</v>
      </c>
      <c r="G1950" s="4" t="s">
        <v>18</v>
      </c>
      <c r="H1950" s="4" t="s">
        <v>48</v>
      </c>
      <c r="I1950" s="4" t="s">
        <v>49</v>
      </c>
      <c r="J1950" s="4" t="s">
        <v>548</v>
      </c>
      <c r="K1950" s="4" t="s">
        <v>43</v>
      </c>
      <c r="L1950" s="4"/>
      <c r="M1950" s="4" t="s">
        <v>44</v>
      </c>
      <c r="N1950" s="4" t="s">
        <v>1762</v>
      </c>
      <c r="O1950" s="4" t="s">
        <v>24</v>
      </c>
    </row>
    <row r="1951" spans="1:15" x14ac:dyDescent="0.25">
      <c r="A1951" s="4" t="s">
        <v>15</v>
      </c>
      <c r="B1951" s="4" t="str">
        <f>"FES1162751607"</f>
        <v>FES1162751607</v>
      </c>
      <c r="C1951" s="4" t="s">
        <v>1668</v>
      </c>
      <c r="D1951" s="4">
        <v>1</v>
      </c>
      <c r="E1951" s="4" t="str">
        <f>"2170740489"</f>
        <v>2170740489</v>
      </c>
      <c r="F1951" s="4" t="s">
        <v>17</v>
      </c>
      <c r="G1951" s="4" t="s">
        <v>18</v>
      </c>
      <c r="H1951" s="4" t="s">
        <v>18</v>
      </c>
      <c r="I1951" s="4" t="s">
        <v>97</v>
      </c>
      <c r="J1951" s="4" t="s">
        <v>588</v>
      </c>
      <c r="K1951" s="4" t="s">
        <v>43</v>
      </c>
      <c r="L1951" s="4"/>
      <c r="M1951" s="4" t="s">
        <v>44</v>
      </c>
      <c r="N1951" s="4" t="s">
        <v>1762</v>
      </c>
      <c r="O1951" s="4" t="s">
        <v>24</v>
      </c>
    </row>
    <row r="1952" spans="1:15" x14ac:dyDescent="0.25">
      <c r="A1952" s="4" t="s">
        <v>15</v>
      </c>
      <c r="B1952" s="4" t="str">
        <f>"FES1162751418"</f>
        <v>FES1162751418</v>
      </c>
      <c r="C1952" s="4" t="s">
        <v>1668</v>
      </c>
      <c r="D1952" s="4">
        <v>1</v>
      </c>
      <c r="E1952" s="4" t="str">
        <f>"2170740489"</f>
        <v>2170740489</v>
      </c>
      <c r="F1952" s="4" t="s">
        <v>17</v>
      </c>
      <c r="G1952" s="4" t="s">
        <v>18</v>
      </c>
      <c r="H1952" s="4" t="s">
        <v>18</v>
      </c>
      <c r="I1952" s="4" t="s">
        <v>97</v>
      </c>
      <c r="J1952" s="4" t="s">
        <v>588</v>
      </c>
      <c r="K1952" s="4" t="s">
        <v>43</v>
      </c>
      <c r="L1952" s="4"/>
      <c r="M1952" s="4" t="s">
        <v>44</v>
      </c>
      <c r="N1952" s="4" t="s">
        <v>1762</v>
      </c>
      <c r="O1952" s="4" t="s">
        <v>24</v>
      </c>
    </row>
    <row r="1953" spans="1:15" x14ac:dyDescent="0.25">
      <c r="A1953" s="4" t="s">
        <v>15</v>
      </c>
      <c r="B1953" s="4" t="str">
        <f>"FES1162751722"</f>
        <v>FES1162751722</v>
      </c>
      <c r="C1953" s="4" t="s">
        <v>1668</v>
      </c>
      <c r="D1953" s="4">
        <v>1</v>
      </c>
      <c r="E1953" s="4" t="str">
        <f>"2170738876"</f>
        <v>2170738876</v>
      </c>
      <c r="F1953" s="4" t="s">
        <v>17</v>
      </c>
      <c r="G1953" s="4" t="s">
        <v>18</v>
      </c>
      <c r="H1953" s="4" t="s">
        <v>48</v>
      </c>
      <c r="I1953" s="4" t="s">
        <v>199</v>
      </c>
      <c r="J1953" s="4" t="s">
        <v>560</v>
      </c>
      <c r="K1953" s="4" t="s">
        <v>43</v>
      </c>
      <c r="L1953" s="4"/>
      <c r="M1953" s="4" t="s">
        <v>44</v>
      </c>
      <c r="N1953" s="4" t="s">
        <v>1762</v>
      </c>
      <c r="O1953" s="4" t="s">
        <v>24</v>
      </c>
    </row>
    <row r="1954" spans="1:15" x14ac:dyDescent="0.25">
      <c r="A1954" s="4" t="s">
        <v>15</v>
      </c>
      <c r="B1954" s="4" t="str">
        <f>"FES1162751567"</f>
        <v>FES1162751567</v>
      </c>
      <c r="C1954" s="4" t="s">
        <v>1668</v>
      </c>
      <c r="D1954" s="4">
        <v>1</v>
      </c>
      <c r="E1954" s="4" t="str">
        <f>"2170740177"</f>
        <v>2170740177</v>
      </c>
      <c r="F1954" s="4" t="s">
        <v>17</v>
      </c>
      <c r="G1954" s="4" t="s">
        <v>18</v>
      </c>
      <c r="H1954" s="4" t="s">
        <v>349</v>
      </c>
      <c r="I1954" s="4" t="s">
        <v>350</v>
      </c>
      <c r="J1954" s="4" t="s">
        <v>351</v>
      </c>
      <c r="K1954" s="4" t="s">
        <v>43</v>
      </c>
      <c r="L1954" s="4"/>
      <c r="M1954" s="4" t="s">
        <v>44</v>
      </c>
      <c r="N1954" s="4" t="s">
        <v>1762</v>
      </c>
      <c r="O1954" s="4" t="s">
        <v>24</v>
      </c>
    </row>
    <row r="1955" spans="1:15" x14ac:dyDescent="0.25">
      <c r="A1955" s="4" t="s">
        <v>15</v>
      </c>
      <c r="B1955" s="4" t="str">
        <f>"FES1162751435"</f>
        <v>FES1162751435</v>
      </c>
      <c r="C1955" s="4" t="s">
        <v>1668</v>
      </c>
      <c r="D1955" s="4">
        <v>1</v>
      </c>
      <c r="E1955" s="4" t="str">
        <f>"2170741562"</f>
        <v>2170741562</v>
      </c>
      <c r="F1955" s="4" t="s">
        <v>17</v>
      </c>
      <c r="G1955" s="4" t="s">
        <v>18</v>
      </c>
      <c r="H1955" s="4" t="s">
        <v>85</v>
      </c>
      <c r="I1955" s="4" t="s">
        <v>144</v>
      </c>
      <c r="J1955" s="4" t="s">
        <v>407</v>
      </c>
      <c r="K1955" s="4" t="s">
        <v>43</v>
      </c>
      <c r="L1955" s="4"/>
      <c r="M1955" s="4" t="s">
        <v>44</v>
      </c>
      <c r="N1955" s="4" t="s">
        <v>1762</v>
      </c>
      <c r="O1955" s="4" t="s">
        <v>24</v>
      </c>
    </row>
    <row r="1956" spans="1:15" x14ac:dyDescent="0.25">
      <c r="A1956" s="4" t="s">
        <v>15</v>
      </c>
      <c r="B1956" s="4" t="str">
        <f>"FES1162751533"</f>
        <v>FES1162751533</v>
      </c>
      <c r="C1956" s="4" t="s">
        <v>1668</v>
      </c>
      <c r="D1956" s="4">
        <v>1</v>
      </c>
      <c r="E1956" s="4" t="str">
        <f>"2170739821"</f>
        <v>2170739821</v>
      </c>
      <c r="F1956" s="4" t="s">
        <v>17</v>
      </c>
      <c r="G1956" s="4" t="s">
        <v>18</v>
      </c>
      <c r="H1956" s="4" t="s">
        <v>18</v>
      </c>
      <c r="I1956" s="4" t="s">
        <v>183</v>
      </c>
      <c r="J1956" s="4" t="s">
        <v>369</v>
      </c>
      <c r="K1956" s="4" t="s">
        <v>43</v>
      </c>
      <c r="L1956" s="4"/>
      <c r="M1956" s="4" t="s">
        <v>44</v>
      </c>
      <c r="N1956" s="4" t="s">
        <v>1762</v>
      </c>
      <c r="O1956" s="4" t="s">
        <v>24</v>
      </c>
    </row>
    <row r="1957" spans="1:15" x14ac:dyDescent="0.25">
      <c r="A1957" s="4" t="s">
        <v>15</v>
      </c>
      <c r="B1957" s="4" t="str">
        <f>"FES1162751530"</f>
        <v>FES1162751530</v>
      </c>
      <c r="C1957" s="4" t="s">
        <v>1668</v>
      </c>
      <c r="D1957" s="4">
        <v>1</v>
      </c>
      <c r="E1957" s="4" t="str">
        <f>"2170739583"</f>
        <v>2170739583</v>
      </c>
      <c r="F1957" s="4" t="s">
        <v>17</v>
      </c>
      <c r="G1957" s="4" t="s">
        <v>18</v>
      </c>
      <c r="H1957" s="4" t="s">
        <v>85</v>
      </c>
      <c r="I1957" s="4" t="s">
        <v>207</v>
      </c>
      <c r="J1957" s="4" t="s">
        <v>1753</v>
      </c>
      <c r="K1957" s="4" t="s">
        <v>43</v>
      </c>
      <c r="L1957" s="4"/>
      <c r="M1957" s="4" t="s">
        <v>44</v>
      </c>
      <c r="N1957" s="4" t="s">
        <v>1762</v>
      </c>
      <c r="O1957" s="4" t="s">
        <v>24</v>
      </c>
    </row>
    <row r="1958" spans="1:15" x14ac:dyDescent="0.25">
      <c r="A1958" s="4" t="s">
        <v>15</v>
      </c>
      <c r="B1958" s="4" t="str">
        <f>"FES1162751652"</f>
        <v>FES1162751652</v>
      </c>
      <c r="C1958" s="4" t="s">
        <v>1668</v>
      </c>
      <c r="D1958" s="4">
        <v>1</v>
      </c>
      <c r="E1958" s="4" t="str">
        <f>"217041650"</f>
        <v>217041650</v>
      </c>
      <c r="F1958" s="4" t="s">
        <v>17</v>
      </c>
      <c r="G1958" s="4" t="s">
        <v>18</v>
      </c>
      <c r="H1958" s="4" t="s">
        <v>18</v>
      </c>
      <c r="I1958" s="4" t="s">
        <v>29</v>
      </c>
      <c r="J1958" s="4" t="s">
        <v>1095</v>
      </c>
      <c r="K1958" s="4" t="s">
        <v>43</v>
      </c>
      <c r="L1958" s="4"/>
      <c r="M1958" s="4" t="s">
        <v>44</v>
      </c>
      <c r="N1958" s="4" t="s">
        <v>1762</v>
      </c>
      <c r="O1958" s="4" t="s">
        <v>24</v>
      </c>
    </row>
    <row r="1959" spans="1:15" x14ac:dyDescent="0.25">
      <c r="A1959" s="4" t="s">
        <v>15</v>
      </c>
      <c r="B1959" s="4" t="str">
        <f>"FES1162751537"</f>
        <v>FES1162751537</v>
      </c>
      <c r="C1959" s="4" t="s">
        <v>1668</v>
      </c>
      <c r="D1959" s="4">
        <v>1</v>
      </c>
      <c r="E1959" s="4" t="str">
        <f>"2170740032"</f>
        <v>2170740032</v>
      </c>
      <c r="F1959" s="4" t="s">
        <v>17</v>
      </c>
      <c r="G1959" s="4" t="s">
        <v>18</v>
      </c>
      <c r="H1959" s="4" t="s">
        <v>18</v>
      </c>
      <c r="I1959" s="4" t="s">
        <v>29</v>
      </c>
      <c r="J1959" s="4" t="s">
        <v>299</v>
      </c>
      <c r="K1959" s="4" t="s">
        <v>43</v>
      </c>
      <c r="L1959" s="4"/>
      <c r="M1959" s="4" t="s">
        <v>44</v>
      </c>
      <c r="N1959" s="4" t="s">
        <v>1762</v>
      </c>
      <c r="O1959" s="4" t="s">
        <v>24</v>
      </c>
    </row>
    <row r="1960" spans="1:15" x14ac:dyDescent="0.25">
      <c r="A1960" s="4" t="s">
        <v>15</v>
      </c>
      <c r="B1960" s="4" t="str">
        <f>"FES1162751698"</f>
        <v>FES1162751698</v>
      </c>
      <c r="C1960" s="4" t="s">
        <v>1668</v>
      </c>
      <c r="D1960" s="4">
        <v>1</v>
      </c>
      <c r="E1960" s="4" t="str">
        <f>"217041714"</f>
        <v>217041714</v>
      </c>
      <c r="F1960" s="4" t="s">
        <v>17</v>
      </c>
      <c r="G1960" s="4" t="s">
        <v>18</v>
      </c>
      <c r="H1960" s="4" t="s">
        <v>40</v>
      </c>
      <c r="I1960" s="4" t="s">
        <v>870</v>
      </c>
      <c r="J1960" s="4" t="s">
        <v>1062</v>
      </c>
      <c r="K1960" s="4" t="s">
        <v>43</v>
      </c>
      <c r="L1960" s="4"/>
      <c r="M1960" s="4" t="s">
        <v>44</v>
      </c>
      <c r="N1960" s="4" t="s">
        <v>1762</v>
      </c>
      <c r="O1960" s="4" t="s">
        <v>24</v>
      </c>
    </row>
    <row r="1961" spans="1:15" x14ac:dyDescent="0.25">
      <c r="A1961" s="4" t="s">
        <v>15</v>
      </c>
      <c r="B1961" s="4" t="str">
        <f>"FES1162751720"</f>
        <v>FES1162751720</v>
      </c>
      <c r="C1961" s="4" t="s">
        <v>1668</v>
      </c>
      <c r="D1961" s="4">
        <v>1</v>
      </c>
      <c r="E1961" s="4" t="str">
        <f>"2317041734"</f>
        <v>2317041734</v>
      </c>
      <c r="F1961" s="4" t="s">
        <v>17</v>
      </c>
      <c r="G1961" s="4" t="s">
        <v>18</v>
      </c>
      <c r="H1961" s="4" t="s">
        <v>85</v>
      </c>
      <c r="I1961" s="4" t="s">
        <v>144</v>
      </c>
      <c r="J1961" s="4" t="s">
        <v>407</v>
      </c>
      <c r="K1961" s="4" t="s">
        <v>43</v>
      </c>
      <c r="L1961" s="4"/>
      <c r="M1961" s="4" t="s">
        <v>44</v>
      </c>
      <c r="N1961" s="4" t="s">
        <v>1762</v>
      </c>
      <c r="O1961" s="4" t="s">
        <v>24</v>
      </c>
    </row>
    <row r="1962" spans="1:15" x14ac:dyDescent="0.25">
      <c r="A1962" s="4" t="s">
        <v>15</v>
      </c>
      <c r="B1962" s="4" t="str">
        <f>"FES1162751740"</f>
        <v>FES1162751740</v>
      </c>
      <c r="C1962" s="4" t="s">
        <v>1668</v>
      </c>
      <c r="D1962" s="4">
        <v>1</v>
      </c>
      <c r="E1962" s="4" t="str">
        <f>"2170741745"</f>
        <v>2170741745</v>
      </c>
      <c r="F1962" s="4" t="s">
        <v>17</v>
      </c>
      <c r="G1962" s="4" t="s">
        <v>18</v>
      </c>
      <c r="H1962" s="4" t="s">
        <v>25</v>
      </c>
      <c r="I1962" s="4" t="s">
        <v>281</v>
      </c>
      <c r="J1962" s="4" t="s">
        <v>624</v>
      </c>
      <c r="K1962" s="4" t="s">
        <v>1729</v>
      </c>
      <c r="L1962" s="5">
        <v>0.3659722222222222</v>
      </c>
      <c r="M1962" s="4" t="s">
        <v>1754</v>
      </c>
      <c r="N1962" s="6" t="s">
        <v>23</v>
      </c>
      <c r="O1962" s="4" t="s">
        <v>24</v>
      </c>
    </row>
    <row r="1963" spans="1:15" x14ac:dyDescent="0.25">
      <c r="A1963" s="4" t="s">
        <v>15</v>
      </c>
      <c r="B1963" s="4" t="str">
        <f>"FES1162751726"</f>
        <v>FES1162751726</v>
      </c>
      <c r="C1963" s="4" t="s">
        <v>1668</v>
      </c>
      <c r="D1963" s="4">
        <v>1</v>
      </c>
      <c r="E1963" s="4" t="str">
        <f>"2170740204"</f>
        <v>2170740204</v>
      </c>
      <c r="F1963" s="4" t="s">
        <v>17</v>
      </c>
      <c r="G1963" s="4" t="s">
        <v>18</v>
      </c>
      <c r="H1963" s="4" t="s">
        <v>85</v>
      </c>
      <c r="I1963" s="4" t="s">
        <v>144</v>
      </c>
      <c r="J1963" s="4" t="s">
        <v>851</v>
      </c>
      <c r="K1963" s="4" t="s">
        <v>43</v>
      </c>
      <c r="L1963" s="4"/>
      <c r="M1963" s="4" t="s">
        <v>44</v>
      </c>
      <c r="N1963" s="4" t="s">
        <v>1762</v>
      </c>
      <c r="O1963" s="4" t="s">
        <v>24</v>
      </c>
    </row>
    <row r="1964" spans="1:15" x14ac:dyDescent="0.25">
      <c r="A1964" s="4" t="s">
        <v>15</v>
      </c>
      <c r="B1964" s="4" t="str">
        <f>"FES1162751596"</f>
        <v>FES1162751596</v>
      </c>
      <c r="C1964" s="4" t="s">
        <v>1668</v>
      </c>
      <c r="D1964" s="4">
        <v>1</v>
      </c>
      <c r="E1964" s="4" t="str">
        <f>"2170740407"</f>
        <v>2170740407</v>
      </c>
      <c r="F1964" s="4" t="s">
        <v>17</v>
      </c>
      <c r="G1964" s="4" t="s">
        <v>18</v>
      </c>
      <c r="H1964" s="4" t="s">
        <v>32</v>
      </c>
      <c r="I1964" s="4" t="s">
        <v>33</v>
      </c>
      <c r="J1964" s="4" t="s">
        <v>315</v>
      </c>
      <c r="K1964" s="4" t="s">
        <v>43</v>
      </c>
      <c r="L1964" s="4"/>
      <c r="M1964" s="4" t="s">
        <v>44</v>
      </c>
      <c r="N1964" s="4" t="s">
        <v>1762</v>
      </c>
      <c r="O1964" s="4" t="s">
        <v>24</v>
      </c>
    </row>
    <row r="1965" spans="1:15" x14ac:dyDescent="0.25">
      <c r="A1965" s="4" t="s">
        <v>15</v>
      </c>
      <c r="B1965" s="4" t="str">
        <f>"FES1162751616"</f>
        <v>FES1162751616</v>
      </c>
      <c r="C1965" s="4" t="s">
        <v>1668</v>
      </c>
      <c r="D1965" s="4">
        <v>1</v>
      </c>
      <c r="E1965" s="4" t="str">
        <f>"2170740534"</f>
        <v>2170740534</v>
      </c>
      <c r="F1965" s="4" t="s">
        <v>17</v>
      </c>
      <c r="G1965" s="4" t="s">
        <v>18</v>
      </c>
      <c r="H1965" s="4" t="s">
        <v>18</v>
      </c>
      <c r="I1965" s="4" t="s">
        <v>29</v>
      </c>
      <c r="J1965" s="4" t="s">
        <v>173</v>
      </c>
      <c r="K1965" s="4" t="s">
        <v>43</v>
      </c>
      <c r="L1965" s="4"/>
      <c r="M1965" s="4" t="s">
        <v>44</v>
      </c>
      <c r="N1965" s="4" t="s">
        <v>1762</v>
      </c>
      <c r="O1965" s="4" t="s">
        <v>24</v>
      </c>
    </row>
    <row r="1966" spans="1:15" x14ac:dyDescent="0.25">
      <c r="A1966" s="4" t="s">
        <v>15</v>
      </c>
      <c r="B1966" s="4" t="str">
        <f>"FES1162751733"</f>
        <v>FES1162751733</v>
      </c>
      <c r="C1966" s="4" t="s">
        <v>1668</v>
      </c>
      <c r="D1966" s="4">
        <v>1</v>
      </c>
      <c r="E1966" s="4" t="str">
        <f>"2170741441"</f>
        <v>2170741441</v>
      </c>
      <c r="F1966" s="4" t="s">
        <v>17</v>
      </c>
      <c r="G1966" s="4" t="s">
        <v>18</v>
      </c>
      <c r="H1966" s="4" t="s">
        <v>48</v>
      </c>
      <c r="I1966" s="4" t="s">
        <v>49</v>
      </c>
      <c r="J1966" s="4" t="s">
        <v>339</v>
      </c>
      <c r="K1966" s="4" t="s">
        <v>43</v>
      </c>
      <c r="L1966" s="4"/>
      <c r="M1966" s="4" t="s">
        <v>44</v>
      </c>
      <c r="N1966" s="4" t="s">
        <v>1762</v>
      </c>
      <c r="O1966" s="4" t="s">
        <v>24</v>
      </c>
    </row>
    <row r="1967" spans="1:15" x14ac:dyDescent="0.25">
      <c r="A1967" s="4" t="s">
        <v>15</v>
      </c>
      <c r="B1967" s="4" t="str">
        <f>"FES1162751667"</f>
        <v>FES1162751667</v>
      </c>
      <c r="C1967" s="4" t="s">
        <v>1668</v>
      </c>
      <c r="D1967" s="4">
        <v>1</v>
      </c>
      <c r="E1967" s="4" t="str">
        <f>"217041678"</f>
        <v>217041678</v>
      </c>
      <c r="F1967" s="4" t="s">
        <v>17</v>
      </c>
      <c r="G1967" s="4" t="s">
        <v>18</v>
      </c>
      <c r="H1967" s="4" t="s">
        <v>48</v>
      </c>
      <c r="I1967" s="4" t="s">
        <v>49</v>
      </c>
      <c r="J1967" s="4" t="s">
        <v>1755</v>
      </c>
      <c r="K1967" s="4" t="s">
        <v>43</v>
      </c>
      <c r="L1967" s="4"/>
      <c r="M1967" s="4" t="s">
        <v>44</v>
      </c>
      <c r="N1967" s="4" t="s">
        <v>1762</v>
      </c>
      <c r="O1967" s="4" t="s">
        <v>24</v>
      </c>
    </row>
    <row r="1968" spans="1:15" x14ac:dyDescent="0.25">
      <c r="A1968" s="4" t="s">
        <v>15</v>
      </c>
      <c r="B1968" s="4" t="str">
        <f>"FES1162751734"</f>
        <v>FES1162751734</v>
      </c>
      <c r="C1968" s="4" t="s">
        <v>1668</v>
      </c>
      <c r="D1968" s="4">
        <v>1</v>
      </c>
      <c r="E1968" s="4" t="str">
        <f>"217041441"</f>
        <v>217041441</v>
      </c>
      <c r="F1968" s="4" t="s">
        <v>17</v>
      </c>
      <c r="G1968" s="4" t="s">
        <v>18</v>
      </c>
      <c r="H1968" s="4" t="s">
        <v>48</v>
      </c>
      <c r="I1968" s="4" t="s">
        <v>49</v>
      </c>
      <c r="J1968" s="4" t="s">
        <v>339</v>
      </c>
      <c r="K1968" s="4" t="s">
        <v>43</v>
      </c>
      <c r="L1968" s="4"/>
      <c r="M1968" s="4" t="s">
        <v>44</v>
      </c>
      <c r="N1968" s="4" t="s">
        <v>1762</v>
      </c>
      <c r="O1968" s="4" t="s">
        <v>24</v>
      </c>
    </row>
    <row r="1969" spans="1:15" x14ac:dyDescent="0.25">
      <c r="A1969" s="4" t="s">
        <v>15</v>
      </c>
      <c r="B1969" s="4" t="str">
        <f>"FES1162751532"</f>
        <v>FES1162751532</v>
      </c>
      <c r="C1969" s="4" t="s">
        <v>1668</v>
      </c>
      <c r="D1969" s="4">
        <v>1</v>
      </c>
      <c r="E1969" s="4" t="str">
        <f>"2170739702"</f>
        <v>2170739702</v>
      </c>
      <c r="F1969" s="4" t="s">
        <v>17</v>
      </c>
      <c r="G1969" s="4" t="s">
        <v>18</v>
      </c>
      <c r="H1969" s="4" t="s">
        <v>36</v>
      </c>
      <c r="I1969" s="4" t="s">
        <v>842</v>
      </c>
      <c r="J1969" s="4" t="s">
        <v>1078</v>
      </c>
      <c r="K1969" s="4" t="s">
        <v>43</v>
      </c>
      <c r="L1969" s="4"/>
      <c r="M1969" s="4" t="s">
        <v>44</v>
      </c>
      <c r="N1969" s="4" t="s">
        <v>1762</v>
      </c>
      <c r="O1969" s="4" t="s">
        <v>24</v>
      </c>
    </row>
    <row r="1970" spans="1:15" x14ac:dyDescent="0.25">
      <c r="A1970" s="4" t="s">
        <v>15</v>
      </c>
      <c r="B1970" s="4" t="str">
        <f>"FES1162751599"</f>
        <v>FES1162751599</v>
      </c>
      <c r="C1970" s="4" t="s">
        <v>1668</v>
      </c>
      <c r="D1970" s="4">
        <v>1</v>
      </c>
      <c r="E1970" s="4" t="str">
        <f>"2170740430"</f>
        <v>2170740430</v>
      </c>
      <c r="F1970" s="4" t="s">
        <v>17</v>
      </c>
      <c r="G1970" s="4" t="s">
        <v>18</v>
      </c>
      <c r="H1970" s="4" t="s">
        <v>18</v>
      </c>
      <c r="I1970" s="4" t="s">
        <v>19</v>
      </c>
      <c r="J1970" s="4" t="s">
        <v>570</v>
      </c>
      <c r="K1970" s="4" t="s">
        <v>43</v>
      </c>
      <c r="L1970" s="4"/>
      <c r="M1970" s="4" t="s">
        <v>44</v>
      </c>
      <c r="N1970" s="4" t="s">
        <v>1762</v>
      </c>
      <c r="O1970" s="4" t="s">
        <v>24</v>
      </c>
    </row>
    <row r="1971" spans="1:15" x14ac:dyDescent="0.25">
      <c r="A1971" s="4" t="s">
        <v>15</v>
      </c>
      <c r="B1971" s="4" t="str">
        <f>"FES1162751728"</f>
        <v>FES1162751728</v>
      </c>
      <c r="C1971" s="4" t="s">
        <v>1668</v>
      </c>
      <c r="D1971" s="4">
        <v>1</v>
      </c>
      <c r="E1971" s="4" t="str">
        <f>"2170741726"</f>
        <v>2170741726</v>
      </c>
      <c r="F1971" s="4" t="s">
        <v>17</v>
      </c>
      <c r="G1971" s="4" t="s">
        <v>18</v>
      </c>
      <c r="H1971" s="4" t="s">
        <v>48</v>
      </c>
      <c r="I1971" s="4" t="s">
        <v>73</v>
      </c>
      <c r="J1971" s="4" t="s">
        <v>247</v>
      </c>
      <c r="K1971" s="4" t="s">
        <v>43</v>
      </c>
      <c r="L1971" s="4"/>
      <c r="M1971" s="4" t="s">
        <v>44</v>
      </c>
      <c r="N1971" s="4" t="s">
        <v>1762</v>
      </c>
      <c r="O1971" s="4" t="s">
        <v>24</v>
      </c>
    </row>
    <row r="1972" spans="1:15" x14ac:dyDescent="0.25">
      <c r="A1972" s="4" t="s">
        <v>15</v>
      </c>
      <c r="B1972" s="4" t="str">
        <f>"FES1162751732"</f>
        <v>FES1162751732</v>
      </c>
      <c r="C1972" s="4" t="s">
        <v>1668</v>
      </c>
      <c r="D1972" s="4">
        <v>1</v>
      </c>
      <c r="E1972" s="4" t="str">
        <f>"2170741742"</f>
        <v>2170741742</v>
      </c>
      <c r="F1972" s="4" t="s">
        <v>17</v>
      </c>
      <c r="G1972" s="4" t="s">
        <v>18</v>
      </c>
      <c r="H1972" s="4" t="s">
        <v>18</v>
      </c>
      <c r="I1972" s="4" t="s">
        <v>89</v>
      </c>
      <c r="J1972" s="4" t="s">
        <v>1036</v>
      </c>
      <c r="K1972" s="4" t="s">
        <v>43</v>
      </c>
      <c r="L1972" s="4"/>
      <c r="M1972" s="4" t="s">
        <v>44</v>
      </c>
      <c r="N1972" s="4" t="s">
        <v>1762</v>
      </c>
      <c r="O1972" s="4" t="s">
        <v>24</v>
      </c>
    </row>
    <row r="1973" spans="1:15" x14ac:dyDescent="0.25">
      <c r="A1973" s="4" t="s">
        <v>15</v>
      </c>
      <c r="B1973" s="4" t="str">
        <f>"FES1162751719"</f>
        <v>FES1162751719</v>
      </c>
      <c r="C1973" s="4" t="s">
        <v>1668</v>
      </c>
      <c r="D1973" s="4">
        <v>1</v>
      </c>
      <c r="E1973" s="4" t="str">
        <f>"217041733"</f>
        <v>217041733</v>
      </c>
      <c r="F1973" s="4" t="s">
        <v>17</v>
      </c>
      <c r="G1973" s="4" t="s">
        <v>18</v>
      </c>
      <c r="H1973" s="4" t="s">
        <v>18</v>
      </c>
      <c r="I1973" s="4" t="s">
        <v>183</v>
      </c>
      <c r="J1973" s="4" t="s">
        <v>1538</v>
      </c>
      <c r="K1973" s="4" t="s">
        <v>43</v>
      </c>
      <c r="L1973" s="4"/>
      <c r="M1973" s="4" t="s">
        <v>44</v>
      </c>
      <c r="N1973" s="4" t="s">
        <v>1762</v>
      </c>
      <c r="O1973" s="4" t="s">
        <v>24</v>
      </c>
    </row>
    <row r="1974" spans="1:15" x14ac:dyDescent="0.25">
      <c r="A1974" s="4" t="s">
        <v>15</v>
      </c>
      <c r="B1974" s="4" t="str">
        <f>"FES1162751675"</f>
        <v>FES1162751675</v>
      </c>
      <c r="C1974" s="4" t="s">
        <v>1668</v>
      </c>
      <c r="D1974" s="4">
        <v>1</v>
      </c>
      <c r="E1974" s="4" t="str">
        <f>"217041673"</f>
        <v>217041673</v>
      </c>
      <c r="F1974" s="4" t="s">
        <v>17</v>
      </c>
      <c r="G1974" s="4" t="s">
        <v>18</v>
      </c>
      <c r="H1974" s="4" t="s">
        <v>18</v>
      </c>
      <c r="I1974" s="4" t="s">
        <v>19</v>
      </c>
      <c r="J1974" s="4" t="s">
        <v>20</v>
      </c>
      <c r="K1974" s="4" t="s">
        <v>43</v>
      </c>
      <c r="L1974" s="4"/>
      <c r="M1974" s="4" t="s">
        <v>44</v>
      </c>
      <c r="N1974" s="4" t="s">
        <v>1762</v>
      </c>
      <c r="O1974" s="4" t="s">
        <v>24</v>
      </c>
    </row>
    <row r="1975" spans="1:15" x14ac:dyDescent="0.25">
      <c r="A1975" s="4" t="s">
        <v>15</v>
      </c>
      <c r="B1975" s="4" t="str">
        <f>"FES1162751708"</f>
        <v>FES1162751708</v>
      </c>
      <c r="C1975" s="4" t="s">
        <v>1668</v>
      </c>
      <c r="D1975" s="4">
        <v>1</v>
      </c>
      <c r="E1975" s="4" t="str">
        <f>"217041725"</f>
        <v>217041725</v>
      </c>
      <c r="F1975" s="4" t="s">
        <v>17</v>
      </c>
      <c r="G1975" s="4" t="s">
        <v>18</v>
      </c>
      <c r="H1975" s="4" t="s">
        <v>18</v>
      </c>
      <c r="I1975" s="4" t="s">
        <v>19</v>
      </c>
      <c r="J1975" s="4" t="s">
        <v>1676</v>
      </c>
      <c r="K1975" s="4" t="s">
        <v>43</v>
      </c>
      <c r="L1975" s="4"/>
      <c r="M1975" s="4" t="s">
        <v>44</v>
      </c>
      <c r="N1975" s="4" t="s">
        <v>1762</v>
      </c>
      <c r="O1975" s="4" t="s">
        <v>24</v>
      </c>
    </row>
    <row r="1976" spans="1:15" x14ac:dyDescent="0.25">
      <c r="A1976" s="4" t="s">
        <v>15</v>
      </c>
      <c r="B1976" s="4" t="str">
        <f>"FES1162751731"</f>
        <v>FES1162751731</v>
      </c>
      <c r="C1976" s="4" t="s">
        <v>1668</v>
      </c>
      <c r="D1976" s="4">
        <v>1</v>
      </c>
      <c r="E1976" s="4" t="str">
        <f>"21704571471"</f>
        <v>21704571471</v>
      </c>
      <c r="F1976" s="4" t="s">
        <v>17</v>
      </c>
      <c r="G1976" s="4" t="s">
        <v>18</v>
      </c>
      <c r="H1976" s="4" t="s">
        <v>18</v>
      </c>
      <c r="I1976" s="4" t="s">
        <v>19</v>
      </c>
      <c r="J1976" s="4" t="s">
        <v>1756</v>
      </c>
      <c r="K1976" s="4" t="s">
        <v>43</v>
      </c>
      <c r="L1976" s="4"/>
      <c r="M1976" s="4" t="s">
        <v>44</v>
      </c>
      <c r="N1976" s="4" t="s">
        <v>1762</v>
      </c>
      <c r="O1976" s="4" t="s">
        <v>24</v>
      </c>
    </row>
    <row r="1977" spans="1:15" x14ac:dyDescent="0.25">
      <c r="A1977" s="4" t="s">
        <v>15</v>
      </c>
      <c r="B1977" s="4" t="str">
        <f>"FES1162751697"</f>
        <v>FES1162751697</v>
      </c>
      <c r="C1977" s="4" t="s">
        <v>1668</v>
      </c>
      <c r="D1977" s="4">
        <v>1</v>
      </c>
      <c r="E1977" s="4" t="str">
        <f>"217041713"</f>
        <v>217041713</v>
      </c>
      <c r="F1977" s="4" t="s">
        <v>17</v>
      </c>
      <c r="G1977" s="4" t="s">
        <v>18</v>
      </c>
      <c r="H1977" s="4" t="s">
        <v>18</v>
      </c>
      <c r="I1977" s="4" t="s">
        <v>219</v>
      </c>
      <c r="J1977" s="4" t="s">
        <v>1757</v>
      </c>
      <c r="K1977" s="4" t="s">
        <v>43</v>
      </c>
      <c r="L1977" s="4"/>
      <c r="M1977" s="4" t="s">
        <v>44</v>
      </c>
      <c r="N1977" s="4" t="s">
        <v>1762</v>
      </c>
      <c r="O1977" s="4" t="s">
        <v>24</v>
      </c>
    </row>
    <row r="1978" spans="1:15" x14ac:dyDescent="0.25">
      <c r="A1978" s="4" t="s">
        <v>15</v>
      </c>
      <c r="B1978" s="4" t="str">
        <f>"FES1162751699"</f>
        <v>FES1162751699</v>
      </c>
      <c r="C1978" s="4" t="s">
        <v>1668</v>
      </c>
      <c r="D1978" s="4">
        <v>1</v>
      </c>
      <c r="E1978" s="4" t="str">
        <f>"217041679"</f>
        <v>217041679</v>
      </c>
      <c r="F1978" s="4" t="s">
        <v>17</v>
      </c>
      <c r="G1978" s="4" t="s">
        <v>18</v>
      </c>
      <c r="H1978" s="4" t="s">
        <v>18</v>
      </c>
      <c r="I1978" s="4" t="s">
        <v>19</v>
      </c>
      <c r="J1978" s="4" t="s">
        <v>20</v>
      </c>
      <c r="K1978" s="4" t="s">
        <v>43</v>
      </c>
      <c r="L1978" s="4"/>
      <c r="M1978" s="4" t="s">
        <v>44</v>
      </c>
      <c r="N1978" s="4" t="s">
        <v>1762</v>
      </c>
      <c r="O1978" s="4" t="s">
        <v>24</v>
      </c>
    </row>
    <row r="1979" spans="1:15" x14ac:dyDescent="0.25">
      <c r="A1979" s="4" t="s">
        <v>15</v>
      </c>
      <c r="B1979" s="4" t="str">
        <f>"FES1162751695"</f>
        <v>FES1162751695</v>
      </c>
      <c r="C1979" s="4" t="s">
        <v>1668</v>
      </c>
      <c r="D1979" s="4">
        <v>1</v>
      </c>
      <c r="E1979" s="4" t="str">
        <f>"2170741708"</f>
        <v>2170741708</v>
      </c>
      <c r="F1979" s="4" t="s">
        <v>17</v>
      </c>
      <c r="G1979" s="4" t="s">
        <v>18</v>
      </c>
      <c r="H1979" s="4" t="s">
        <v>18</v>
      </c>
      <c r="I1979" s="4" t="s">
        <v>290</v>
      </c>
      <c r="J1979" s="4" t="s">
        <v>1758</v>
      </c>
      <c r="K1979" s="4" t="s">
        <v>43</v>
      </c>
      <c r="L1979" s="4"/>
      <c r="M1979" s="4" t="s">
        <v>44</v>
      </c>
      <c r="N1979" s="4" t="s">
        <v>1762</v>
      </c>
      <c r="O1979" s="4" t="s">
        <v>24</v>
      </c>
    </row>
    <row r="1980" spans="1:15" x14ac:dyDescent="0.25">
      <c r="A1980" s="4" t="s">
        <v>15</v>
      </c>
      <c r="B1980" s="4" t="str">
        <f>"FES1162751677"</f>
        <v>FES1162751677</v>
      </c>
      <c r="C1980" s="4" t="s">
        <v>1668</v>
      </c>
      <c r="D1980" s="4">
        <v>1</v>
      </c>
      <c r="E1980" s="4" t="str">
        <f>"217041691"</f>
        <v>217041691</v>
      </c>
      <c r="F1980" s="4" t="s">
        <v>17</v>
      </c>
      <c r="G1980" s="4" t="s">
        <v>18</v>
      </c>
      <c r="H1980" s="4" t="s">
        <v>18</v>
      </c>
      <c r="I1980" s="4" t="s">
        <v>19</v>
      </c>
      <c r="J1980" s="4" t="s">
        <v>1759</v>
      </c>
      <c r="K1980" s="4" t="s">
        <v>43</v>
      </c>
      <c r="L1980" s="4"/>
      <c r="M1980" s="4" t="s">
        <v>44</v>
      </c>
      <c r="N1980" s="4" t="s">
        <v>1762</v>
      </c>
      <c r="O1980" s="4" t="s">
        <v>24</v>
      </c>
    </row>
    <row r="1981" spans="1:15" x14ac:dyDescent="0.25">
      <c r="A1981" s="4" t="s">
        <v>15</v>
      </c>
      <c r="B1981" s="4" t="str">
        <f>"FES1162751421"</f>
        <v>FES1162751421</v>
      </c>
      <c r="C1981" s="4" t="s">
        <v>1668</v>
      </c>
      <c r="D1981" s="4">
        <v>1</v>
      </c>
      <c r="E1981" s="4" t="str">
        <f>"217040639"</f>
        <v>217040639</v>
      </c>
      <c r="F1981" s="4" t="s">
        <v>17</v>
      </c>
      <c r="G1981" s="4" t="s">
        <v>18</v>
      </c>
      <c r="H1981" s="4" t="s">
        <v>178</v>
      </c>
      <c r="I1981" s="4" t="s">
        <v>179</v>
      </c>
      <c r="J1981" s="4" t="s">
        <v>107</v>
      </c>
      <c r="K1981" s="4" t="s">
        <v>43</v>
      </c>
      <c r="L1981" s="4"/>
      <c r="M1981" s="4" t="s">
        <v>44</v>
      </c>
      <c r="N1981" s="4" t="s">
        <v>1762</v>
      </c>
      <c r="O1981" s="4" t="s">
        <v>24</v>
      </c>
    </row>
    <row r="1982" spans="1:15" x14ac:dyDescent="0.25">
      <c r="A1982" s="4" t="s">
        <v>15</v>
      </c>
      <c r="B1982" s="4" t="str">
        <f>"FES1162751593"</f>
        <v>FES1162751593</v>
      </c>
      <c r="C1982" s="4" t="s">
        <v>1668</v>
      </c>
      <c r="D1982" s="4">
        <v>1</v>
      </c>
      <c r="E1982" s="4" t="str">
        <f>"2170740383"</f>
        <v>2170740383</v>
      </c>
      <c r="F1982" s="4" t="s">
        <v>17</v>
      </c>
      <c r="G1982" s="4" t="s">
        <v>18</v>
      </c>
      <c r="H1982" s="4" t="s">
        <v>36</v>
      </c>
      <c r="I1982" s="4" t="s">
        <v>842</v>
      </c>
      <c r="J1982" s="4" t="s">
        <v>1078</v>
      </c>
      <c r="K1982" s="4" t="s">
        <v>43</v>
      </c>
      <c r="L1982" s="4"/>
      <c r="M1982" s="4" t="s">
        <v>44</v>
      </c>
      <c r="N1982" s="4" t="s">
        <v>1762</v>
      </c>
      <c r="O1982" s="4" t="s">
        <v>24</v>
      </c>
    </row>
    <row r="1983" spans="1:15" x14ac:dyDescent="0.25">
      <c r="A1983" s="4" t="s">
        <v>15</v>
      </c>
      <c r="B1983" s="4" t="str">
        <f>"FES1162751735"</f>
        <v>FES1162751735</v>
      </c>
      <c r="C1983" s="4" t="s">
        <v>1668</v>
      </c>
      <c r="D1983" s="4">
        <v>1</v>
      </c>
      <c r="E1983" s="4" t="str">
        <f>"217041567"</f>
        <v>217041567</v>
      </c>
      <c r="F1983" s="4" t="s">
        <v>17</v>
      </c>
      <c r="G1983" s="4" t="s">
        <v>18</v>
      </c>
      <c r="H1983" s="4" t="s">
        <v>40</v>
      </c>
      <c r="I1983" s="4" t="s">
        <v>41</v>
      </c>
      <c r="J1983" s="4" t="s">
        <v>99</v>
      </c>
      <c r="K1983" s="4" t="s">
        <v>1729</v>
      </c>
      <c r="L1983" s="5">
        <v>0.34861111111111115</v>
      </c>
      <c r="M1983" s="4" t="s">
        <v>1734</v>
      </c>
      <c r="N1983" s="6" t="s">
        <v>23</v>
      </c>
      <c r="O1983" s="4" t="s">
        <v>24</v>
      </c>
    </row>
    <row r="1984" spans="1:15" x14ac:dyDescent="0.25">
      <c r="A1984" s="4" t="s">
        <v>15</v>
      </c>
      <c r="B1984" s="4" t="str">
        <f>"FES1162751715"</f>
        <v>FES1162751715</v>
      </c>
      <c r="C1984" s="4" t="s">
        <v>1668</v>
      </c>
      <c r="D1984" s="4">
        <v>1</v>
      </c>
      <c r="E1984" s="4" t="str">
        <f>"2170741158"</f>
        <v>2170741158</v>
      </c>
      <c r="F1984" s="4" t="s">
        <v>17</v>
      </c>
      <c r="G1984" s="4" t="s">
        <v>18</v>
      </c>
      <c r="H1984" s="4" t="s">
        <v>18</v>
      </c>
      <c r="I1984" s="4" t="s">
        <v>309</v>
      </c>
      <c r="J1984" s="4" t="s">
        <v>1217</v>
      </c>
      <c r="K1984" s="4" t="s">
        <v>43</v>
      </c>
      <c r="L1984" s="4"/>
      <c r="M1984" s="4" t="s">
        <v>44</v>
      </c>
      <c r="N1984" s="4" t="s">
        <v>1762</v>
      </c>
      <c r="O1984" s="4" t="s">
        <v>24</v>
      </c>
    </row>
    <row r="1985" spans="1:15" x14ac:dyDescent="0.25">
      <c r="A1985" s="4" t="s">
        <v>15</v>
      </c>
      <c r="B1985" s="4" t="str">
        <f>"FES1162751653"</f>
        <v>FES1162751653</v>
      </c>
      <c r="C1985" s="4" t="s">
        <v>1668</v>
      </c>
      <c r="D1985" s="4">
        <v>1</v>
      </c>
      <c r="E1985" s="4" t="str">
        <f>"2170740119"</f>
        <v>2170740119</v>
      </c>
      <c r="F1985" s="4" t="s">
        <v>17</v>
      </c>
      <c r="G1985" s="4" t="s">
        <v>18</v>
      </c>
      <c r="H1985" s="4" t="s">
        <v>18</v>
      </c>
      <c r="I1985" s="4" t="s">
        <v>29</v>
      </c>
      <c r="J1985" s="4" t="s">
        <v>638</v>
      </c>
      <c r="K1985" s="4" t="s">
        <v>43</v>
      </c>
      <c r="L1985" s="4"/>
      <c r="M1985" s="4" t="s">
        <v>44</v>
      </c>
      <c r="N1985" s="4" t="s">
        <v>1762</v>
      </c>
      <c r="O1985" s="4" t="s">
        <v>24</v>
      </c>
    </row>
    <row r="1986" spans="1:15" x14ac:dyDescent="0.25">
      <c r="A1986" s="4" t="s">
        <v>15</v>
      </c>
      <c r="B1986" s="4" t="str">
        <f>"FES1162751668"</f>
        <v>FES1162751668</v>
      </c>
      <c r="C1986" s="4" t="s">
        <v>1668</v>
      </c>
      <c r="D1986" s="4">
        <v>1</v>
      </c>
      <c r="E1986" s="4" t="str">
        <f>"2170741681"</f>
        <v>2170741681</v>
      </c>
      <c r="F1986" s="4" t="s">
        <v>17</v>
      </c>
      <c r="G1986" s="4" t="s">
        <v>18</v>
      </c>
      <c r="H1986" s="4" t="s">
        <v>40</v>
      </c>
      <c r="I1986" s="4" t="s">
        <v>41</v>
      </c>
      <c r="J1986" s="4" t="s">
        <v>42</v>
      </c>
      <c r="K1986" s="4" t="s">
        <v>43</v>
      </c>
      <c r="L1986" s="4"/>
      <c r="M1986" s="4" t="s">
        <v>44</v>
      </c>
      <c r="N1986" s="4" t="s">
        <v>1762</v>
      </c>
      <c r="O1986" s="4" t="s">
        <v>24</v>
      </c>
    </row>
    <row r="1987" spans="1:15" x14ac:dyDescent="0.25">
      <c r="A1987" s="4" t="s">
        <v>15</v>
      </c>
      <c r="B1987" s="4" t="str">
        <f>"FES1162751746"</f>
        <v>FES1162751746</v>
      </c>
      <c r="C1987" s="4" t="s">
        <v>1668</v>
      </c>
      <c r="D1987" s="4">
        <v>1</v>
      </c>
      <c r="E1987" s="4" t="str">
        <f>"2170740385"</f>
        <v>2170740385</v>
      </c>
      <c r="F1987" s="4" t="s">
        <v>17</v>
      </c>
      <c r="G1987" s="4" t="s">
        <v>18</v>
      </c>
      <c r="H1987" s="4" t="s">
        <v>48</v>
      </c>
      <c r="I1987" s="4" t="s">
        <v>558</v>
      </c>
      <c r="J1987" s="4" t="s">
        <v>1065</v>
      </c>
      <c r="K1987" s="4" t="s">
        <v>43</v>
      </c>
      <c r="L1987" s="4"/>
      <c r="M1987" s="4" t="s">
        <v>44</v>
      </c>
      <c r="N1987" s="4" t="s">
        <v>1762</v>
      </c>
      <c r="O1987" s="4" t="s">
        <v>24</v>
      </c>
    </row>
    <row r="1988" spans="1:15" x14ac:dyDescent="0.25">
      <c r="A1988" s="4" t="s">
        <v>15</v>
      </c>
      <c r="B1988" s="4" t="str">
        <f>"FES1162751721"</f>
        <v>FES1162751721</v>
      </c>
      <c r="C1988" s="4" t="s">
        <v>1668</v>
      </c>
      <c r="D1988" s="4">
        <v>1</v>
      </c>
      <c r="E1988" s="4" t="str">
        <f>"2170741735"</f>
        <v>2170741735</v>
      </c>
      <c r="F1988" s="4" t="s">
        <v>17</v>
      </c>
      <c r="G1988" s="4" t="s">
        <v>18</v>
      </c>
      <c r="H1988" s="4" t="s">
        <v>18</v>
      </c>
      <c r="I1988" s="4" t="s">
        <v>97</v>
      </c>
      <c r="J1988" s="4" t="s">
        <v>133</v>
      </c>
      <c r="K1988" s="4" t="s">
        <v>43</v>
      </c>
      <c r="L1988" s="4"/>
      <c r="M1988" s="4" t="s">
        <v>44</v>
      </c>
      <c r="N1988" s="4" t="s">
        <v>1762</v>
      </c>
      <c r="O1988" s="4" t="s">
        <v>24</v>
      </c>
    </row>
    <row r="1989" spans="1:15" x14ac:dyDescent="0.25">
      <c r="A1989" s="4" t="s">
        <v>15</v>
      </c>
      <c r="B1989" s="4" t="str">
        <f>"FES1162751450"</f>
        <v>FES1162751450</v>
      </c>
      <c r="C1989" s="4" t="s">
        <v>1668</v>
      </c>
      <c r="D1989" s="4">
        <v>1</v>
      </c>
      <c r="E1989" s="4" t="str">
        <f>"2170741580"</f>
        <v>2170741580</v>
      </c>
      <c r="F1989" s="4" t="s">
        <v>17</v>
      </c>
      <c r="G1989" s="4" t="s">
        <v>18</v>
      </c>
      <c r="H1989" s="4" t="s">
        <v>18</v>
      </c>
      <c r="I1989" s="4" t="s">
        <v>58</v>
      </c>
      <c r="J1989" s="4" t="s">
        <v>1760</v>
      </c>
      <c r="K1989" s="4" t="s">
        <v>43</v>
      </c>
      <c r="L1989" s="4"/>
      <c r="M1989" s="4" t="s">
        <v>44</v>
      </c>
      <c r="N1989" s="4" t="s">
        <v>1762</v>
      </c>
      <c r="O1989" s="4" t="s">
        <v>24</v>
      </c>
    </row>
    <row r="1990" spans="1:15" x14ac:dyDescent="0.25">
      <c r="A1990" s="4" t="s">
        <v>15</v>
      </c>
      <c r="B1990" s="4" t="str">
        <f>"FES1162751739"</f>
        <v>FES1162751739</v>
      </c>
      <c r="C1990" s="4" t="s">
        <v>1668</v>
      </c>
      <c r="D1990" s="4">
        <v>2</v>
      </c>
      <c r="E1990" s="4" t="str">
        <f>"2170741661"</f>
        <v>2170741661</v>
      </c>
      <c r="F1990" s="4" t="s">
        <v>17</v>
      </c>
      <c r="G1990" s="4" t="s">
        <v>18</v>
      </c>
      <c r="H1990" s="4" t="s">
        <v>25</v>
      </c>
      <c r="I1990" s="4" t="s">
        <v>26</v>
      </c>
      <c r="J1990" s="4" t="s">
        <v>202</v>
      </c>
      <c r="K1990" s="4" t="s">
        <v>43</v>
      </c>
      <c r="L1990" s="4"/>
      <c r="M1990" s="4" t="s">
        <v>44</v>
      </c>
      <c r="N1990" s="4" t="s">
        <v>1762</v>
      </c>
      <c r="O1990" s="4" t="s">
        <v>24</v>
      </c>
    </row>
    <row r="1991" spans="1:15" x14ac:dyDescent="0.25">
      <c r="A1991" s="4" t="s">
        <v>15</v>
      </c>
      <c r="B1991" s="4" t="str">
        <f>"FES1162751736"</f>
        <v>FES1162751736</v>
      </c>
      <c r="C1991" s="4" t="s">
        <v>1668</v>
      </c>
      <c r="D1991" s="4">
        <v>1</v>
      </c>
      <c r="E1991" s="4" t="str">
        <f>"217041575"</f>
        <v>217041575</v>
      </c>
      <c r="F1991" s="4" t="s">
        <v>17</v>
      </c>
      <c r="G1991" s="4" t="s">
        <v>18</v>
      </c>
      <c r="H1991" s="4" t="s">
        <v>18</v>
      </c>
      <c r="I1991" s="4" t="s">
        <v>97</v>
      </c>
      <c r="J1991" s="4" t="s">
        <v>1761</v>
      </c>
      <c r="K1991" s="4" t="s">
        <v>43</v>
      </c>
      <c r="L1991" s="4"/>
      <c r="M1991" s="4" t="s">
        <v>44</v>
      </c>
      <c r="N1991" s="4" t="s">
        <v>1762</v>
      </c>
      <c r="O1991" s="4" t="s">
        <v>24</v>
      </c>
    </row>
    <row r="1992" spans="1:15" x14ac:dyDescent="0.25">
      <c r="A1992" s="4" t="s">
        <v>15</v>
      </c>
      <c r="B1992" s="4" t="str">
        <f>"FES1162751661"</f>
        <v>FES1162751661</v>
      </c>
      <c r="C1992" s="4" t="s">
        <v>1668</v>
      </c>
      <c r="D1992" s="4">
        <v>1</v>
      </c>
      <c r="E1992" s="4" t="str">
        <f>"217041662"</f>
        <v>217041662</v>
      </c>
      <c r="F1992" s="4" t="s">
        <v>17</v>
      </c>
      <c r="G1992" s="4" t="s">
        <v>18</v>
      </c>
      <c r="H1992" s="4" t="s">
        <v>18</v>
      </c>
      <c r="I1992" s="4" t="s">
        <v>309</v>
      </c>
      <c r="J1992" s="4" t="s">
        <v>1040</v>
      </c>
      <c r="K1992" s="4" t="s">
        <v>43</v>
      </c>
      <c r="L1992" s="4"/>
      <c r="M1992" s="4" t="s">
        <v>44</v>
      </c>
      <c r="N1992" s="4" t="s">
        <v>1762</v>
      </c>
      <c r="O1992" s="4" t="s">
        <v>24</v>
      </c>
    </row>
    <row r="1993" spans="1:15" x14ac:dyDescent="0.25">
      <c r="A1993" s="4" t="s">
        <v>15</v>
      </c>
      <c r="B1993" s="4" t="str">
        <f>"FES1162751711"</f>
        <v>FES1162751711</v>
      </c>
      <c r="C1993" s="4" t="s">
        <v>1668</v>
      </c>
      <c r="D1993" s="4">
        <v>1</v>
      </c>
      <c r="E1993" s="4" t="str">
        <f>"2170741729"</f>
        <v>2170741729</v>
      </c>
      <c r="F1993" s="4" t="s">
        <v>17</v>
      </c>
      <c r="G1993" s="4" t="s">
        <v>18</v>
      </c>
      <c r="H1993" s="4" t="s">
        <v>18</v>
      </c>
      <c r="I1993" s="4" t="s">
        <v>58</v>
      </c>
      <c r="J1993" s="4" t="s">
        <v>1047</v>
      </c>
      <c r="K1993" s="4" t="s">
        <v>43</v>
      </c>
      <c r="L1993" s="4"/>
      <c r="M1993" s="4" t="s">
        <v>44</v>
      </c>
      <c r="N1993" s="4" t="s">
        <v>1762</v>
      </c>
      <c r="O1993" s="4" t="s">
        <v>24</v>
      </c>
    </row>
    <row r="1994" spans="1:15" x14ac:dyDescent="0.25">
      <c r="A1994" s="4" t="s">
        <v>15</v>
      </c>
      <c r="B1994" s="4" t="str">
        <f>"FES1162751700"</f>
        <v>FES1162751700</v>
      </c>
      <c r="C1994" s="4" t="s">
        <v>1668</v>
      </c>
      <c r="D1994" s="4">
        <v>1</v>
      </c>
      <c r="E1994" s="4" t="str">
        <f>"2170741716"</f>
        <v>2170741716</v>
      </c>
      <c r="F1994" s="4" t="s">
        <v>17</v>
      </c>
      <c r="G1994" s="4" t="s">
        <v>18</v>
      </c>
      <c r="H1994" s="4" t="s">
        <v>18</v>
      </c>
      <c r="I1994" s="4" t="s">
        <v>97</v>
      </c>
      <c r="J1994" s="4" t="s">
        <v>859</v>
      </c>
      <c r="K1994" s="4" t="s">
        <v>43</v>
      </c>
      <c r="L1994" s="4"/>
      <c r="M1994" s="4" t="s">
        <v>44</v>
      </c>
      <c r="N1994" s="4" t="s">
        <v>1762</v>
      </c>
      <c r="O1994" s="4" t="s">
        <v>24</v>
      </c>
    </row>
    <row r="1995" spans="1:15" x14ac:dyDescent="0.25">
      <c r="A1995" s="4" t="s">
        <v>15</v>
      </c>
      <c r="B1995" s="4" t="str">
        <f>"FES1162751752"</f>
        <v>FES1162751752</v>
      </c>
      <c r="C1995" s="4" t="s">
        <v>1668</v>
      </c>
      <c r="D1995" s="4">
        <v>1</v>
      </c>
      <c r="E1995" s="4" t="str">
        <f>"2170741052"</f>
        <v>2170741052</v>
      </c>
      <c r="F1995" s="4" t="s">
        <v>17</v>
      </c>
      <c r="G1995" s="4" t="s">
        <v>18</v>
      </c>
      <c r="H1995" s="4" t="s">
        <v>85</v>
      </c>
      <c r="I1995" s="4" t="s">
        <v>207</v>
      </c>
      <c r="J1995" s="4" t="s">
        <v>245</v>
      </c>
      <c r="K1995" s="4" t="s">
        <v>1729</v>
      </c>
      <c r="L1995" s="5">
        <v>0.35347222222222219</v>
      </c>
      <c r="M1995" s="4" t="s">
        <v>909</v>
      </c>
      <c r="N1995" s="6" t="s">
        <v>23</v>
      </c>
      <c r="O1995" s="4" t="s">
        <v>24</v>
      </c>
    </row>
    <row r="1996" spans="1:15" x14ac:dyDescent="0.25">
      <c r="A1996" s="4" t="s">
        <v>15</v>
      </c>
      <c r="B1996" s="4" t="str">
        <f>"FES1162751753"</f>
        <v>FES1162751753</v>
      </c>
      <c r="C1996" s="4" t="s">
        <v>1668</v>
      </c>
      <c r="D1996" s="4">
        <v>1</v>
      </c>
      <c r="E1996" s="4" t="str">
        <f>"2170739805"</f>
        <v>2170739805</v>
      </c>
      <c r="F1996" s="4" t="s">
        <v>17</v>
      </c>
      <c r="G1996" s="4" t="s">
        <v>18</v>
      </c>
      <c r="H1996" s="4" t="s">
        <v>52</v>
      </c>
      <c r="I1996" s="4" t="s">
        <v>53</v>
      </c>
      <c r="J1996" s="4" t="s">
        <v>56</v>
      </c>
      <c r="K1996" s="4" t="s">
        <v>43</v>
      </c>
      <c r="L1996" s="4"/>
      <c r="M1996" s="4" t="s">
        <v>44</v>
      </c>
      <c r="N1996" s="4" t="s">
        <v>1762</v>
      </c>
      <c r="O1996" s="4" t="s">
        <v>24</v>
      </c>
    </row>
    <row r="1997" spans="1:15" x14ac:dyDescent="0.25">
      <c r="A1997" s="4" t="s">
        <v>15</v>
      </c>
      <c r="B1997" s="4" t="str">
        <f>"FES1162751730"</f>
        <v>FES1162751730</v>
      </c>
      <c r="C1997" s="4" t="s">
        <v>1668</v>
      </c>
      <c r="D1997" s="4">
        <v>1</v>
      </c>
      <c r="E1997" s="4" t="str">
        <f>"2170741739"</f>
        <v>2170741739</v>
      </c>
      <c r="F1997" s="4" t="s">
        <v>17</v>
      </c>
      <c r="G1997" s="4" t="s">
        <v>18</v>
      </c>
      <c r="H1997" s="4" t="s">
        <v>18</v>
      </c>
      <c r="I1997" s="4" t="s">
        <v>19</v>
      </c>
      <c r="J1997" s="4" t="s">
        <v>20</v>
      </c>
      <c r="K1997" s="4" t="s">
        <v>43</v>
      </c>
      <c r="L1997" s="4"/>
      <c r="M1997" s="4" t="s">
        <v>44</v>
      </c>
      <c r="N1997" s="4" t="s">
        <v>1762</v>
      </c>
      <c r="O1997" s="4" t="s">
        <v>24</v>
      </c>
    </row>
    <row r="1998" spans="1:15" x14ac:dyDescent="0.25">
      <c r="A1998" s="4" t="s">
        <v>15</v>
      </c>
      <c r="B1998" s="4" t="str">
        <f>"FES1162751676"</f>
        <v>FES1162751676</v>
      </c>
      <c r="C1998" s="4" t="s">
        <v>1668</v>
      </c>
      <c r="D1998" s="4">
        <v>1</v>
      </c>
      <c r="E1998" s="4" t="str">
        <f>"2170741674"</f>
        <v>2170741674</v>
      </c>
      <c r="F1998" s="4" t="s">
        <v>17</v>
      </c>
      <c r="G1998" s="4" t="s">
        <v>18</v>
      </c>
      <c r="H1998" s="4" t="s">
        <v>18</v>
      </c>
      <c r="I1998" s="4" t="s">
        <v>19</v>
      </c>
      <c r="J1998" s="4" t="s">
        <v>20</v>
      </c>
      <c r="K1998" s="4" t="s">
        <v>43</v>
      </c>
      <c r="L1998" s="4"/>
      <c r="M1998" s="4" t="s">
        <v>44</v>
      </c>
      <c r="N1998" s="4" t="s">
        <v>1762</v>
      </c>
      <c r="O1998" s="4" t="s">
        <v>24</v>
      </c>
    </row>
  </sheetData>
  <autoFilter ref="A1:O176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Festo</dc:creator>
  <cp:lastModifiedBy>Festo</cp:lastModifiedBy>
  <dcterms:created xsi:type="dcterms:W3CDTF">2020-06-03T07:05:45Z</dcterms:created>
  <dcterms:modified xsi:type="dcterms:W3CDTF">2020-06-18T07:08:28Z</dcterms:modified>
</cp:coreProperties>
</file>